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4400" windowHeight="12780" tabRatio="910" firstSheet="6" activeTab="9"/>
  </bookViews>
  <sheets>
    <sheet name="Gebouwgegevens Tabula" sheetId="1" state="hidden" r:id="rId1"/>
    <sheet name="Gebouwgegevens Allacker" sheetId="2" state="hidden" r:id="rId2"/>
    <sheet name="Tabula data" sheetId="3" r:id="rId3"/>
    <sheet name="Verwarming Allacker" sheetId="4" state="hidden" r:id="rId4"/>
    <sheet name="Verwarming Tabula" sheetId="5" state="hidden" r:id="rId5"/>
    <sheet name="Gebouwgegevens Tabula 2zone" sheetId="6" r:id="rId6"/>
    <sheet name="Tabula 2zone Ref 1" sheetId="11" r:id="rId7"/>
    <sheet name="Tabula 2zone Ref 2" sheetId="12" r:id="rId8"/>
    <sheet name="Tabula RefULG 1" sheetId="15" r:id="rId9"/>
    <sheet name="Tabula RefULG 2" sheetId="16" r:id="rId10"/>
    <sheet name="Verwarming Tabula 2zone" sheetId="7" r:id="rId11"/>
    <sheet name="Verwarming Tabula 2zone Ref 1" sheetId="13" r:id="rId12"/>
    <sheet name="Verwarming Tabula 2zone Ref 2" sheetId="14" r:id="rId13"/>
    <sheet name="Verwarming Tabula 2zone RefULG1" sheetId="17" r:id="rId14"/>
    <sheet name="Verwarming Tabula 2zone RefULG2" sheetId="18" r:id="rId15"/>
    <sheet name="PropertiesGB_Theoretical" sheetId="9" r:id="rId16"/>
    <sheet name="Vloerverwarming zonder QRH" sheetId="10" r:id="rId17"/>
  </sheets>
  <externalReferences>
    <externalReference r:id="rId18"/>
  </externalReferences>
  <definedNames>
    <definedName name="_xlnm.Print_Area" localSheetId="1">'Gebouwgegevens Allacker'!$A$1:$H$38,'Gebouwgegevens Allacker'!$J$3:$T$32,'Gebouwgegevens Allacker'!$V$3:$AG$52</definedName>
    <definedName name="_xlnm.Print_Area" localSheetId="0">'Gebouwgegevens Tabula'!$A$1:$H$38,'Gebouwgegevens Tabula'!$J$3:$T$32,'Gebouwgegevens Tabula'!$V$3:$AG$52</definedName>
    <definedName name="_xlnm.Print_Area" localSheetId="5">'Gebouwgegevens Tabula 2zone'!$A$1:$H$37,'Gebouwgegevens Tabula 2zone'!$K$3:$U$32,'Gebouwgegevens Tabula 2zone'!$W$3:$AH$52</definedName>
    <definedName name="_xlnm.Print_Area" localSheetId="6">'Tabula 2zone Ref 1'!$A$1:$H$37,'Tabula 2zone Ref 1'!$J$3:$T$32,'Tabula 2zone Ref 1'!$V$3:$AG$52</definedName>
    <definedName name="_xlnm.Print_Area" localSheetId="7">'Tabula 2zone Ref 2'!$A$1:$H$37,'Tabula 2zone Ref 2'!$J$3:$T$32,'Tabula 2zone Ref 2'!$V$3:$AG$54</definedName>
    <definedName name="_xlnm.Print_Area" localSheetId="2">'Tabula data'!$A$1:$D$34,'Tabula data'!$F$1:$Q$37,'Tabula data'!$A$37:$D$52</definedName>
    <definedName name="_xlnm.Print_Area" localSheetId="8">'Tabula RefULG 1'!$A$1:$H$37,'Tabula RefULG 1'!$K$3:$U$32,'Tabula RefULG 1'!$W$3:$AH$52</definedName>
    <definedName name="_xlnm.Print_Area" localSheetId="9">'Tabula RefULG 2'!$A$1:$H$37,'Tabula RefULG 2'!$K$3:$U$32,'Tabula RefULG 2'!$W$3:$AH$52</definedName>
  </definedNames>
  <calcPr calcId="145621"/>
</workbook>
</file>

<file path=xl/calcChain.xml><?xml version="1.0" encoding="utf-8"?>
<calcChain xmlns="http://schemas.openxmlformats.org/spreadsheetml/2006/main">
  <c r="AA52" i="16" l="1"/>
  <c r="AA27" i="16"/>
  <c r="AA21" i="16"/>
  <c r="AP37" i="16"/>
  <c r="AP48" i="16"/>
  <c r="AP50" i="16" s="1"/>
  <c r="AP49" i="16" s="1"/>
  <c r="AP43" i="16"/>
  <c r="AP47" i="16" s="1"/>
  <c r="AP42" i="16"/>
  <c r="AP46" i="16" s="1"/>
  <c r="AP40" i="16"/>
  <c r="AP38" i="16"/>
  <c r="AP30" i="16"/>
  <c r="AP28" i="16"/>
  <c r="AP35" i="16" s="1"/>
  <c r="AP27" i="16"/>
  <c r="AP34" i="16" s="1"/>
  <c r="AP26" i="16"/>
  <c r="AP33" i="16" s="1"/>
  <c r="AP24" i="16"/>
  <c r="AP23" i="16"/>
  <c r="AP21" i="16"/>
  <c r="AP20" i="16"/>
  <c r="AP19" i="16"/>
  <c r="AP9" i="16"/>
  <c r="AP7" i="16"/>
  <c r="AP17" i="16" s="1"/>
  <c r="AP6" i="16"/>
  <c r="AP16" i="16" s="1"/>
  <c r="AP5" i="16"/>
  <c r="AP15" i="16" s="1"/>
  <c r="AP4" i="16"/>
  <c r="AP14" i="16" s="1"/>
  <c r="AA21" i="15" l="1"/>
  <c r="AA27" i="15"/>
  <c r="AA52" i="15"/>
  <c r="AP40" i="15"/>
  <c r="AP37" i="15"/>
  <c r="AP24" i="15"/>
  <c r="AP23" i="15"/>
  <c r="AP20" i="15"/>
  <c r="AP19" i="15"/>
  <c r="AP14" i="15"/>
  <c r="AP9" i="15"/>
  <c r="AP48" i="15"/>
  <c r="AP50" i="15" s="1"/>
  <c r="AP49" i="15" s="1"/>
  <c r="AP43" i="15"/>
  <c r="AP47" i="15" s="1"/>
  <c r="AP42" i="15"/>
  <c r="AP46" i="15" s="1"/>
  <c r="AP34" i="15"/>
  <c r="AP30" i="15"/>
  <c r="AP28" i="15"/>
  <c r="AP35" i="15" s="1"/>
  <c r="AP27" i="15"/>
  <c r="AP26" i="15"/>
  <c r="AP33" i="15" s="1"/>
  <c r="AP21" i="15"/>
  <c r="AP7" i="15"/>
  <c r="AP17" i="15" s="1"/>
  <c r="AP6" i="15"/>
  <c r="AP16" i="15" s="1"/>
  <c r="AP5" i="15"/>
  <c r="AP15" i="15" s="1"/>
  <c r="AP4" i="15"/>
  <c r="AP38" i="15" l="1"/>
  <c r="B139" i="13"/>
  <c r="B139" i="17" l="1"/>
  <c r="B139" i="7" l="1"/>
  <c r="EV79" i="15" l="1"/>
  <c r="EV78" i="15"/>
  <c r="EV77" i="15"/>
  <c r="EV76" i="15"/>
  <c r="EV75" i="15"/>
  <c r="EV73" i="15"/>
  <c r="EV72" i="15"/>
  <c r="EV71" i="15"/>
  <c r="EV70" i="15"/>
  <c r="EV68" i="15"/>
  <c r="EV67" i="15"/>
  <c r="EV66" i="15"/>
  <c r="EV65" i="15"/>
  <c r="EV63" i="15"/>
  <c r="EV62" i="15"/>
  <c r="EV61" i="15"/>
  <c r="EV59" i="15"/>
  <c r="EV58" i="15"/>
  <c r="EV57" i="15"/>
  <c r="EV56" i="15"/>
  <c r="EV55" i="15"/>
  <c r="EV54" i="15"/>
  <c r="EV53" i="15"/>
  <c r="EV52" i="15"/>
  <c r="EV51" i="15"/>
  <c r="EV50" i="15"/>
  <c r="EV49" i="15"/>
  <c r="EV48" i="15"/>
  <c r="EV47" i="15"/>
  <c r="EV46" i="15"/>
  <c r="EV45" i="15"/>
  <c r="EV44" i="15"/>
  <c r="EV42" i="15"/>
  <c r="EV41" i="15"/>
  <c r="EV40" i="15"/>
  <c r="EV39" i="15"/>
  <c r="EV38" i="15"/>
  <c r="EV37" i="15"/>
  <c r="EV36" i="15"/>
  <c r="EV35" i="15"/>
  <c r="EV34" i="15"/>
  <c r="EV33" i="15"/>
  <c r="EV32" i="15"/>
  <c r="EV30" i="15"/>
  <c r="EV29" i="15"/>
  <c r="EV28" i="15"/>
  <c r="EV27" i="15"/>
  <c r="EV24" i="15"/>
  <c r="EV23" i="15"/>
  <c r="EV22" i="15"/>
  <c r="EV21" i="15"/>
  <c r="EV20" i="15"/>
  <c r="EV19" i="15"/>
  <c r="EV18" i="15"/>
  <c r="EV17" i="15"/>
  <c r="EV16" i="15"/>
  <c r="EV15" i="15"/>
  <c r="EV14" i="15"/>
  <c r="EV13" i="15"/>
  <c r="EV12" i="15"/>
  <c r="EV11" i="15"/>
  <c r="EV10" i="15"/>
  <c r="EV9" i="15"/>
  <c r="EV8" i="15"/>
  <c r="EV7" i="15"/>
  <c r="EV6" i="15"/>
  <c r="EV5" i="15"/>
  <c r="EH61" i="6" l="1"/>
  <c r="B133" i="18"/>
  <c r="B130" i="18"/>
  <c r="E109" i="18"/>
  <c r="D109" i="18"/>
  <c r="H109" i="18" s="1"/>
  <c r="C109" i="18"/>
  <c r="G109" i="18" s="1"/>
  <c r="E108" i="18"/>
  <c r="D108" i="18"/>
  <c r="H108" i="18" s="1"/>
  <c r="C108" i="18"/>
  <c r="G108" i="18" s="1"/>
  <c r="F92" i="18"/>
  <c r="D92" i="18"/>
  <c r="C92" i="18"/>
  <c r="F91" i="18"/>
  <c r="E91" i="18"/>
  <c r="D91" i="18"/>
  <c r="C91" i="18"/>
  <c r="F90" i="18"/>
  <c r="E90" i="18"/>
  <c r="D90" i="18"/>
  <c r="C90" i="18"/>
  <c r="F89" i="18"/>
  <c r="E89" i="18"/>
  <c r="D89" i="18"/>
  <c r="C89" i="18"/>
  <c r="F88" i="18"/>
  <c r="E88" i="18"/>
  <c r="D88" i="18"/>
  <c r="C88" i="18"/>
  <c r="F87" i="18"/>
  <c r="E87" i="18"/>
  <c r="D87" i="18"/>
  <c r="C87" i="18"/>
  <c r="F86" i="18"/>
  <c r="D86" i="18"/>
  <c r="C86" i="18"/>
  <c r="F85" i="18"/>
  <c r="D85" i="18"/>
  <c r="C85" i="18"/>
  <c r="F84" i="18"/>
  <c r="D84" i="18"/>
  <c r="C84" i="18"/>
  <c r="B66" i="18"/>
  <c r="B54" i="18"/>
  <c r="B51" i="18"/>
  <c r="B58" i="18" s="1"/>
  <c r="E34" i="18"/>
  <c r="D34" i="18"/>
  <c r="H34" i="18" s="1"/>
  <c r="C34" i="18"/>
  <c r="G34" i="18" s="1"/>
  <c r="E33" i="18"/>
  <c r="D33" i="18"/>
  <c r="H33" i="18" s="1"/>
  <c r="C33" i="18"/>
  <c r="G33" i="18" s="1"/>
  <c r="K28" i="18"/>
  <c r="I28" i="18"/>
  <c r="E28" i="18"/>
  <c r="D28" i="18"/>
  <c r="C28" i="18"/>
  <c r="F22" i="18"/>
  <c r="D22" i="18"/>
  <c r="C22" i="18"/>
  <c r="F21" i="18"/>
  <c r="E21" i="18"/>
  <c r="D21" i="18"/>
  <c r="C21" i="18"/>
  <c r="E19" i="18"/>
  <c r="D19" i="18"/>
  <c r="B19" i="18"/>
  <c r="E18" i="18"/>
  <c r="D18" i="18"/>
  <c r="C18" i="18"/>
  <c r="B18" i="18"/>
  <c r="F18" i="18" s="1"/>
  <c r="B17" i="18"/>
  <c r="E17" i="18" s="1"/>
  <c r="E16" i="18"/>
  <c r="B16" i="18"/>
  <c r="E15" i="18"/>
  <c r="D15" i="18"/>
  <c r="B15" i="18"/>
  <c r="D14" i="18"/>
  <c r="C14" i="18"/>
  <c r="B14" i="18"/>
  <c r="F14" i="18" s="1"/>
  <c r="B13" i="18"/>
  <c r="B12" i="18"/>
  <c r="B778" i="18"/>
  <c r="B777" i="18" s="1"/>
  <c r="B776" i="18"/>
  <c r="B770" i="18"/>
  <c r="B771" i="18" s="1"/>
  <c r="B764" i="18"/>
  <c r="B761" i="18"/>
  <c r="B768" i="18" s="1"/>
  <c r="G768" i="18" s="1"/>
  <c r="J750" i="18"/>
  <c r="I750" i="18"/>
  <c r="F750" i="18"/>
  <c r="E750" i="18"/>
  <c r="D750" i="18"/>
  <c r="H750" i="18" s="1"/>
  <c r="C750" i="18"/>
  <c r="G750" i="18" s="1"/>
  <c r="K750" i="18" s="1"/>
  <c r="J749" i="18"/>
  <c r="I749" i="18"/>
  <c r="F749" i="18"/>
  <c r="E749" i="18"/>
  <c r="D749" i="18"/>
  <c r="H749" i="18" s="1"/>
  <c r="C749" i="18"/>
  <c r="G749" i="18" s="1"/>
  <c r="K749" i="18" s="1"/>
  <c r="J748" i="18"/>
  <c r="I748" i="18"/>
  <c r="H748" i="18"/>
  <c r="F748" i="18"/>
  <c r="E748" i="18"/>
  <c r="D748" i="18"/>
  <c r="C748" i="18"/>
  <c r="G748" i="18" s="1"/>
  <c r="K748" i="18" s="1"/>
  <c r="J747" i="18"/>
  <c r="I747" i="18"/>
  <c r="F747" i="18"/>
  <c r="E747" i="18"/>
  <c r="D747" i="18"/>
  <c r="H747" i="18" s="1"/>
  <c r="C747" i="18"/>
  <c r="G747" i="18" s="1"/>
  <c r="J746" i="18"/>
  <c r="I746" i="18"/>
  <c r="F746" i="18"/>
  <c r="E746" i="18"/>
  <c r="D746" i="18"/>
  <c r="H746" i="18" s="1"/>
  <c r="C746" i="18"/>
  <c r="G746" i="18" s="1"/>
  <c r="K746" i="18" s="1"/>
  <c r="J745" i="18"/>
  <c r="I745" i="18"/>
  <c r="F745" i="18"/>
  <c r="E745" i="18"/>
  <c r="D745" i="18"/>
  <c r="H745" i="18" s="1"/>
  <c r="C745" i="18"/>
  <c r="G745" i="18" s="1"/>
  <c r="K745" i="18" s="1"/>
  <c r="J744" i="18"/>
  <c r="I744" i="18"/>
  <c r="H744" i="18"/>
  <c r="F744" i="18"/>
  <c r="E744" i="18"/>
  <c r="D744" i="18"/>
  <c r="C744" i="18"/>
  <c r="G744" i="18" s="1"/>
  <c r="K744" i="18" s="1"/>
  <c r="J743" i="18"/>
  <c r="I743" i="18"/>
  <c r="F743" i="18"/>
  <c r="E743" i="18"/>
  <c r="D743" i="18"/>
  <c r="H743" i="18" s="1"/>
  <c r="C743" i="18"/>
  <c r="G743" i="18" s="1"/>
  <c r="J742" i="18"/>
  <c r="I742" i="18"/>
  <c r="F742" i="18"/>
  <c r="E742" i="18"/>
  <c r="D742" i="18"/>
  <c r="H742" i="18" s="1"/>
  <c r="C742" i="18"/>
  <c r="G742" i="18" s="1"/>
  <c r="K742" i="18" s="1"/>
  <c r="J741" i="18"/>
  <c r="I741" i="18"/>
  <c r="F741" i="18"/>
  <c r="E741" i="18"/>
  <c r="D741" i="18"/>
  <c r="H741" i="18" s="1"/>
  <c r="C741" i="18"/>
  <c r="G741" i="18" s="1"/>
  <c r="K741" i="18" s="1"/>
  <c r="J740" i="18"/>
  <c r="I740" i="18"/>
  <c r="F740" i="18"/>
  <c r="E740" i="18"/>
  <c r="D740" i="18"/>
  <c r="H740" i="18" s="1"/>
  <c r="C740" i="18"/>
  <c r="G740" i="18" s="1"/>
  <c r="J739" i="18"/>
  <c r="I739" i="18"/>
  <c r="F739" i="18"/>
  <c r="E739" i="18"/>
  <c r="D739" i="18"/>
  <c r="H739" i="18" s="1"/>
  <c r="C739" i="18"/>
  <c r="G739" i="18" s="1"/>
  <c r="K739" i="18" s="1"/>
  <c r="M731" i="18"/>
  <c r="G731" i="18"/>
  <c r="F731" i="18"/>
  <c r="E731" i="18"/>
  <c r="D731" i="18"/>
  <c r="C731" i="18"/>
  <c r="I731" i="18" s="1"/>
  <c r="L731" i="18" s="1"/>
  <c r="N731" i="18" s="1"/>
  <c r="H731" i="18" s="1"/>
  <c r="H717" i="18"/>
  <c r="G717" i="18"/>
  <c r="F717" i="18"/>
  <c r="E717" i="18"/>
  <c r="D717" i="18"/>
  <c r="C717" i="18"/>
  <c r="H716" i="18"/>
  <c r="G716" i="18"/>
  <c r="F716" i="18"/>
  <c r="E716" i="18"/>
  <c r="D716" i="18"/>
  <c r="C716" i="18"/>
  <c r="H715" i="18"/>
  <c r="G715" i="18"/>
  <c r="F715" i="18"/>
  <c r="E715" i="18"/>
  <c r="D715" i="18"/>
  <c r="C715" i="18"/>
  <c r="B697" i="18"/>
  <c r="B699" i="18" s="1"/>
  <c r="B698" i="18" s="1"/>
  <c r="B689" i="18"/>
  <c r="B685" i="18"/>
  <c r="B682" i="18"/>
  <c r="J661" i="18"/>
  <c r="I661" i="18"/>
  <c r="F661" i="18"/>
  <c r="E661" i="18"/>
  <c r="D661" i="18"/>
  <c r="H661" i="18" s="1"/>
  <c r="C661" i="18"/>
  <c r="G661" i="18" s="1"/>
  <c r="J660" i="18"/>
  <c r="I660" i="18"/>
  <c r="F660" i="18"/>
  <c r="E660" i="18"/>
  <c r="D660" i="18"/>
  <c r="H660" i="18" s="1"/>
  <c r="C660" i="18"/>
  <c r="G660" i="18" s="1"/>
  <c r="M652" i="18"/>
  <c r="L652" i="18"/>
  <c r="G652" i="18"/>
  <c r="B673" i="18" s="1"/>
  <c r="F652" i="18"/>
  <c r="E652" i="18"/>
  <c r="D652" i="18"/>
  <c r="C652" i="18"/>
  <c r="I652" i="18" s="1"/>
  <c r="H637" i="18"/>
  <c r="G637" i="18"/>
  <c r="F637" i="18"/>
  <c r="E637" i="18"/>
  <c r="D637" i="18"/>
  <c r="C637" i="18"/>
  <c r="H636" i="18"/>
  <c r="G636" i="18"/>
  <c r="F636" i="18"/>
  <c r="E636" i="18"/>
  <c r="D636" i="18"/>
  <c r="C636" i="18"/>
  <c r="B618" i="18"/>
  <c r="B620" i="18" s="1"/>
  <c r="B619" i="18" s="1"/>
  <c r="B607" i="18"/>
  <c r="B606" i="18"/>
  <c r="B603" i="18"/>
  <c r="B610" i="18" s="1"/>
  <c r="J583" i="18"/>
  <c r="I583" i="18"/>
  <c r="F583" i="18"/>
  <c r="E583" i="18"/>
  <c r="D583" i="18"/>
  <c r="H583" i="18" s="1"/>
  <c r="C583" i="18"/>
  <c r="G583" i="18" s="1"/>
  <c r="K583" i="18" s="1"/>
  <c r="J582" i="18"/>
  <c r="I582" i="18"/>
  <c r="F582" i="18"/>
  <c r="E582" i="18"/>
  <c r="D582" i="18"/>
  <c r="H582" i="18" s="1"/>
  <c r="C582" i="18"/>
  <c r="G582" i="18" s="1"/>
  <c r="K582" i="18" s="1"/>
  <c r="J581" i="18"/>
  <c r="I581" i="18"/>
  <c r="F581" i="18"/>
  <c r="E581" i="18"/>
  <c r="D581" i="18"/>
  <c r="H581" i="18" s="1"/>
  <c r="C581" i="18"/>
  <c r="G581" i="18" s="1"/>
  <c r="I573" i="18"/>
  <c r="L573" i="18" s="1"/>
  <c r="G573" i="18"/>
  <c r="F573" i="18"/>
  <c r="M573" i="18" s="1"/>
  <c r="E573" i="18"/>
  <c r="D573" i="18"/>
  <c r="C573" i="18"/>
  <c r="H559" i="18"/>
  <c r="G559" i="18"/>
  <c r="F559" i="18"/>
  <c r="E559" i="18"/>
  <c r="D559" i="18"/>
  <c r="C559" i="18"/>
  <c r="H558" i="18"/>
  <c r="G558" i="18"/>
  <c r="F558" i="18"/>
  <c r="E558" i="18"/>
  <c r="D558" i="18"/>
  <c r="C558" i="18"/>
  <c r="H557" i="18"/>
  <c r="B594" i="18" s="1"/>
  <c r="B624" i="18" s="1"/>
  <c r="G557" i="18"/>
  <c r="F557" i="18"/>
  <c r="E557" i="18"/>
  <c r="D557" i="18"/>
  <c r="C557" i="18"/>
  <c r="B541" i="18"/>
  <c r="B540" i="18"/>
  <c r="B539" i="18"/>
  <c r="G531" i="18"/>
  <c r="B527" i="18"/>
  <c r="B528" i="18" s="1"/>
  <c r="B524" i="18"/>
  <c r="B531" i="18" s="1"/>
  <c r="B533" i="18" s="1"/>
  <c r="B534" i="18" s="1"/>
  <c r="J504" i="18"/>
  <c r="I504" i="18"/>
  <c r="F504" i="18"/>
  <c r="E504" i="18"/>
  <c r="D504" i="18"/>
  <c r="H504" i="18" s="1"/>
  <c r="C504" i="18"/>
  <c r="G504" i="18" s="1"/>
  <c r="K504" i="18" s="1"/>
  <c r="J503" i="18"/>
  <c r="I503" i="18"/>
  <c r="F503" i="18"/>
  <c r="E503" i="18"/>
  <c r="D503" i="18"/>
  <c r="H503" i="18" s="1"/>
  <c r="C503" i="18"/>
  <c r="G503" i="18" s="1"/>
  <c r="K503" i="18" s="1"/>
  <c r="J502" i="18"/>
  <c r="I502" i="18"/>
  <c r="F502" i="18"/>
  <c r="E502" i="18"/>
  <c r="D502" i="18"/>
  <c r="H502" i="18" s="1"/>
  <c r="C502" i="18"/>
  <c r="G502" i="18" s="1"/>
  <c r="H483" i="18"/>
  <c r="G483" i="18"/>
  <c r="F483" i="18"/>
  <c r="E483" i="18"/>
  <c r="D483" i="18"/>
  <c r="C483" i="18"/>
  <c r="H482" i="18"/>
  <c r="G482" i="18"/>
  <c r="F482" i="18"/>
  <c r="E482" i="18"/>
  <c r="D482" i="18"/>
  <c r="C482" i="18"/>
  <c r="H481" i="18"/>
  <c r="G481" i="18"/>
  <c r="F481" i="18"/>
  <c r="E481" i="18"/>
  <c r="D481" i="18"/>
  <c r="C481" i="18"/>
  <c r="H480" i="18"/>
  <c r="G480" i="18"/>
  <c r="F480" i="18"/>
  <c r="E480" i="18"/>
  <c r="D480" i="18"/>
  <c r="C480" i="18"/>
  <c r="H479" i="18"/>
  <c r="G479" i="18"/>
  <c r="F479" i="18"/>
  <c r="E479" i="18"/>
  <c r="D479" i="18"/>
  <c r="C479" i="18"/>
  <c r="H478" i="18"/>
  <c r="B515" i="18" s="1"/>
  <c r="G478" i="18"/>
  <c r="F478" i="18"/>
  <c r="E478" i="18"/>
  <c r="D478" i="18"/>
  <c r="C478" i="18"/>
  <c r="B463" i="18"/>
  <c r="B462" i="18" s="1"/>
  <c r="B461" i="18"/>
  <c r="B449" i="18"/>
  <c r="B450" i="18" s="1"/>
  <c r="B446" i="18"/>
  <c r="B453" i="18" s="1"/>
  <c r="G453" i="18" s="1"/>
  <c r="J428" i="18"/>
  <c r="I428" i="18"/>
  <c r="F428" i="18"/>
  <c r="E428" i="18"/>
  <c r="D428" i="18"/>
  <c r="H428" i="18" s="1"/>
  <c r="C428" i="18"/>
  <c r="G428" i="18" s="1"/>
  <c r="K428" i="18" s="1"/>
  <c r="J427" i="18"/>
  <c r="I427" i="18"/>
  <c r="F427" i="18"/>
  <c r="E427" i="18"/>
  <c r="D427" i="18"/>
  <c r="H427" i="18" s="1"/>
  <c r="C427" i="18"/>
  <c r="G427" i="18" s="1"/>
  <c r="J426" i="18"/>
  <c r="I426" i="18"/>
  <c r="F426" i="18"/>
  <c r="E426" i="18"/>
  <c r="D426" i="18"/>
  <c r="H426" i="18" s="1"/>
  <c r="C426" i="18"/>
  <c r="G426" i="18" s="1"/>
  <c r="K426" i="18" s="1"/>
  <c r="J425" i="18"/>
  <c r="I425" i="18"/>
  <c r="F425" i="18"/>
  <c r="E425" i="18"/>
  <c r="D425" i="18"/>
  <c r="H425" i="18" s="1"/>
  <c r="C425" i="18"/>
  <c r="G425" i="18" s="1"/>
  <c r="K425" i="18" s="1"/>
  <c r="J424" i="18"/>
  <c r="I424" i="18"/>
  <c r="F424" i="18"/>
  <c r="E424" i="18"/>
  <c r="D424" i="18"/>
  <c r="H424" i="18" s="1"/>
  <c r="C424" i="18"/>
  <c r="G424" i="18" s="1"/>
  <c r="K424" i="18" s="1"/>
  <c r="H402" i="18"/>
  <c r="G402" i="18"/>
  <c r="F402" i="18"/>
  <c r="E402" i="18"/>
  <c r="D402" i="18"/>
  <c r="C402" i="18"/>
  <c r="H401" i="18"/>
  <c r="B437" i="18" s="1"/>
  <c r="G401" i="18"/>
  <c r="F401" i="18"/>
  <c r="E401" i="18"/>
  <c r="D401" i="18"/>
  <c r="C401" i="18"/>
  <c r="H400" i="18"/>
  <c r="G400" i="18"/>
  <c r="F400" i="18"/>
  <c r="E400" i="18"/>
  <c r="D400" i="18"/>
  <c r="C400" i="18"/>
  <c r="B383" i="18"/>
  <c r="B385" i="18" s="1"/>
  <c r="B384" i="18" s="1"/>
  <c r="B375" i="18"/>
  <c r="B372" i="18"/>
  <c r="B371" i="18"/>
  <c r="B368" i="18"/>
  <c r="J350" i="18"/>
  <c r="I350" i="18"/>
  <c r="H350" i="18"/>
  <c r="F350" i="18"/>
  <c r="E350" i="18"/>
  <c r="D350" i="18"/>
  <c r="C350" i="18"/>
  <c r="G350" i="18" s="1"/>
  <c r="K350" i="18" s="1"/>
  <c r="J349" i="18"/>
  <c r="I349" i="18"/>
  <c r="F349" i="18"/>
  <c r="E349" i="18"/>
  <c r="D349" i="18"/>
  <c r="H349" i="18" s="1"/>
  <c r="C349" i="18"/>
  <c r="G349" i="18" s="1"/>
  <c r="J348" i="18"/>
  <c r="I348" i="18"/>
  <c r="F348" i="18"/>
  <c r="E348" i="18"/>
  <c r="D348" i="18"/>
  <c r="H348" i="18" s="1"/>
  <c r="C348" i="18"/>
  <c r="G348" i="18" s="1"/>
  <c r="K348" i="18" s="1"/>
  <c r="J347" i="18"/>
  <c r="I347" i="18"/>
  <c r="F347" i="18"/>
  <c r="E347" i="18"/>
  <c r="D347" i="18"/>
  <c r="H347" i="18" s="1"/>
  <c r="C347" i="18"/>
  <c r="G347" i="18" s="1"/>
  <c r="K347" i="18" s="1"/>
  <c r="J346" i="18"/>
  <c r="I346" i="18"/>
  <c r="F346" i="18"/>
  <c r="E346" i="18"/>
  <c r="D346" i="18"/>
  <c r="H346" i="18" s="1"/>
  <c r="C346" i="18"/>
  <c r="G346" i="18" s="1"/>
  <c r="H325" i="18"/>
  <c r="G325" i="18"/>
  <c r="F325" i="18"/>
  <c r="E325" i="18"/>
  <c r="D325" i="18"/>
  <c r="C325" i="18"/>
  <c r="H324" i="18"/>
  <c r="G324" i="18"/>
  <c r="F324" i="18"/>
  <c r="E324" i="18"/>
  <c r="D324" i="18"/>
  <c r="C324" i="18"/>
  <c r="H323" i="18"/>
  <c r="G323" i="18"/>
  <c r="F323" i="18"/>
  <c r="E323" i="18"/>
  <c r="D323" i="18"/>
  <c r="C323" i="18"/>
  <c r="H322" i="18"/>
  <c r="B359" i="18" s="1"/>
  <c r="G322" i="18"/>
  <c r="F322" i="18"/>
  <c r="E322" i="18"/>
  <c r="D322" i="18"/>
  <c r="C322" i="18"/>
  <c r="B306" i="18"/>
  <c r="B305" i="18" s="1"/>
  <c r="B304" i="18"/>
  <c r="B298" i="18"/>
  <c r="B299" i="18" s="1"/>
  <c r="B292" i="18"/>
  <c r="B289" i="18"/>
  <c r="B296" i="18" s="1"/>
  <c r="G296" i="18" s="1"/>
  <c r="J270" i="18"/>
  <c r="I270" i="18"/>
  <c r="F270" i="18"/>
  <c r="E270" i="18"/>
  <c r="D270" i="18"/>
  <c r="H270" i="18" s="1"/>
  <c r="C270" i="18"/>
  <c r="G270" i="18" s="1"/>
  <c r="K270" i="18" s="1"/>
  <c r="J269" i="18"/>
  <c r="I269" i="18"/>
  <c r="F269" i="18"/>
  <c r="E269" i="18"/>
  <c r="D269" i="18"/>
  <c r="H269" i="18" s="1"/>
  <c r="C269" i="18"/>
  <c r="G269" i="18" s="1"/>
  <c r="J268" i="18"/>
  <c r="I268" i="18"/>
  <c r="F268" i="18"/>
  <c r="E268" i="18"/>
  <c r="D268" i="18"/>
  <c r="H268" i="18" s="1"/>
  <c r="C268" i="18"/>
  <c r="G268" i="18" s="1"/>
  <c r="J267" i="18"/>
  <c r="I267" i="18"/>
  <c r="F267" i="18"/>
  <c r="E267" i="18"/>
  <c r="D267" i="18"/>
  <c r="H267" i="18" s="1"/>
  <c r="C267" i="18"/>
  <c r="G267" i="18" s="1"/>
  <c r="K267" i="18" s="1"/>
  <c r="H246" i="18"/>
  <c r="G246" i="18"/>
  <c r="F246" i="18"/>
  <c r="E246" i="18"/>
  <c r="D246" i="18"/>
  <c r="C246" i="18"/>
  <c r="H245" i="18"/>
  <c r="G245" i="18"/>
  <c r="F245" i="18"/>
  <c r="E245" i="18"/>
  <c r="D245" i="18"/>
  <c r="C245" i="18"/>
  <c r="H244" i="18"/>
  <c r="G244" i="18"/>
  <c r="F244" i="18"/>
  <c r="E244" i="18"/>
  <c r="D244" i="18"/>
  <c r="C244" i="18"/>
  <c r="H243" i="18"/>
  <c r="G243" i="18"/>
  <c r="F243" i="18"/>
  <c r="E243" i="18"/>
  <c r="D243" i="18"/>
  <c r="C243" i="18"/>
  <c r="B225" i="18"/>
  <c r="B227" i="18" s="1"/>
  <c r="B226" i="18" s="1"/>
  <c r="B217" i="18"/>
  <c r="B213" i="18"/>
  <c r="B210" i="18"/>
  <c r="J190" i="18"/>
  <c r="I190" i="18"/>
  <c r="F190" i="18"/>
  <c r="E190" i="18"/>
  <c r="D190" i="18"/>
  <c r="H190" i="18" s="1"/>
  <c r="C190" i="18"/>
  <c r="G190" i="18" s="1"/>
  <c r="K190" i="18" s="1"/>
  <c r="J189" i="18"/>
  <c r="I189" i="18"/>
  <c r="F189" i="18"/>
  <c r="E189" i="18"/>
  <c r="D189" i="18"/>
  <c r="H189" i="18" s="1"/>
  <c r="C189" i="18"/>
  <c r="G189" i="18" s="1"/>
  <c r="J188" i="18"/>
  <c r="I188" i="18"/>
  <c r="H188" i="18"/>
  <c r="F188" i="18"/>
  <c r="E188" i="18"/>
  <c r="D188" i="18"/>
  <c r="C188" i="18"/>
  <c r="G188" i="18" s="1"/>
  <c r="K188" i="18" s="1"/>
  <c r="L180" i="18"/>
  <c r="G180" i="18"/>
  <c r="F180" i="18"/>
  <c r="M180" i="18" s="1"/>
  <c r="N180" i="18" s="1"/>
  <c r="H180" i="18" s="1"/>
  <c r="E180" i="18"/>
  <c r="D180" i="18"/>
  <c r="C180" i="18"/>
  <c r="I180" i="18" s="1"/>
  <c r="H165" i="18"/>
  <c r="G165" i="18"/>
  <c r="F165" i="18"/>
  <c r="E165" i="18"/>
  <c r="D165" i="18"/>
  <c r="C165" i="18"/>
  <c r="H164" i="18"/>
  <c r="B201" i="18" s="1"/>
  <c r="G164" i="18"/>
  <c r="F164" i="18"/>
  <c r="E164" i="18"/>
  <c r="D164" i="18"/>
  <c r="C164" i="18"/>
  <c r="B145" i="18"/>
  <c r="B147" i="18" s="1"/>
  <c r="B146" i="18" s="1"/>
  <c r="B127" i="18"/>
  <c r="B68" i="18"/>
  <c r="B67" i="18" s="1"/>
  <c r="B48" i="18"/>
  <c r="J28" i="18"/>
  <c r="B21" i="18"/>
  <c r="V12" i="18"/>
  <c r="V11" i="18"/>
  <c r="V10" i="18"/>
  <c r="V9" i="18"/>
  <c r="V8" i="18"/>
  <c r="V7" i="18"/>
  <c r="B127" i="17"/>
  <c r="B48" i="17"/>
  <c r="B133" i="17"/>
  <c r="B130" i="17"/>
  <c r="E109" i="17"/>
  <c r="D109" i="17"/>
  <c r="H109" i="17" s="1"/>
  <c r="C109" i="17"/>
  <c r="G109" i="17" s="1"/>
  <c r="E108" i="17"/>
  <c r="D108" i="17"/>
  <c r="H108" i="17" s="1"/>
  <c r="C108" i="17"/>
  <c r="G108" i="17" s="1"/>
  <c r="F92" i="17"/>
  <c r="D92" i="17"/>
  <c r="C92" i="17"/>
  <c r="F91" i="17"/>
  <c r="E91" i="17"/>
  <c r="D91" i="17"/>
  <c r="C91" i="17"/>
  <c r="F90" i="17"/>
  <c r="E90" i="17"/>
  <c r="D90" i="17"/>
  <c r="C90" i="17"/>
  <c r="F89" i="17"/>
  <c r="E89" i="17"/>
  <c r="D89" i="17"/>
  <c r="C89" i="17"/>
  <c r="F88" i="17"/>
  <c r="E88" i="17"/>
  <c r="D88" i="17"/>
  <c r="C88" i="17"/>
  <c r="F87" i="17"/>
  <c r="E87" i="17"/>
  <c r="D87" i="17"/>
  <c r="C87" i="17"/>
  <c r="F86" i="17"/>
  <c r="D86" i="17"/>
  <c r="C86" i="17"/>
  <c r="F85" i="17"/>
  <c r="D85" i="17"/>
  <c r="C85" i="17"/>
  <c r="F84" i="17"/>
  <c r="D84" i="17"/>
  <c r="C84" i="17"/>
  <c r="B66" i="17"/>
  <c r="B54" i="17"/>
  <c r="B51" i="17"/>
  <c r="E34" i="17"/>
  <c r="D34" i="17"/>
  <c r="H34" i="17" s="1"/>
  <c r="C34" i="17"/>
  <c r="G34" i="17" s="1"/>
  <c r="E33" i="17"/>
  <c r="D33" i="17"/>
  <c r="H33" i="17" s="1"/>
  <c r="C33" i="17"/>
  <c r="G33" i="17" s="1"/>
  <c r="K28" i="17"/>
  <c r="I28" i="17"/>
  <c r="E28" i="17"/>
  <c r="D28" i="17"/>
  <c r="C28" i="17"/>
  <c r="F22" i="17"/>
  <c r="D22" i="17"/>
  <c r="C22" i="17"/>
  <c r="F21" i="17"/>
  <c r="E21" i="17"/>
  <c r="D21" i="17"/>
  <c r="C21" i="17"/>
  <c r="E19" i="17"/>
  <c r="D19" i="17"/>
  <c r="B19" i="17"/>
  <c r="F19" i="17" s="1"/>
  <c r="E18" i="17"/>
  <c r="D18" i="17"/>
  <c r="C18" i="17"/>
  <c r="B18" i="17"/>
  <c r="F18" i="17" s="1"/>
  <c r="B17" i="17"/>
  <c r="E16" i="17"/>
  <c r="B16" i="17"/>
  <c r="E15" i="17"/>
  <c r="D15" i="17"/>
  <c r="B15" i="17"/>
  <c r="F15" i="17" s="1"/>
  <c r="D14" i="17"/>
  <c r="C14" i="17"/>
  <c r="B14" i="17"/>
  <c r="F14" i="17" s="1"/>
  <c r="B13" i="17"/>
  <c r="B12" i="17"/>
  <c r="B776" i="17"/>
  <c r="B778" i="17" s="1"/>
  <c r="B777" i="17" s="1"/>
  <c r="G768" i="17"/>
  <c r="B768" i="17"/>
  <c r="B770" i="17" s="1"/>
  <c r="B771" i="17" s="1"/>
  <c r="B764" i="17"/>
  <c r="B761" i="17"/>
  <c r="J750" i="17"/>
  <c r="I750" i="17"/>
  <c r="F750" i="17"/>
  <c r="E750" i="17"/>
  <c r="D750" i="17"/>
  <c r="H750" i="17" s="1"/>
  <c r="C750" i="17"/>
  <c r="G750" i="17" s="1"/>
  <c r="K750" i="17" s="1"/>
  <c r="J749" i="17"/>
  <c r="I749" i="17"/>
  <c r="F749" i="17"/>
  <c r="E749" i="17"/>
  <c r="D749" i="17"/>
  <c r="H749" i="17" s="1"/>
  <c r="C749" i="17"/>
  <c r="G749" i="17" s="1"/>
  <c r="K749" i="17" s="1"/>
  <c r="J748" i="17"/>
  <c r="I748" i="17"/>
  <c r="F748" i="17"/>
  <c r="E748" i="17"/>
  <c r="D748" i="17"/>
  <c r="H748" i="17" s="1"/>
  <c r="C748" i="17"/>
  <c r="G748" i="17" s="1"/>
  <c r="K748" i="17" s="1"/>
  <c r="J747" i="17"/>
  <c r="I747" i="17"/>
  <c r="F747" i="17"/>
  <c r="E747" i="17"/>
  <c r="D747" i="17"/>
  <c r="H747" i="17" s="1"/>
  <c r="C747" i="17"/>
  <c r="G747" i="17" s="1"/>
  <c r="K747" i="17" s="1"/>
  <c r="J746" i="17"/>
  <c r="I746" i="17"/>
  <c r="F746" i="17"/>
  <c r="E746" i="17"/>
  <c r="D746" i="17"/>
  <c r="H746" i="17" s="1"/>
  <c r="C746" i="17"/>
  <c r="G746" i="17" s="1"/>
  <c r="K746" i="17" s="1"/>
  <c r="J745" i="17"/>
  <c r="I745" i="17"/>
  <c r="F745" i="17"/>
  <c r="E745" i="17"/>
  <c r="D745" i="17"/>
  <c r="H745" i="17" s="1"/>
  <c r="C745" i="17"/>
  <c r="G745" i="17" s="1"/>
  <c r="K745" i="17" s="1"/>
  <c r="J744" i="17"/>
  <c r="I744" i="17"/>
  <c r="F744" i="17"/>
  <c r="E744" i="17"/>
  <c r="D744" i="17"/>
  <c r="H744" i="17" s="1"/>
  <c r="C744" i="17"/>
  <c r="G744" i="17" s="1"/>
  <c r="K744" i="17" s="1"/>
  <c r="J743" i="17"/>
  <c r="I743" i="17"/>
  <c r="F743" i="17"/>
  <c r="E743" i="17"/>
  <c r="D743" i="17"/>
  <c r="H743" i="17" s="1"/>
  <c r="C743" i="17"/>
  <c r="G743" i="17" s="1"/>
  <c r="J742" i="17"/>
  <c r="I742" i="17"/>
  <c r="F742" i="17"/>
  <c r="E742" i="17"/>
  <c r="D742" i="17"/>
  <c r="H742" i="17" s="1"/>
  <c r="C742" i="17"/>
  <c r="G742" i="17" s="1"/>
  <c r="J741" i="17"/>
  <c r="I741" i="17"/>
  <c r="F741" i="17"/>
  <c r="E741" i="17"/>
  <c r="D741" i="17"/>
  <c r="H741" i="17" s="1"/>
  <c r="C741" i="17"/>
  <c r="G741" i="17" s="1"/>
  <c r="J740" i="17"/>
  <c r="I740" i="17"/>
  <c r="F740" i="17"/>
  <c r="E740" i="17"/>
  <c r="D740" i="17"/>
  <c r="H740" i="17" s="1"/>
  <c r="C740" i="17"/>
  <c r="G740" i="17" s="1"/>
  <c r="K740" i="17" s="1"/>
  <c r="J739" i="17"/>
  <c r="B752" i="17" s="1"/>
  <c r="I739" i="17"/>
  <c r="F739" i="17"/>
  <c r="E739" i="17"/>
  <c r="D739" i="17"/>
  <c r="H739" i="17" s="1"/>
  <c r="C739" i="17"/>
  <c r="G739" i="17" s="1"/>
  <c r="L731" i="17"/>
  <c r="I731" i="17"/>
  <c r="G731" i="17"/>
  <c r="F731" i="17"/>
  <c r="M731" i="17" s="1"/>
  <c r="N731" i="17" s="1"/>
  <c r="H731" i="17" s="1"/>
  <c r="E731" i="17"/>
  <c r="D731" i="17"/>
  <c r="C731" i="17"/>
  <c r="H717" i="17"/>
  <c r="G717" i="17"/>
  <c r="F717" i="17"/>
  <c r="E717" i="17"/>
  <c r="D717" i="17"/>
  <c r="C717" i="17"/>
  <c r="H716" i="17"/>
  <c r="G716" i="17"/>
  <c r="F716" i="17"/>
  <c r="E716" i="17"/>
  <c r="D716" i="17"/>
  <c r="C716" i="17"/>
  <c r="H715" i="17"/>
  <c r="G715" i="17"/>
  <c r="F715" i="17"/>
  <c r="E715" i="17"/>
  <c r="D715" i="17"/>
  <c r="C715" i="17"/>
  <c r="B699" i="17"/>
  <c r="B698" i="17" s="1"/>
  <c r="B697" i="17"/>
  <c r="B685" i="17"/>
  <c r="B682" i="17"/>
  <c r="B689" i="17" s="1"/>
  <c r="G689" i="17" s="1"/>
  <c r="J661" i="17"/>
  <c r="I661" i="17"/>
  <c r="F661" i="17"/>
  <c r="E661" i="17"/>
  <c r="D661" i="17"/>
  <c r="H661" i="17" s="1"/>
  <c r="C661" i="17"/>
  <c r="G661" i="17" s="1"/>
  <c r="K661" i="17" s="1"/>
  <c r="J660" i="17"/>
  <c r="I660" i="17"/>
  <c r="F660" i="17"/>
  <c r="E660" i="17"/>
  <c r="D660" i="17"/>
  <c r="H660" i="17" s="1"/>
  <c r="C660" i="17"/>
  <c r="G660" i="17" s="1"/>
  <c r="K660" i="17" s="1"/>
  <c r="M652" i="17"/>
  <c r="I652" i="17"/>
  <c r="L652" i="17" s="1"/>
  <c r="N652" i="17" s="1"/>
  <c r="H652" i="17" s="1"/>
  <c r="G652" i="17"/>
  <c r="F652" i="17"/>
  <c r="E652" i="17"/>
  <c r="D652" i="17"/>
  <c r="C652" i="17"/>
  <c r="H637" i="17"/>
  <c r="G637" i="17"/>
  <c r="F637" i="17"/>
  <c r="E637" i="17"/>
  <c r="D637" i="17"/>
  <c r="C637" i="17"/>
  <c r="H636" i="17"/>
  <c r="B673" i="17" s="1"/>
  <c r="G636" i="17"/>
  <c r="F636" i="17"/>
  <c r="E636" i="17"/>
  <c r="D636" i="17"/>
  <c r="C636" i="17"/>
  <c r="B620" i="17"/>
  <c r="B619" i="17"/>
  <c r="B618" i="17"/>
  <c r="B607" i="17"/>
  <c r="B606" i="17"/>
  <c r="B603" i="17"/>
  <c r="B610" i="17" s="1"/>
  <c r="J583" i="17"/>
  <c r="I583" i="17"/>
  <c r="F583" i="17"/>
  <c r="E583" i="17"/>
  <c r="D583" i="17"/>
  <c r="H583" i="17" s="1"/>
  <c r="C583" i="17"/>
  <c r="G583" i="17" s="1"/>
  <c r="J582" i="17"/>
  <c r="I582" i="17"/>
  <c r="F582" i="17"/>
  <c r="E582" i="17"/>
  <c r="D582" i="17"/>
  <c r="H582" i="17" s="1"/>
  <c r="C582" i="17"/>
  <c r="G582" i="17" s="1"/>
  <c r="K582" i="17" s="1"/>
  <c r="J581" i="17"/>
  <c r="B594" i="17" s="1"/>
  <c r="I581" i="17"/>
  <c r="F581" i="17"/>
  <c r="E581" i="17"/>
  <c r="D581" i="17"/>
  <c r="H581" i="17" s="1"/>
  <c r="C581" i="17"/>
  <c r="G581" i="17" s="1"/>
  <c r="G573" i="17"/>
  <c r="F573" i="17"/>
  <c r="M573" i="17" s="1"/>
  <c r="E573" i="17"/>
  <c r="D573" i="17"/>
  <c r="C573" i="17"/>
  <c r="I573" i="17" s="1"/>
  <c r="L573" i="17" s="1"/>
  <c r="N573" i="17" s="1"/>
  <c r="H573" i="17" s="1"/>
  <c r="H559" i="17"/>
  <c r="G559" i="17"/>
  <c r="F559" i="17"/>
  <c r="E559" i="17"/>
  <c r="D559" i="17"/>
  <c r="C559" i="17"/>
  <c r="H558" i="17"/>
  <c r="G558" i="17"/>
  <c r="F558" i="17"/>
  <c r="E558" i="17"/>
  <c r="D558" i="17"/>
  <c r="C558" i="17"/>
  <c r="H557" i="17"/>
  <c r="G557" i="17"/>
  <c r="F557" i="17"/>
  <c r="E557" i="17"/>
  <c r="D557" i="17"/>
  <c r="C557" i="17"/>
  <c r="B539" i="17"/>
  <c r="B541" i="17" s="1"/>
  <c r="B540" i="17" s="1"/>
  <c r="B531" i="17"/>
  <c r="B527" i="17"/>
  <c r="B528" i="17" s="1"/>
  <c r="B524" i="17"/>
  <c r="J504" i="17"/>
  <c r="I504" i="17"/>
  <c r="F504" i="17"/>
  <c r="E504" i="17"/>
  <c r="D504" i="17"/>
  <c r="H504" i="17" s="1"/>
  <c r="C504" i="17"/>
  <c r="G504" i="17" s="1"/>
  <c r="K504" i="17" s="1"/>
  <c r="J503" i="17"/>
  <c r="I503" i="17"/>
  <c r="F503" i="17"/>
  <c r="E503" i="17"/>
  <c r="D503" i="17"/>
  <c r="H503" i="17" s="1"/>
  <c r="C503" i="17"/>
  <c r="G503" i="17" s="1"/>
  <c r="K503" i="17" s="1"/>
  <c r="J502" i="17"/>
  <c r="I502" i="17"/>
  <c r="F502" i="17"/>
  <c r="E502" i="17"/>
  <c r="D502" i="17"/>
  <c r="H502" i="17" s="1"/>
  <c r="C502" i="17"/>
  <c r="G502" i="17" s="1"/>
  <c r="H483" i="17"/>
  <c r="G483" i="17"/>
  <c r="F483" i="17"/>
  <c r="E483" i="17"/>
  <c r="D483" i="17"/>
  <c r="C483" i="17"/>
  <c r="H482" i="17"/>
  <c r="G482" i="17"/>
  <c r="F482" i="17"/>
  <c r="E482" i="17"/>
  <c r="D482" i="17"/>
  <c r="C482" i="17"/>
  <c r="H481" i="17"/>
  <c r="G481" i="17"/>
  <c r="F481" i="17"/>
  <c r="E481" i="17"/>
  <c r="D481" i="17"/>
  <c r="C481" i="17"/>
  <c r="H480" i="17"/>
  <c r="G480" i="17"/>
  <c r="F480" i="17"/>
  <c r="E480" i="17"/>
  <c r="D480" i="17"/>
  <c r="C480" i="17"/>
  <c r="H479" i="17"/>
  <c r="B515" i="17" s="1"/>
  <c r="B545" i="17" s="1"/>
  <c r="G479" i="17"/>
  <c r="F479" i="17"/>
  <c r="E479" i="17"/>
  <c r="D479" i="17"/>
  <c r="C479" i="17"/>
  <c r="H478" i="17"/>
  <c r="G478" i="17"/>
  <c r="F478" i="17"/>
  <c r="E478" i="17"/>
  <c r="D478" i="17"/>
  <c r="C478" i="17"/>
  <c r="B461" i="17"/>
  <c r="B463" i="17" s="1"/>
  <c r="B462" i="17" s="1"/>
  <c r="G453" i="17"/>
  <c r="B450" i="17"/>
  <c r="B449" i="17"/>
  <c r="B446" i="17"/>
  <c r="B453" i="17" s="1"/>
  <c r="B455" i="17" s="1"/>
  <c r="B456" i="17" s="1"/>
  <c r="J428" i="17"/>
  <c r="I428" i="17"/>
  <c r="F428" i="17"/>
  <c r="E428" i="17"/>
  <c r="D428" i="17"/>
  <c r="H428" i="17" s="1"/>
  <c r="C428" i="17"/>
  <c r="G428" i="17" s="1"/>
  <c r="K428" i="17" s="1"/>
  <c r="J427" i="17"/>
  <c r="I427" i="17"/>
  <c r="F427" i="17"/>
  <c r="E427" i="17"/>
  <c r="D427" i="17"/>
  <c r="H427" i="17" s="1"/>
  <c r="C427" i="17"/>
  <c r="G427" i="17" s="1"/>
  <c r="K427" i="17" s="1"/>
  <c r="J426" i="17"/>
  <c r="I426" i="17"/>
  <c r="H426" i="17"/>
  <c r="F426" i="17"/>
  <c r="E426" i="17"/>
  <c r="D426" i="17"/>
  <c r="C426" i="17"/>
  <c r="G426" i="17" s="1"/>
  <c r="K426" i="17" s="1"/>
  <c r="J425" i="17"/>
  <c r="I425" i="17"/>
  <c r="F425" i="17"/>
  <c r="E425" i="17"/>
  <c r="D425" i="17"/>
  <c r="H425" i="17" s="1"/>
  <c r="C425" i="17"/>
  <c r="G425" i="17" s="1"/>
  <c r="J424" i="17"/>
  <c r="I424" i="17"/>
  <c r="F424" i="17"/>
  <c r="E424" i="17"/>
  <c r="D424" i="17"/>
  <c r="H424" i="17" s="1"/>
  <c r="C424" i="17"/>
  <c r="G424" i="17" s="1"/>
  <c r="K424" i="17" s="1"/>
  <c r="H402" i="17"/>
  <c r="G402" i="17"/>
  <c r="F402" i="17"/>
  <c r="E402" i="17"/>
  <c r="D402" i="17"/>
  <c r="C402" i="17"/>
  <c r="H401" i="17"/>
  <c r="G401" i="17"/>
  <c r="F401" i="17"/>
  <c r="E401" i="17"/>
  <c r="D401" i="17"/>
  <c r="C401" i="17"/>
  <c r="H400" i="17"/>
  <c r="B437" i="17" s="1"/>
  <c r="G400" i="17"/>
  <c r="F400" i="17"/>
  <c r="E400" i="17"/>
  <c r="D400" i="17"/>
  <c r="C400" i="17"/>
  <c r="B385" i="17"/>
  <c r="B384" i="17" s="1"/>
  <c r="B383" i="17"/>
  <c r="B377" i="17"/>
  <c r="B378" i="17" s="1"/>
  <c r="B371" i="17"/>
  <c r="B372" i="17" s="1"/>
  <c r="B368" i="17"/>
  <c r="B375" i="17" s="1"/>
  <c r="G375" i="17" s="1"/>
  <c r="J350" i="17"/>
  <c r="I350" i="17"/>
  <c r="F350" i="17"/>
  <c r="E350" i="17"/>
  <c r="D350" i="17"/>
  <c r="H350" i="17" s="1"/>
  <c r="C350" i="17"/>
  <c r="G350" i="17" s="1"/>
  <c r="K350" i="17" s="1"/>
  <c r="J349" i="17"/>
  <c r="I349" i="17"/>
  <c r="F349" i="17"/>
  <c r="E349" i="17"/>
  <c r="D349" i="17"/>
  <c r="H349" i="17" s="1"/>
  <c r="C349" i="17"/>
  <c r="G349" i="17" s="1"/>
  <c r="J348" i="17"/>
  <c r="I348" i="17"/>
  <c r="H348" i="17"/>
  <c r="F348" i="17"/>
  <c r="E348" i="17"/>
  <c r="D348" i="17"/>
  <c r="C348" i="17"/>
  <c r="G348" i="17" s="1"/>
  <c r="K348" i="17" s="1"/>
  <c r="J347" i="17"/>
  <c r="I347" i="17"/>
  <c r="H347" i="17"/>
  <c r="F347" i="17"/>
  <c r="E347" i="17"/>
  <c r="D347" i="17"/>
  <c r="C347" i="17"/>
  <c r="G347" i="17" s="1"/>
  <c r="K347" i="17" s="1"/>
  <c r="J346" i="17"/>
  <c r="I346" i="17"/>
  <c r="F346" i="17"/>
  <c r="E346" i="17"/>
  <c r="D346" i="17"/>
  <c r="H346" i="17" s="1"/>
  <c r="C346" i="17"/>
  <c r="G346" i="17" s="1"/>
  <c r="K346" i="17" s="1"/>
  <c r="H325" i="17"/>
  <c r="G325" i="17"/>
  <c r="F325" i="17"/>
  <c r="E325" i="17"/>
  <c r="D325" i="17"/>
  <c r="C325" i="17"/>
  <c r="H324" i="17"/>
  <c r="G324" i="17"/>
  <c r="F324" i="17"/>
  <c r="E324" i="17"/>
  <c r="D324" i="17"/>
  <c r="C324" i="17"/>
  <c r="H323" i="17"/>
  <c r="G323" i="17"/>
  <c r="F323" i="17"/>
  <c r="E323" i="17"/>
  <c r="D323" i="17"/>
  <c r="C323" i="17"/>
  <c r="H322" i="17"/>
  <c r="G322" i="17"/>
  <c r="F322" i="17"/>
  <c r="E322" i="17"/>
  <c r="D322" i="17"/>
  <c r="C322" i="17"/>
  <c r="B304" i="17"/>
  <c r="B306" i="17" s="1"/>
  <c r="B305" i="17" s="1"/>
  <c r="B299" i="17"/>
  <c r="G296" i="17"/>
  <c r="B296" i="17"/>
  <c r="B298" i="17" s="1"/>
  <c r="B292" i="17"/>
  <c r="B289" i="17"/>
  <c r="J270" i="17"/>
  <c r="I270" i="17"/>
  <c r="F270" i="17"/>
  <c r="E270" i="17"/>
  <c r="D270" i="17"/>
  <c r="H270" i="17" s="1"/>
  <c r="C270" i="17"/>
  <c r="G270" i="17" s="1"/>
  <c r="J269" i="17"/>
  <c r="I269" i="17"/>
  <c r="F269" i="17"/>
  <c r="E269" i="17"/>
  <c r="D269" i="17"/>
  <c r="H269" i="17" s="1"/>
  <c r="C269" i="17"/>
  <c r="G269" i="17" s="1"/>
  <c r="J268" i="17"/>
  <c r="I268" i="17"/>
  <c r="F268" i="17"/>
  <c r="E268" i="17"/>
  <c r="D268" i="17"/>
  <c r="H268" i="17" s="1"/>
  <c r="C268" i="17"/>
  <c r="G268" i="17" s="1"/>
  <c r="K268" i="17" s="1"/>
  <c r="J267" i="17"/>
  <c r="I267" i="17"/>
  <c r="F267" i="17"/>
  <c r="E267" i="17"/>
  <c r="D267" i="17"/>
  <c r="H267" i="17" s="1"/>
  <c r="C267" i="17"/>
  <c r="G267" i="17" s="1"/>
  <c r="K267" i="17" s="1"/>
  <c r="H246" i="17"/>
  <c r="G246" i="17"/>
  <c r="F246" i="17"/>
  <c r="E246" i="17"/>
  <c r="D246" i="17"/>
  <c r="C246" i="17"/>
  <c r="H245" i="17"/>
  <c r="G245" i="17"/>
  <c r="F245" i="17"/>
  <c r="E245" i="17"/>
  <c r="D245" i="17"/>
  <c r="C245" i="17"/>
  <c r="H244" i="17"/>
  <c r="G244" i="17"/>
  <c r="F244" i="17"/>
  <c r="E244" i="17"/>
  <c r="D244" i="17"/>
  <c r="C244" i="17"/>
  <c r="H243" i="17"/>
  <c r="B280" i="17" s="1"/>
  <c r="G243" i="17"/>
  <c r="F243" i="17"/>
  <c r="E243" i="17"/>
  <c r="D243" i="17"/>
  <c r="C243" i="17"/>
  <c r="B225" i="17"/>
  <c r="B227" i="17" s="1"/>
  <c r="B226" i="17" s="1"/>
  <c r="B213" i="17"/>
  <c r="B210" i="17"/>
  <c r="B217" i="17" s="1"/>
  <c r="J190" i="17"/>
  <c r="I190" i="17"/>
  <c r="F190" i="17"/>
  <c r="E190" i="17"/>
  <c r="D190" i="17"/>
  <c r="H190" i="17" s="1"/>
  <c r="C190" i="17"/>
  <c r="G190" i="17" s="1"/>
  <c r="J189" i="17"/>
  <c r="I189" i="17"/>
  <c r="F189" i="17"/>
  <c r="E189" i="17"/>
  <c r="D189" i="17"/>
  <c r="H189" i="17" s="1"/>
  <c r="C189" i="17"/>
  <c r="G189" i="17" s="1"/>
  <c r="K189" i="17" s="1"/>
  <c r="J188" i="17"/>
  <c r="I188" i="17"/>
  <c r="F188" i="17"/>
  <c r="E188" i="17"/>
  <c r="D188" i="17"/>
  <c r="H188" i="17" s="1"/>
  <c r="C188" i="17"/>
  <c r="G188" i="17" s="1"/>
  <c r="K188" i="17" s="1"/>
  <c r="L180" i="17"/>
  <c r="I180" i="17"/>
  <c r="G180" i="17"/>
  <c r="F180" i="17"/>
  <c r="M180" i="17" s="1"/>
  <c r="N180" i="17" s="1"/>
  <c r="H180" i="17" s="1"/>
  <c r="E180" i="17"/>
  <c r="D180" i="17"/>
  <c r="C180" i="17"/>
  <c r="H165" i="17"/>
  <c r="G165" i="17"/>
  <c r="F165" i="17"/>
  <c r="E165" i="17"/>
  <c r="D165" i="17"/>
  <c r="C165" i="17"/>
  <c r="H164" i="17"/>
  <c r="B201" i="17" s="1"/>
  <c r="G164" i="17"/>
  <c r="F164" i="17"/>
  <c r="E164" i="17"/>
  <c r="D164" i="17"/>
  <c r="C164" i="17"/>
  <c r="B145" i="17"/>
  <c r="B147" i="17" s="1"/>
  <c r="B146" i="17" s="1"/>
  <c r="B137" i="17"/>
  <c r="B68" i="17"/>
  <c r="B67" i="17" s="1"/>
  <c r="J28" i="17"/>
  <c r="L28" i="17" s="1"/>
  <c r="B21" i="17"/>
  <c r="V12" i="17"/>
  <c r="V11" i="17"/>
  <c r="V10" i="17"/>
  <c r="V9" i="17"/>
  <c r="V8" i="17"/>
  <c r="V7" i="17"/>
  <c r="EH61" i="16"/>
  <c r="EH61" i="15"/>
  <c r="AP39" i="6"/>
  <c r="EH72" i="6" s="1"/>
  <c r="AP30" i="6"/>
  <c r="AP24" i="6"/>
  <c r="AP20" i="6"/>
  <c r="AP12" i="6"/>
  <c r="AP9" i="6"/>
  <c r="K33" i="17" l="1"/>
  <c r="K108" i="18"/>
  <c r="K108" i="17"/>
  <c r="K33" i="18"/>
  <c r="K109" i="18"/>
  <c r="K34" i="18"/>
  <c r="F13" i="18"/>
  <c r="F17" i="18"/>
  <c r="F12" i="18"/>
  <c r="C13" i="18"/>
  <c r="F16" i="18"/>
  <c r="C17" i="18"/>
  <c r="C12" i="18"/>
  <c r="D13" i="18"/>
  <c r="F15" i="18"/>
  <c r="C16" i="18"/>
  <c r="D17" i="18"/>
  <c r="F19" i="18"/>
  <c r="B137" i="18"/>
  <c r="D12" i="18"/>
  <c r="C15" i="18"/>
  <c r="D16" i="18"/>
  <c r="C19" i="18"/>
  <c r="B139" i="18"/>
  <c r="B140" i="18" s="1"/>
  <c r="G137" i="18"/>
  <c r="B674" i="18"/>
  <c r="B704" i="18" s="1"/>
  <c r="B703" i="18"/>
  <c r="G58" i="18"/>
  <c r="B60" i="18"/>
  <c r="B61" i="18" s="1"/>
  <c r="K581" i="18"/>
  <c r="B360" i="18"/>
  <c r="B390" i="18" s="1"/>
  <c r="B389" i="18"/>
  <c r="B612" i="18"/>
  <c r="B613" i="18" s="1"/>
  <c r="G610" i="18"/>
  <c r="B202" i="18"/>
  <c r="B232" i="18" s="1"/>
  <c r="B231" i="18"/>
  <c r="K189" i="18"/>
  <c r="K269" i="18"/>
  <c r="B438" i="18"/>
  <c r="B468" i="18" s="1"/>
  <c r="B467" i="18"/>
  <c r="K661" i="18"/>
  <c r="L28" i="18"/>
  <c r="K268" i="18"/>
  <c r="K502" i="18"/>
  <c r="N573" i="18"/>
  <c r="H573" i="18" s="1"/>
  <c r="K747" i="18"/>
  <c r="G217" i="18"/>
  <c r="B219" i="18"/>
  <c r="B220" i="18" s="1"/>
  <c r="G375" i="18"/>
  <c r="B377" i="18"/>
  <c r="B378" i="18" s="1"/>
  <c r="B545" i="18"/>
  <c r="B516" i="18"/>
  <c r="B546" i="18" s="1"/>
  <c r="N652" i="18"/>
  <c r="H652" i="18" s="1"/>
  <c r="G689" i="18"/>
  <c r="B691" i="18"/>
  <c r="B692" i="18" s="1"/>
  <c r="B752" i="18"/>
  <c r="B280" i="18"/>
  <c r="K346" i="18"/>
  <c r="K349" i="18"/>
  <c r="K427" i="18"/>
  <c r="B455" i="18"/>
  <c r="B456" i="18" s="1"/>
  <c r="B595" i="18"/>
  <c r="B625" i="18" s="1"/>
  <c r="K660" i="18"/>
  <c r="K740" i="18"/>
  <c r="K743" i="18"/>
  <c r="K109" i="17"/>
  <c r="K34" i="17"/>
  <c r="F16" i="17"/>
  <c r="C17" i="17"/>
  <c r="D12" i="17"/>
  <c r="C15" i="17"/>
  <c r="D16" i="17"/>
  <c r="E17" i="17"/>
  <c r="C19" i="17"/>
  <c r="F13" i="17"/>
  <c r="F17" i="17"/>
  <c r="F12" i="17"/>
  <c r="C13" i="17"/>
  <c r="B58" i="17"/>
  <c r="B60" i="17" s="1"/>
  <c r="B61" i="17" s="1"/>
  <c r="C12" i="17"/>
  <c r="D13" i="17"/>
  <c r="C16" i="17"/>
  <c r="D17" i="17"/>
  <c r="B595" i="17"/>
  <c r="B625" i="17" s="1"/>
  <c r="B624" i="17"/>
  <c r="B310" i="17"/>
  <c r="B281" i="17"/>
  <c r="B311" i="17" s="1"/>
  <c r="B516" i="17"/>
  <c r="B546" i="17" s="1"/>
  <c r="K502" i="17"/>
  <c r="G58" i="17"/>
  <c r="B231" i="17"/>
  <c r="B202" i="17"/>
  <c r="B232" i="17" s="1"/>
  <c r="B219" i="17"/>
  <c r="B220" i="17" s="1"/>
  <c r="G217" i="17"/>
  <c r="G137" i="17"/>
  <c r="B140" i="17"/>
  <c r="K270" i="17"/>
  <c r="K190" i="17"/>
  <c r="K349" i="17"/>
  <c r="K425" i="17"/>
  <c r="B533" i="17"/>
  <c r="B534" i="17" s="1"/>
  <c r="G531" i="17"/>
  <c r="K581" i="17"/>
  <c r="K583" i="17"/>
  <c r="B612" i="17"/>
  <c r="B613" i="17" s="1"/>
  <c r="G610" i="17"/>
  <c r="K742" i="17"/>
  <c r="B438" i="17"/>
  <c r="B468" i="17" s="1"/>
  <c r="B467" i="17"/>
  <c r="K741" i="17"/>
  <c r="K743" i="17"/>
  <c r="B674" i="17"/>
  <c r="B704" i="17" s="1"/>
  <c r="B703" i="17"/>
  <c r="B782" i="17"/>
  <c r="B753" i="17"/>
  <c r="B783" i="17" s="1"/>
  <c r="K269" i="17"/>
  <c r="B359" i="17"/>
  <c r="B691" i="17"/>
  <c r="B692" i="17" s="1"/>
  <c r="K739" i="17"/>
  <c r="AE56" i="16"/>
  <c r="AD56" i="16"/>
  <c r="AE55" i="16"/>
  <c r="AD55" i="16"/>
  <c r="AE54" i="16"/>
  <c r="AD54" i="16"/>
  <c r="AE52" i="16"/>
  <c r="AG49" i="16" s="1"/>
  <c r="Q30" i="16"/>
  <c r="AD50" i="16"/>
  <c r="AE49" i="16"/>
  <c r="AE46" i="16"/>
  <c r="AD46" i="16"/>
  <c r="AE45" i="16"/>
  <c r="AD45" i="16"/>
  <c r="AE44" i="16"/>
  <c r="AD44" i="16"/>
  <c r="AE43" i="16"/>
  <c r="AD43" i="16"/>
  <c r="AE42" i="16"/>
  <c r="AG40" i="16" s="1"/>
  <c r="AD42" i="16"/>
  <c r="AA40" i="16"/>
  <c r="Q14" i="16" s="1"/>
  <c r="F28" i="18" s="1"/>
  <c r="M28" i="18" s="1"/>
  <c r="AD36" i="16"/>
  <c r="AG35" i="16"/>
  <c r="AE35" i="16"/>
  <c r="AE32" i="16"/>
  <c r="AD32" i="16"/>
  <c r="AE31" i="16"/>
  <c r="AD31" i="16"/>
  <c r="AE30" i="16"/>
  <c r="AE27" i="16" s="1"/>
  <c r="AD30" i="16"/>
  <c r="AE29" i="16"/>
  <c r="AD29" i="16"/>
  <c r="AG27" i="16"/>
  <c r="AE25" i="16"/>
  <c r="AD25" i="16"/>
  <c r="AE24" i="16"/>
  <c r="AD24" i="16"/>
  <c r="AE23" i="16"/>
  <c r="AG21" i="16" s="1"/>
  <c r="AD23" i="16"/>
  <c r="AE19" i="16"/>
  <c r="AD19" i="16"/>
  <c r="AE18" i="16"/>
  <c r="AD18" i="16"/>
  <c r="AE17" i="16"/>
  <c r="AE13" i="16" s="1"/>
  <c r="S9" i="16" s="1"/>
  <c r="T9" i="16" s="1"/>
  <c r="AD17" i="16"/>
  <c r="AE15" i="16"/>
  <c r="AD15" i="16"/>
  <c r="AA13" i="16" s="1"/>
  <c r="AG13" i="16"/>
  <c r="U20" i="16" s="1"/>
  <c r="AE10" i="16"/>
  <c r="AD10" i="16"/>
  <c r="AE9" i="16"/>
  <c r="AG5" i="16" s="1"/>
  <c r="AD9" i="16"/>
  <c r="AE8" i="16"/>
  <c r="AE7" i="16"/>
  <c r="AE5" i="16" s="1"/>
  <c r="AD7" i="16"/>
  <c r="AA5" i="16"/>
  <c r="EB79" i="16"/>
  <c r="EB78" i="16"/>
  <c r="EB77" i="16"/>
  <c r="EB76" i="16"/>
  <c r="EB75" i="16"/>
  <c r="EB73" i="16"/>
  <c r="EB72" i="16"/>
  <c r="EB71" i="16"/>
  <c r="EB70" i="16"/>
  <c r="EB68" i="16"/>
  <c r="EB67" i="16"/>
  <c r="EB66" i="16"/>
  <c r="EB65" i="16"/>
  <c r="EB63" i="16"/>
  <c r="EB62" i="16"/>
  <c r="EB61" i="16"/>
  <c r="EB59" i="16"/>
  <c r="EB58" i="16"/>
  <c r="EB57" i="16"/>
  <c r="EB56" i="16"/>
  <c r="DJ56" i="16"/>
  <c r="DH56" i="16"/>
  <c r="EB55" i="16"/>
  <c r="DJ55" i="16"/>
  <c r="DH55" i="16"/>
  <c r="EB54" i="16"/>
  <c r="DJ54" i="16"/>
  <c r="DH54" i="16"/>
  <c r="EB53" i="16"/>
  <c r="DJ53" i="16"/>
  <c r="DH53" i="16"/>
  <c r="EB52" i="16"/>
  <c r="DJ52" i="16"/>
  <c r="DH52" i="16"/>
  <c r="EB51" i="16"/>
  <c r="EB50" i="16"/>
  <c r="BZ50" i="16"/>
  <c r="AZ50" i="16" s="1"/>
  <c r="BT50" i="16"/>
  <c r="EB49" i="16"/>
  <c r="DN49" i="16"/>
  <c r="BZ49" i="16"/>
  <c r="BT49" i="16"/>
  <c r="AZ49" i="16"/>
  <c r="EB48" i="16"/>
  <c r="DO48" i="16"/>
  <c r="DN48" i="16"/>
  <c r="BZ48" i="16"/>
  <c r="BT48" i="16"/>
  <c r="EB47" i="16"/>
  <c r="DN47" i="16"/>
  <c r="BZ47" i="16"/>
  <c r="BT47" i="16"/>
  <c r="AZ47" i="16"/>
  <c r="EB46" i="16"/>
  <c r="DO46" i="16"/>
  <c r="DN46" i="16"/>
  <c r="BZ46" i="16"/>
  <c r="BT46" i="16"/>
  <c r="AZ46" i="16"/>
  <c r="EB45" i="16"/>
  <c r="DO45" i="16"/>
  <c r="DN45" i="16"/>
  <c r="BZ45" i="16"/>
  <c r="BT45" i="16"/>
  <c r="AZ45" i="16"/>
  <c r="EB44" i="16"/>
  <c r="DO44" i="16"/>
  <c r="DN44" i="16"/>
  <c r="BZ44" i="16"/>
  <c r="BT44" i="16"/>
  <c r="DN43" i="16"/>
  <c r="DJ43" i="16"/>
  <c r="DH43" i="16"/>
  <c r="BZ43" i="16"/>
  <c r="AZ43" i="16" s="1"/>
  <c r="BT43" i="16"/>
  <c r="EB42" i="16"/>
  <c r="DO42" i="16"/>
  <c r="DN42" i="16"/>
  <c r="DJ42" i="16"/>
  <c r="DH42" i="16"/>
  <c r="BZ42" i="16"/>
  <c r="BT42" i="16"/>
  <c r="AZ42" i="16"/>
  <c r="C42" i="16"/>
  <c r="EB41" i="16"/>
  <c r="DO41" i="16"/>
  <c r="DN41" i="16"/>
  <c r="DJ41" i="16"/>
  <c r="DH41" i="16"/>
  <c r="EB40" i="16"/>
  <c r="DO40" i="16"/>
  <c r="DN40" i="16"/>
  <c r="DM40" i="16"/>
  <c r="DJ40" i="16"/>
  <c r="DH40" i="16"/>
  <c r="BZ40" i="16"/>
  <c r="BV40" i="16"/>
  <c r="DN39" i="16" s="1"/>
  <c r="BT40" i="16"/>
  <c r="AZ40" i="16"/>
  <c r="AR40" i="16"/>
  <c r="EB39" i="16"/>
  <c r="DO39" i="16"/>
  <c r="DJ39" i="16"/>
  <c r="DH39" i="16"/>
  <c r="BZ39" i="16"/>
  <c r="AZ39" i="16" s="1"/>
  <c r="BT39" i="16"/>
  <c r="EB38" i="16"/>
  <c r="DN38" i="16"/>
  <c r="DJ38" i="16"/>
  <c r="DH38" i="16"/>
  <c r="BZ38" i="16"/>
  <c r="BT38" i="16"/>
  <c r="EB37" i="16"/>
  <c r="DN37" i="16"/>
  <c r="DJ37" i="16"/>
  <c r="DH37" i="16"/>
  <c r="BZ37" i="16"/>
  <c r="BT37" i="16"/>
  <c r="O37" i="16"/>
  <c r="EB36" i="16"/>
  <c r="DN36" i="16"/>
  <c r="DJ36" i="16"/>
  <c r="DH36" i="16"/>
  <c r="G36" i="16"/>
  <c r="B36" i="16"/>
  <c r="EB35" i="16"/>
  <c r="DO35" i="16"/>
  <c r="DN35" i="16"/>
  <c r="DM35" i="16"/>
  <c r="DJ35" i="16"/>
  <c r="DH35" i="16"/>
  <c r="BZ35" i="16"/>
  <c r="AZ35" i="16" s="1"/>
  <c r="BT35" i="16"/>
  <c r="BT57" i="16" s="1"/>
  <c r="EB34" i="16"/>
  <c r="DO34" i="16"/>
  <c r="DN34" i="16"/>
  <c r="DJ34" i="16"/>
  <c r="DH34" i="16"/>
  <c r="BZ34" i="16"/>
  <c r="BT34" i="16"/>
  <c r="AZ34" i="16"/>
  <c r="Q34" i="16"/>
  <c r="Q35" i="16" s="1"/>
  <c r="EB33" i="16"/>
  <c r="DO33" i="16"/>
  <c r="DN33" i="16"/>
  <c r="DJ33" i="16"/>
  <c r="DH33" i="16"/>
  <c r="BZ33" i="16"/>
  <c r="BT33" i="16"/>
  <c r="AZ33" i="16"/>
  <c r="EB32" i="16"/>
  <c r="DO32" i="16"/>
  <c r="DN32" i="16"/>
  <c r="DJ32" i="16"/>
  <c r="DH32" i="16"/>
  <c r="BZ32" i="16"/>
  <c r="BT32" i="16"/>
  <c r="AZ32" i="16"/>
  <c r="DO31" i="16"/>
  <c r="DN31" i="16"/>
  <c r="DJ31" i="16"/>
  <c r="DH31" i="16"/>
  <c r="BZ31" i="16"/>
  <c r="BT31" i="16"/>
  <c r="AZ31" i="16"/>
  <c r="EB30" i="16"/>
  <c r="DO30" i="16"/>
  <c r="DN30" i="16"/>
  <c r="BZ30" i="16"/>
  <c r="BT30" i="16"/>
  <c r="EB29" i="16"/>
  <c r="DN29" i="16"/>
  <c r="DM29" i="16"/>
  <c r="EB28" i="16"/>
  <c r="DO28" i="16"/>
  <c r="DN28" i="16"/>
  <c r="DM28" i="16"/>
  <c r="BZ28" i="16"/>
  <c r="BT28" i="16"/>
  <c r="AZ28" i="16"/>
  <c r="EB27" i="16"/>
  <c r="DO27" i="16"/>
  <c r="DN27" i="16"/>
  <c r="BZ27" i="16"/>
  <c r="BT27" i="16"/>
  <c r="BG27" i="16"/>
  <c r="BK21" i="16" s="1"/>
  <c r="AZ27" i="16"/>
  <c r="DO26" i="16"/>
  <c r="DN26" i="16"/>
  <c r="DJ26" i="16"/>
  <c r="DH26" i="16"/>
  <c r="BZ26" i="16"/>
  <c r="BT26" i="16"/>
  <c r="AZ26" i="16"/>
  <c r="O26" i="16"/>
  <c r="B26" i="16"/>
  <c r="DO25" i="16"/>
  <c r="DN25" i="16"/>
  <c r="DJ25" i="16"/>
  <c r="DH25" i="16"/>
  <c r="O25" i="16"/>
  <c r="EB24" i="16"/>
  <c r="DO24" i="16"/>
  <c r="DN24" i="16"/>
  <c r="DM24" i="16"/>
  <c r="DJ24" i="16"/>
  <c r="DH24" i="16"/>
  <c r="BZ24" i="16"/>
  <c r="BV24" i="16"/>
  <c r="AR24" i="16"/>
  <c r="BT24" i="16" s="1"/>
  <c r="Q24" i="16"/>
  <c r="G91" i="18" s="1"/>
  <c r="EB23" i="16"/>
  <c r="DN23" i="16"/>
  <c r="DJ23" i="16"/>
  <c r="DH23" i="16"/>
  <c r="BZ23" i="16"/>
  <c r="BV23" i="16"/>
  <c r="DN22" i="16" s="1"/>
  <c r="AZ23" i="16"/>
  <c r="AR23" i="16"/>
  <c r="BT23" i="16" s="1"/>
  <c r="Q23" i="16"/>
  <c r="G90" i="18" s="1"/>
  <c r="EB22" i="16"/>
  <c r="DO22" i="16"/>
  <c r="DJ22" i="16"/>
  <c r="DH22" i="16"/>
  <c r="BZ22" i="16"/>
  <c r="BT22" i="16"/>
  <c r="AZ22" i="16"/>
  <c r="Q22" i="16"/>
  <c r="G89" i="18" s="1"/>
  <c r="EB21" i="16"/>
  <c r="DO21" i="16"/>
  <c r="DN21" i="16"/>
  <c r="DJ21" i="16"/>
  <c r="DH21" i="16"/>
  <c r="BZ21" i="16"/>
  <c r="AZ21" i="16"/>
  <c r="Q21" i="16"/>
  <c r="G88" i="18" s="1"/>
  <c r="EB20" i="16"/>
  <c r="DO20" i="16"/>
  <c r="DN20" i="16"/>
  <c r="DJ20" i="16"/>
  <c r="DH20" i="16"/>
  <c r="BZ20" i="16"/>
  <c r="DO19" i="16" s="1"/>
  <c r="EB19" i="16"/>
  <c r="DN19" i="16"/>
  <c r="DJ19" i="16"/>
  <c r="DH19" i="16"/>
  <c r="BZ19" i="16"/>
  <c r="AZ19" i="16" s="1"/>
  <c r="B19" i="16"/>
  <c r="EB18" i="16"/>
  <c r="DO18" i="16"/>
  <c r="DN18" i="16"/>
  <c r="DJ18" i="16"/>
  <c r="DH18" i="16"/>
  <c r="EB17" i="16"/>
  <c r="DO17" i="16"/>
  <c r="DN17" i="16"/>
  <c r="DM17" i="16"/>
  <c r="DJ17" i="16"/>
  <c r="DH17" i="16"/>
  <c r="BZ17" i="16"/>
  <c r="AZ17" i="16" s="1"/>
  <c r="BT17" i="16"/>
  <c r="EB16" i="16"/>
  <c r="DO16" i="16"/>
  <c r="DN16" i="16"/>
  <c r="BZ16" i="16"/>
  <c r="AZ16" i="16" s="1"/>
  <c r="BT16" i="16"/>
  <c r="Q16" i="16"/>
  <c r="G22" i="18" s="1"/>
  <c r="O16" i="16"/>
  <c r="EB15" i="16"/>
  <c r="DN15" i="16"/>
  <c r="DJ15" i="16"/>
  <c r="DH15" i="16"/>
  <c r="BZ15" i="16"/>
  <c r="BT15" i="16"/>
  <c r="AZ15" i="16"/>
  <c r="EB14" i="16"/>
  <c r="DO14" i="16"/>
  <c r="DN14" i="16"/>
  <c r="DJ14" i="16"/>
  <c r="DH14" i="16"/>
  <c r="BZ14" i="16"/>
  <c r="BT14" i="16"/>
  <c r="AZ14" i="16"/>
  <c r="EB13" i="16"/>
  <c r="DO13" i="16"/>
  <c r="DN13" i="16"/>
  <c r="DJ13" i="16"/>
  <c r="DH13" i="16"/>
  <c r="Q13" i="16"/>
  <c r="G19" i="18" s="1"/>
  <c r="H13" i="16"/>
  <c r="O24" i="16" s="1"/>
  <c r="EB12" i="16"/>
  <c r="DO12" i="16"/>
  <c r="DN12" i="16"/>
  <c r="DM12" i="16"/>
  <c r="DJ12" i="16"/>
  <c r="DH12" i="16"/>
  <c r="BZ12" i="16"/>
  <c r="BT12" i="16"/>
  <c r="AZ12" i="16"/>
  <c r="Q12" i="16"/>
  <c r="G18" i="18" s="1"/>
  <c r="H12" i="16"/>
  <c r="O23" i="16" s="1"/>
  <c r="S23" i="16" s="1"/>
  <c r="T23" i="16" s="1"/>
  <c r="EB11" i="16"/>
  <c r="DO11" i="16"/>
  <c r="DN11" i="16"/>
  <c r="DJ11" i="16"/>
  <c r="DH11" i="16"/>
  <c r="BZ11" i="16"/>
  <c r="BT11" i="16"/>
  <c r="AZ11" i="16"/>
  <c r="Q11" i="16"/>
  <c r="G17" i="18" s="1"/>
  <c r="O11" i="16"/>
  <c r="H11" i="16"/>
  <c r="O22" i="16" s="1"/>
  <c r="EB10" i="16"/>
  <c r="DO10" i="16"/>
  <c r="DN10" i="16"/>
  <c r="DJ10" i="16"/>
  <c r="DH10" i="16"/>
  <c r="BZ10" i="16"/>
  <c r="BT10" i="16"/>
  <c r="AZ10" i="16"/>
  <c r="Q10" i="16"/>
  <c r="R10" i="16" s="1"/>
  <c r="H10" i="16"/>
  <c r="O21" i="16" s="1"/>
  <c r="EB9" i="16"/>
  <c r="DO9" i="16"/>
  <c r="DN9" i="16"/>
  <c r="BZ9" i="16"/>
  <c r="BT9" i="16"/>
  <c r="AZ9" i="16"/>
  <c r="U9" i="16"/>
  <c r="H9" i="16"/>
  <c r="EB8" i="16"/>
  <c r="DO8" i="16"/>
  <c r="DN8" i="16"/>
  <c r="BT8" i="16"/>
  <c r="H8" i="16"/>
  <c r="O12" i="16" s="1"/>
  <c r="EB7" i="16"/>
  <c r="DO7" i="16"/>
  <c r="DN7" i="16"/>
  <c r="DM7" i="16"/>
  <c r="BZ7" i="16"/>
  <c r="BT7" i="16"/>
  <c r="AZ7" i="16"/>
  <c r="H7" i="16"/>
  <c r="B7" i="16"/>
  <c r="EB6" i="16"/>
  <c r="DO6" i="16"/>
  <c r="DN6" i="16"/>
  <c r="BZ6" i="16"/>
  <c r="BT6" i="16"/>
  <c r="AZ6" i="16"/>
  <c r="H6" i="16"/>
  <c r="O10" i="16" s="1"/>
  <c r="B6" i="16"/>
  <c r="B23" i="16" s="1"/>
  <c r="EB5" i="16"/>
  <c r="DO5" i="16"/>
  <c r="DN5" i="16"/>
  <c r="BZ5" i="16"/>
  <c r="BT5" i="16"/>
  <c r="AZ5" i="16"/>
  <c r="DO4" i="16"/>
  <c r="DN4" i="16"/>
  <c r="BZ4" i="16"/>
  <c r="BT4" i="16"/>
  <c r="AZ4" i="16"/>
  <c r="B4" i="16"/>
  <c r="O39" i="16" s="1"/>
  <c r="DO3" i="16"/>
  <c r="DN3" i="16"/>
  <c r="AE10" i="15"/>
  <c r="AD10" i="15"/>
  <c r="AE9" i="15"/>
  <c r="AE5" i="15" s="1"/>
  <c r="AD9" i="15"/>
  <c r="AE8" i="15"/>
  <c r="AE7" i="15"/>
  <c r="AD7" i="15"/>
  <c r="AA5" i="15" s="1"/>
  <c r="AG5" i="15"/>
  <c r="AD36" i="15"/>
  <c r="AG35" i="15"/>
  <c r="AE35" i="15"/>
  <c r="EB79" i="15"/>
  <c r="EB78" i="15"/>
  <c r="EB77" i="15"/>
  <c r="EB76" i="15"/>
  <c r="EB75" i="15"/>
  <c r="EB73" i="15"/>
  <c r="EB72" i="15"/>
  <c r="EB71" i="15"/>
  <c r="EB70" i="15"/>
  <c r="EB68" i="15"/>
  <c r="EB67" i="15"/>
  <c r="EB66" i="15"/>
  <c r="EB65" i="15"/>
  <c r="EB63" i="15"/>
  <c r="EB62" i="15"/>
  <c r="EB61" i="15"/>
  <c r="EB59" i="15"/>
  <c r="EB58" i="15"/>
  <c r="EB57" i="15"/>
  <c r="EB56" i="15"/>
  <c r="DJ56" i="15"/>
  <c r="DH56" i="15"/>
  <c r="AE56" i="15"/>
  <c r="AD56" i="15"/>
  <c r="EB55" i="15"/>
  <c r="DJ55" i="15"/>
  <c r="DH55" i="15"/>
  <c r="BT55" i="15"/>
  <c r="AE55" i="15"/>
  <c r="AD55" i="15"/>
  <c r="EB54" i="15"/>
  <c r="DJ54" i="15"/>
  <c r="DH54" i="15"/>
  <c r="AE54" i="15"/>
  <c r="AD54" i="15"/>
  <c r="Q30" i="15" s="1"/>
  <c r="EB53" i="15"/>
  <c r="DJ53" i="15"/>
  <c r="DH53" i="15"/>
  <c r="EB52" i="15"/>
  <c r="DJ52" i="15"/>
  <c r="DH52" i="15"/>
  <c r="AE52" i="15"/>
  <c r="EB51" i="15"/>
  <c r="EB50" i="15"/>
  <c r="BZ50" i="15"/>
  <c r="BT50" i="15"/>
  <c r="AZ50" i="15"/>
  <c r="AD50" i="15"/>
  <c r="EB49" i="15"/>
  <c r="DO49" i="15"/>
  <c r="DN49" i="15"/>
  <c r="BZ49" i="15"/>
  <c r="AZ49" i="15" s="1"/>
  <c r="BT49" i="15"/>
  <c r="AG49" i="15"/>
  <c r="AE49" i="15"/>
  <c r="EB48" i="15"/>
  <c r="DN48" i="15"/>
  <c r="BZ48" i="15"/>
  <c r="AZ48" i="15" s="1"/>
  <c r="BT48" i="15"/>
  <c r="EB47" i="15"/>
  <c r="DN47" i="15"/>
  <c r="BZ47" i="15"/>
  <c r="BT47" i="15"/>
  <c r="BT57" i="15" s="1"/>
  <c r="EB46" i="15"/>
  <c r="DN46" i="15"/>
  <c r="BZ46" i="15"/>
  <c r="BT46" i="15"/>
  <c r="AZ46" i="15"/>
  <c r="AE46" i="15"/>
  <c r="AD46" i="15"/>
  <c r="EB45" i="15"/>
  <c r="DO45" i="15"/>
  <c r="DN45" i="15"/>
  <c r="BZ45" i="15"/>
  <c r="AZ45" i="15" s="1"/>
  <c r="BT45" i="15"/>
  <c r="AE45" i="15"/>
  <c r="AD45" i="15"/>
  <c r="EB44" i="15"/>
  <c r="DO44" i="15"/>
  <c r="DN44" i="15"/>
  <c r="BZ44" i="15"/>
  <c r="AZ44" i="15" s="1"/>
  <c r="BT44" i="15"/>
  <c r="AE44" i="15"/>
  <c r="AD44" i="15"/>
  <c r="AA40" i="15" s="1"/>
  <c r="DN43" i="15"/>
  <c r="DJ43" i="15"/>
  <c r="DH43" i="15"/>
  <c r="BZ43" i="15"/>
  <c r="BT43" i="15"/>
  <c r="AZ43" i="15"/>
  <c r="AE43" i="15"/>
  <c r="AD43" i="15"/>
  <c r="EB42" i="15"/>
  <c r="DO42" i="15"/>
  <c r="DN42" i="15"/>
  <c r="DJ42" i="15"/>
  <c r="DH42" i="15"/>
  <c r="BZ42" i="15"/>
  <c r="BT42" i="15"/>
  <c r="AE42" i="15"/>
  <c r="AG40" i="15" s="1"/>
  <c r="AD42" i="15"/>
  <c r="C42" i="15"/>
  <c r="EB41" i="15"/>
  <c r="DN41" i="15"/>
  <c r="DJ41" i="15"/>
  <c r="DH41" i="15"/>
  <c r="EB40" i="15"/>
  <c r="DO40" i="15"/>
  <c r="DN40" i="15"/>
  <c r="DM40" i="15"/>
  <c r="DJ40" i="15"/>
  <c r="DH40" i="15"/>
  <c r="BZ40" i="15"/>
  <c r="BV40" i="15"/>
  <c r="BT40" i="15"/>
  <c r="AZ40" i="15"/>
  <c r="AR40" i="15"/>
  <c r="AE40" i="15"/>
  <c r="EB39" i="15"/>
  <c r="DO39" i="15"/>
  <c r="DN39" i="15"/>
  <c r="DJ39" i="15"/>
  <c r="DH39" i="15"/>
  <c r="BZ39" i="15"/>
  <c r="AZ39" i="15" s="1"/>
  <c r="BT39" i="15"/>
  <c r="EB38" i="15"/>
  <c r="DO38" i="15"/>
  <c r="DN38" i="15"/>
  <c r="DJ38" i="15"/>
  <c r="DH38" i="15"/>
  <c r="BZ38" i="15"/>
  <c r="AZ38" i="15" s="1"/>
  <c r="BT38" i="15"/>
  <c r="EB37" i="15"/>
  <c r="DN37" i="15"/>
  <c r="DJ37" i="15"/>
  <c r="DH37" i="15"/>
  <c r="BZ37" i="15"/>
  <c r="DO36" i="15" s="1"/>
  <c r="BT37" i="15"/>
  <c r="AZ37" i="15"/>
  <c r="O37" i="15"/>
  <c r="EB36" i="15"/>
  <c r="DN36" i="15"/>
  <c r="DJ36" i="15"/>
  <c r="DH36" i="15"/>
  <c r="Q12" i="15"/>
  <c r="G18" i="17" s="1"/>
  <c r="G36" i="15"/>
  <c r="B36" i="15"/>
  <c r="EB35" i="15"/>
  <c r="DO35" i="15"/>
  <c r="DN35" i="15"/>
  <c r="DM35" i="15"/>
  <c r="DJ35" i="15"/>
  <c r="DH35" i="15"/>
  <c r="BZ35" i="15"/>
  <c r="AZ35" i="15" s="1"/>
  <c r="BT35" i="15"/>
  <c r="EB34" i="15"/>
  <c r="DO34" i="15"/>
  <c r="DN34" i="15"/>
  <c r="DJ34" i="15"/>
  <c r="DH34" i="15"/>
  <c r="BZ34" i="15"/>
  <c r="BT34" i="15"/>
  <c r="AZ34" i="15"/>
  <c r="Q34" i="15"/>
  <c r="Q35" i="15" s="1"/>
  <c r="EB33" i="15"/>
  <c r="DO33" i="15"/>
  <c r="DN33" i="15"/>
  <c r="DJ33" i="15"/>
  <c r="DH33" i="15"/>
  <c r="BZ33" i="15"/>
  <c r="AZ33" i="15" s="1"/>
  <c r="BT33" i="15"/>
  <c r="EB32" i="15"/>
  <c r="DO32" i="15"/>
  <c r="DN32" i="15"/>
  <c r="DJ32" i="15"/>
  <c r="DH32" i="15"/>
  <c r="BZ32" i="15"/>
  <c r="BT32" i="15"/>
  <c r="AZ32" i="15"/>
  <c r="AE32" i="15"/>
  <c r="AD32" i="15"/>
  <c r="DO31" i="15"/>
  <c r="DN31" i="15"/>
  <c r="DJ31" i="15"/>
  <c r="DH31" i="15"/>
  <c r="BZ31" i="15"/>
  <c r="BT31" i="15"/>
  <c r="AZ31" i="15"/>
  <c r="AE31" i="15"/>
  <c r="AD31" i="15"/>
  <c r="Q31" i="15"/>
  <c r="EB30" i="15"/>
  <c r="DO30" i="15"/>
  <c r="DN30" i="15"/>
  <c r="BZ30" i="15"/>
  <c r="AZ30" i="15" s="1"/>
  <c r="BT30" i="15"/>
  <c r="AE30" i="15"/>
  <c r="AD30" i="15"/>
  <c r="EB29" i="15"/>
  <c r="DN29" i="15"/>
  <c r="DM29" i="15"/>
  <c r="AE29" i="15"/>
  <c r="AD29" i="15"/>
  <c r="EB28" i="15"/>
  <c r="DO28" i="15"/>
  <c r="DN28" i="15"/>
  <c r="DM28" i="15"/>
  <c r="BZ28" i="15"/>
  <c r="BT28" i="15"/>
  <c r="AZ28" i="15"/>
  <c r="EB27" i="15"/>
  <c r="DO27" i="15"/>
  <c r="DN27" i="15"/>
  <c r="BZ27" i="15"/>
  <c r="BT27" i="15"/>
  <c r="BG27" i="15"/>
  <c r="BK21" i="15" s="1"/>
  <c r="AZ27" i="15"/>
  <c r="AG27" i="15"/>
  <c r="AE27" i="15"/>
  <c r="DO26" i="15"/>
  <c r="DN26" i="15"/>
  <c r="DJ26" i="15"/>
  <c r="DH26" i="15"/>
  <c r="BZ26" i="15"/>
  <c r="AZ26" i="15" s="1"/>
  <c r="BT26" i="15"/>
  <c r="O26" i="15"/>
  <c r="B26" i="15"/>
  <c r="DO25" i="15"/>
  <c r="DN25" i="15"/>
  <c r="DJ25" i="15"/>
  <c r="DH25" i="15"/>
  <c r="AE25" i="15"/>
  <c r="AD25" i="15"/>
  <c r="O25" i="15"/>
  <c r="EB24" i="15"/>
  <c r="DO24" i="15"/>
  <c r="DN24" i="15"/>
  <c r="DM24" i="15"/>
  <c r="DJ24" i="15"/>
  <c r="DH24" i="15"/>
  <c r="BZ24" i="15"/>
  <c r="BV24" i="15"/>
  <c r="AR24" i="15"/>
  <c r="BT24" i="15" s="1"/>
  <c r="AE24" i="15"/>
  <c r="AD24" i="15"/>
  <c r="O24" i="15"/>
  <c r="EB23" i="15"/>
  <c r="DN23" i="15"/>
  <c r="DJ23" i="15"/>
  <c r="DH23" i="15"/>
  <c r="BZ23" i="15"/>
  <c r="BV23" i="15"/>
  <c r="DN22" i="15" s="1"/>
  <c r="AZ23" i="15"/>
  <c r="AR23" i="15"/>
  <c r="BT23" i="15" s="1"/>
  <c r="AE23" i="15"/>
  <c r="AD23" i="15"/>
  <c r="Q23" i="15"/>
  <c r="EB22" i="15"/>
  <c r="DO22" i="15"/>
  <c r="DJ22" i="15"/>
  <c r="DH22" i="15"/>
  <c r="BZ22" i="15"/>
  <c r="BT22" i="15"/>
  <c r="AZ22" i="15"/>
  <c r="EB21" i="15"/>
  <c r="DO21" i="15"/>
  <c r="DN21" i="15"/>
  <c r="DJ21" i="15"/>
  <c r="DH21" i="15"/>
  <c r="BZ21" i="15"/>
  <c r="AZ21" i="15"/>
  <c r="AG21" i="15"/>
  <c r="AE21" i="15"/>
  <c r="S21" i="15"/>
  <c r="T21" i="15" s="1"/>
  <c r="EB20" i="15"/>
  <c r="DO20" i="15"/>
  <c r="DN20" i="15"/>
  <c r="DJ20" i="15"/>
  <c r="DH20" i="15"/>
  <c r="BZ20" i="15"/>
  <c r="DO19" i="15" s="1"/>
  <c r="AZ20" i="15"/>
  <c r="EB19" i="15"/>
  <c r="DN19" i="15"/>
  <c r="DJ19" i="15"/>
  <c r="DH19" i="15"/>
  <c r="BZ19" i="15"/>
  <c r="AZ19" i="15"/>
  <c r="AE19" i="15"/>
  <c r="AD19" i="15"/>
  <c r="B19" i="15"/>
  <c r="EB18" i="15"/>
  <c r="DO18" i="15"/>
  <c r="DN18" i="15"/>
  <c r="DJ18" i="15"/>
  <c r="DH18" i="15"/>
  <c r="AE18" i="15"/>
  <c r="AD18" i="15"/>
  <c r="EB17" i="15"/>
  <c r="DO17" i="15"/>
  <c r="DN17" i="15"/>
  <c r="DM17" i="15"/>
  <c r="DJ17" i="15"/>
  <c r="DH17" i="15"/>
  <c r="BZ17" i="15"/>
  <c r="BT17" i="15"/>
  <c r="AZ17" i="15"/>
  <c r="AE17" i="15"/>
  <c r="AD17" i="15"/>
  <c r="EB16" i="15"/>
  <c r="DO16" i="15"/>
  <c r="DN16" i="15"/>
  <c r="BZ16" i="15"/>
  <c r="AZ16" i="15" s="1"/>
  <c r="BT16" i="15"/>
  <c r="Q16" i="15"/>
  <c r="G22" i="17" s="1"/>
  <c r="O16" i="15"/>
  <c r="EB15" i="15"/>
  <c r="DO15" i="15"/>
  <c r="DN15" i="15"/>
  <c r="DJ15" i="15"/>
  <c r="DH15" i="15"/>
  <c r="BZ15" i="15"/>
  <c r="BT15" i="15"/>
  <c r="AZ15" i="15"/>
  <c r="AE15" i="15"/>
  <c r="AE13" i="15" s="1"/>
  <c r="S20" i="15" s="1"/>
  <c r="T20" i="15" s="1"/>
  <c r="AD15" i="15"/>
  <c r="EB14" i="15"/>
  <c r="DO14" i="15"/>
  <c r="DN14" i="15"/>
  <c r="DJ14" i="15"/>
  <c r="DH14" i="15"/>
  <c r="BZ14" i="15"/>
  <c r="BT14" i="15"/>
  <c r="BT56" i="15" s="1"/>
  <c r="AZ14" i="15"/>
  <c r="Q14" i="15"/>
  <c r="F28" i="17" s="1"/>
  <c r="M28" i="17" s="1"/>
  <c r="N28" i="17" s="1"/>
  <c r="H28" i="17" s="1"/>
  <c r="EB13" i="15"/>
  <c r="DO13" i="15"/>
  <c r="DN13" i="15"/>
  <c r="DJ13" i="15"/>
  <c r="DH13" i="15"/>
  <c r="AG13" i="15"/>
  <c r="U20" i="15" s="1"/>
  <c r="AA13" i="15"/>
  <c r="Q13" i="15"/>
  <c r="G19" i="17" s="1"/>
  <c r="H13" i="15"/>
  <c r="EB12" i="15"/>
  <c r="DO12" i="15"/>
  <c r="DN12" i="15"/>
  <c r="DM12" i="15"/>
  <c r="DJ12" i="15"/>
  <c r="DH12" i="15"/>
  <c r="BZ12" i="15"/>
  <c r="DO11" i="15" s="1"/>
  <c r="BT12" i="15"/>
  <c r="H12" i="15"/>
  <c r="O23" i="15" s="1"/>
  <c r="EB11" i="15"/>
  <c r="DN11" i="15"/>
  <c r="DJ11" i="15"/>
  <c r="DH11" i="15"/>
  <c r="BZ11" i="15"/>
  <c r="BT11" i="15"/>
  <c r="AZ11" i="15"/>
  <c r="Q11" i="15"/>
  <c r="R11" i="15" s="1"/>
  <c r="H17" i="17" s="1"/>
  <c r="H11" i="15"/>
  <c r="O22" i="15" s="1"/>
  <c r="EB10" i="15"/>
  <c r="DO10" i="15"/>
  <c r="DN10" i="15"/>
  <c r="DJ10" i="15"/>
  <c r="DH10" i="15"/>
  <c r="BZ10" i="15"/>
  <c r="DO9" i="15" s="1"/>
  <c r="BT10" i="15"/>
  <c r="AZ10" i="15"/>
  <c r="O10" i="15"/>
  <c r="H10" i="15"/>
  <c r="O21" i="15" s="1"/>
  <c r="U21" i="15" s="1"/>
  <c r="EB9" i="15"/>
  <c r="DN9" i="15"/>
  <c r="BZ9" i="15"/>
  <c r="DO8" i="15" s="1"/>
  <c r="BT9" i="15"/>
  <c r="U9" i="15"/>
  <c r="S9" i="15"/>
  <c r="T9" i="15" s="1"/>
  <c r="Q9" i="15"/>
  <c r="R9" i="15" s="1"/>
  <c r="H15" i="17" s="1"/>
  <c r="H9" i="15"/>
  <c r="O13" i="15" s="1"/>
  <c r="EB8" i="15"/>
  <c r="DN8" i="15"/>
  <c r="BT8" i="15"/>
  <c r="H8" i="15"/>
  <c r="F8" i="15" s="1"/>
  <c r="EB7" i="15"/>
  <c r="DO7" i="15"/>
  <c r="DN7" i="15"/>
  <c r="DM7" i="15"/>
  <c r="BZ7" i="15"/>
  <c r="AZ7" i="15" s="1"/>
  <c r="BT7" i="15"/>
  <c r="Q7" i="15"/>
  <c r="G13" i="17" s="1"/>
  <c r="H7" i="15"/>
  <c r="O11" i="15" s="1"/>
  <c r="B7" i="15"/>
  <c r="G34" i="15" s="1"/>
  <c r="EB6" i="15"/>
  <c r="DN6" i="15"/>
  <c r="BZ6" i="15"/>
  <c r="BT6" i="15"/>
  <c r="AZ6" i="15"/>
  <c r="Q6" i="15"/>
  <c r="G12" i="17" s="1"/>
  <c r="H6" i="15"/>
  <c r="B6" i="15"/>
  <c r="B23" i="15" s="1"/>
  <c r="EB5" i="15"/>
  <c r="DO5" i="15"/>
  <c r="DN5" i="15"/>
  <c r="BZ5" i="15"/>
  <c r="BT5" i="15"/>
  <c r="AZ5" i="15"/>
  <c r="DO4" i="15"/>
  <c r="DN4" i="15"/>
  <c r="BZ4" i="15"/>
  <c r="BT4" i="15"/>
  <c r="BT54" i="15" s="1"/>
  <c r="AZ4" i="15"/>
  <c r="G4" i="15"/>
  <c r="B4" i="15"/>
  <c r="DO3" i="15"/>
  <c r="DN3" i="15"/>
  <c r="EH36" i="6"/>
  <c r="EH33" i="6"/>
  <c r="EH28" i="6"/>
  <c r="EH27" i="6"/>
  <c r="G16" i="18" l="1"/>
  <c r="N28" i="18"/>
  <c r="H28" i="18" s="1"/>
  <c r="H16" i="18"/>
  <c r="G17" i="17"/>
  <c r="R23" i="15"/>
  <c r="H90" i="17" s="1"/>
  <c r="G90" i="17"/>
  <c r="G15" i="17"/>
  <c r="E92" i="18"/>
  <c r="S16" i="15"/>
  <c r="T16" i="15" s="1"/>
  <c r="E22" i="17"/>
  <c r="S16" i="16"/>
  <c r="T16" i="16" s="1"/>
  <c r="E22" i="18"/>
  <c r="R16" i="15"/>
  <c r="E92" i="17"/>
  <c r="F108" i="17"/>
  <c r="F33" i="17"/>
  <c r="F108" i="18"/>
  <c r="F33" i="18"/>
  <c r="B782" i="18"/>
  <c r="B753" i="18"/>
  <c r="B783" i="18" s="1"/>
  <c r="B281" i="18"/>
  <c r="B311" i="18" s="1"/>
  <c r="B310" i="18"/>
  <c r="B360" i="17"/>
  <c r="B390" i="17" s="1"/>
  <c r="B389" i="17"/>
  <c r="R16" i="16"/>
  <c r="S15" i="16"/>
  <c r="T15" i="16" s="1"/>
  <c r="U26" i="16"/>
  <c r="S15" i="15"/>
  <c r="T15" i="15" s="1"/>
  <c r="U25" i="16"/>
  <c r="U16" i="16"/>
  <c r="AE40" i="16"/>
  <c r="AE21" i="16"/>
  <c r="Q31" i="16"/>
  <c r="S11" i="16"/>
  <c r="T11" i="16" s="1"/>
  <c r="S10" i="16"/>
  <c r="T10" i="16" s="1"/>
  <c r="U10" i="16"/>
  <c r="S24" i="16"/>
  <c r="T24" i="16" s="1"/>
  <c r="U24" i="16"/>
  <c r="Q15" i="16"/>
  <c r="Q25" i="16"/>
  <c r="S12" i="16"/>
  <c r="T12" i="16" s="1"/>
  <c r="U12" i="16"/>
  <c r="R21" i="16"/>
  <c r="U21" i="16"/>
  <c r="S21" i="16"/>
  <c r="T21" i="16" s="1"/>
  <c r="S22" i="16"/>
  <c r="T22" i="16" s="1"/>
  <c r="U22" i="16"/>
  <c r="R12" i="16"/>
  <c r="H18" i="18" s="1"/>
  <c r="G4" i="16"/>
  <c r="F9" i="16" s="1"/>
  <c r="F17" i="16"/>
  <c r="B24" i="16"/>
  <c r="C43" i="16"/>
  <c r="U11" i="16"/>
  <c r="O13" i="16"/>
  <c r="DO15" i="16"/>
  <c r="F18" i="16"/>
  <c r="S20" i="16"/>
  <c r="T20" i="16" s="1"/>
  <c r="S26" i="16"/>
  <c r="BY24" i="16"/>
  <c r="AZ38" i="16"/>
  <c r="DO37" i="16"/>
  <c r="DO38" i="16"/>
  <c r="BT55" i="16"/>
  <c r="R11" i="16"/>
  <c r="H17" i="18" s="1"/>
  <c r="R13" i="16"/>
  <c r="H19" i="18" s="1"/>
  <c r="R23" i="16"/>
  <c r="H90" i="18" s="1"/>
  <c r="R24" i="16"/>
  <c r="H91" i="18" s="1"/>
  <c r="B34" i="16"/>
  <c r="AZ44" i="16"/>
  <c r="DO43" i="16"/>
  <c r="AZ48" i="16"/>
  <c r="DO47" i="16"/>
  <c r="B8" i="16"/>
  <c r="F10" i="16"/>
  <c r="F12" i="16"/>
  <c r="O14" i="16"/>
  <c r="AZ20" i="16"/>
  <c r="U23" i="16"/>
  <c r="S25" i="16"/>
  <c r="T25" i="16" s="1"/>
  <c r="U15" i="16"/>
  <c r="G34" i="16"/>
  <c r="B35" i="16"/>
  <c r="F16" i="16"/>
  <c r="F13" i="16"/>
  <c r="R14" i="16"/>
  <c r="G28" i="18" s="1"/>
  <c r="R22" i="16"/>
  <c r="H89" i="18" s="1"/>
  <c r="Q27" i="16"/>
  <c r="I34" i="18" s="1"/>
  <c r="DO23" i="16"/>
  <c r="AZ24" i="16"/>
  <c r="Q28" i="16"/>
  <c r="I109" i="18" s="1"/>
  <c r="AZ30" i="16"/>
  <c r="DO29" i="16"/>
  <c r="AZ37" i="16"/>
  <c r="DO36" i="16"/>
  <c r="BT54" i="16"/>
  <c r="BT56" i="16"/>
  <c r="DO49" i="16"/>
  <c r="S23" i="15"/>
  <c r="T23" i="15" s="1"/>
  <c r="Q15" i="15"/>
  <c r="Q25" i="15"/>
  <c r="S22" i="15"/>
  <c r="T22" i="15" s="1"/>
  <c r="U22" i="15"/>
  <c r="U11" i="15"/>
  <c r="S11" i="15"/>
  <c r="T11" i="15" s="1"/>
  <c r="S13" i="15"/>
  <c r="T13" i="15" s="1"/>
  <c r="U13" i="15"/>
  <c r="R13" i="15"/>
  <c r="H19" i="17" s="1"/>
  <c r="R33" i="15"/>
  <c r="F22" i="15"/>
  <c r="F20" i="15"/>
  <c r="O12" i="15"/>
  <c r="Q18" i="15"/>
  <c r="G85" i="17" s="1"/>
  <c r="Q20" i="15"/>
  <c r="Q19" i="15"/>
  <c r="G86" i="17" s="1"/>
  <c r="DO23" i="15"/>
  <c r="AZ24" i="15"/>
  <c r="AZ47" i="15"/>
  <c r="DO46" i="15"/>
  <c r="F6" i="15"/>
  <c r="DO6" i="15"/>
  <c r="F7" i="15"/>
  <c r="Q10" i="15"/>
  <c r="U10" i="15"/>
  <c r="F11" i="15"/>
  <c r="F13" i="15"/>
  <c r="Q17" i="15"/>
  <c r="G84" i="17" s="1"/>
  <c r="U23" i="15"/>
  <c r="Q29" i="15"/>
  <c r="Q26" i="15"/>
  <c r="S24" i="15"/>
  <c r="T24" i="15" s="1"/>
  <c r="U24" i="15"/>
  <c r="Q21" i="15"/>
  <c r="Q24" i="15"/>
  <c r="Q22" i="15"/>
  <c r="AZ42" i="15"/>
  <c r="DO41" i="15"/>
  <c r="B8" i="15"/>
  <c r="Q8" i="15"/>
  <c r="G14" i="17" s="1"/>
  <c r="F9" i="15"/>
  <c r="F10" i="15"/>
  <c r="F12" i="15"/>
  <c r="AZ12" i="15"/>
  <c r="F18" i="15"/>
  <c r="Q27" i="15"/>
  <c r="I34" i="17" s="1"/>
  <c r="Q28" i="15"/>
  <c r="I109" i="17" s="1"/>
  <c r="S26" i="15"/>
  <c r="U26" i="15"/>
  <c r="C43" i="15"/>
  <c r="DO48" i="15"/>
  <c r="F17" i="15"/>
  <c r="B24" i="15"/>
  <c r="AZ9" i="15"/>
  <c r="F16" i="15"/>
  <c r="O39" i="15"/>
  <c r="S10" i="15"/>
  <c r="T10" i="15" s="1"/>
  <c r="O14" i="15"/>
  <c r="R14" i="15" s="1"/>
  <c r="G28" i="17" s="1"/>
  <c r="U16" i="15"/>
  <c r="F21" i="15"/>
  <c r="S25" i="15"/>
  <c r="T25" i="15" s="1"/>
  <c r="U15" i="15"/>
  <c r="U25" i="15"/>
  <c r="B34" i="15"/>
  <c r="DO29" i="15"/>
  <c r="DO37" i="15"/>
  <c r="DO43" i="15"/>
  <c r="DO47" i="15"/>
  <c r="AC52" i="12"/>
  <c r="AF51" i="12"/>
  <c r="AD51" i="12"/>
  <c r="AD48" i="12"/>
  <c r="AC48" i="12"/>
  <c r="AD47" i="12"/>
  <c r="AC47" i="12"/>
  <c r="AD46" i="12"/>
  <c r="AC46" i="12"/>
  <c r="AD45" i="12"/>
  <c r="AC45" i="12"/>
  <c r="AD44" i="12"/>
  <c r="AF42" i="12" s="1"/>
  <c r="AC44" i="12"/>
  <c r="Z42" i="12"/>
  <c r="AC38" i="12"/>
  <c r="AF37" i="12"/>
  <c r="AD37" i="12"/>
  <c r="AD34" i="12"/>
  <c r="AC34" i="12"/>
  <c r="AD33" i="12"/>
  <c r="AC33" i="12"/>
  <c r="AD32" i="12"/>
  <c r="AC32" i="12"/>
  <c r="AD31" i="12"/>
  <c r="AD29" i="12" s="1"/>
  <c r="AC31" i="12"/>
  <c r="Z29" i="12" s="1"/>
  <c r="AF29" i="12"/>
  <c r="AD27" i="12"/>
  <c r="AC27" i="12"/>
  <c r="AD26" i="12"/>
  <c r="AC26" i="12"/>
  <c r="AD25" i="12"/>
  <c r="AF23" i="12" s="1"/>
  <c r="AC25" i="12"/>
  <c r="Z23" i="12" s="1"/>
  <c r="AD21" i="12"/>
  <c r="AF13" i="12" s="1"/>
  <c r="AC21" i="12"/>
  <c r="AD20" i="12"/>
  <c r="AC20" i="12"/>
  <c r="AD19" i="12"/>
  <c r="Y19" i="12"/>
  <c r="AC19" i="12" s="1"/>
  <c r="AD17" i="12"/>
  <c r="AC17" i="12"/>
  <c r="Z13" i="12" s="1"/>
  <c r="AC16" i="12"/>
  <c r="AC15" i="12"/>
  <c r="AD13" i="12"/>
  <c r="AD10" i="12"/>
  <c r="AC10" i="12"/>
  <c r="AD9" i="12"/>
  <c r="AF5" i="12" s="1"/>
  <c r="AC9" i="12"/>
  <c r="AD8" i="12"/>
  <c r="AD7" i="12"/>
  <c r="AD5" i="12" s="1"/>
  <c r="AC7" i="12"/>
  <c r="Z5" i="12" s="1"/>
  <c r="AC50" i="11"/>
  <c r="AF49" i="11"/>
  <c r="AD49" i="11"/>
  <c r="AD46" i="11"/>
  <c r="AC46" i="11"/>
  <c r="AD45" i="11"/>
  <c r="AC45" i="11"/>
  <c r="AD44" i="11"/>
  <c r="AC44" i="11"/>
  <c r="AD43" i="11"/>
  <c r="AC43" i="11"/>
  <c r="Z40" i="11" s="1"/>
  <c r="AD42" i="11"/>
  <c r="AC42" i="11"/>
  <c r="AF40" i="11"/>
  <c r="AD40" i="11"/>
  <c r="AC36" i="11"/>
  <c r="AF35" i="11"/>
  <c r="AD35" i="11"/>
  <c r="AD32" i="11"/>
  <c r="AC32" i="11"/>
  <c r="AD31" i="11"/>
  <c r="AC31" i="11"/>
  <c r="AD30" i="11"/>
  <c r="AC30" i="11"/>
  <c r="AD29" i="11"/>
  <c r="AD27" i="11" s="1"/>
  <c r="AC29" i="11"/>
  <c r="Z27" i="11" s="1"/>
  <c r="AD25" i="11"/>
  <c r="AC25" i="11"/>
  <c r="AD24" i="11"/>
  <c r="AC24" i="11"/>
  <c r="AD23" i="11"/>
  <c r="AF21" i="11" s="1"/>
  <c r="AC23" i="11"/>
  <c r="Z21" i="11"/>
  <c r="AD19" i="11"/>
  <c r="AC19" i="11"/>
  <c r="AD18" i="11"/>
  <c r="AF13" i="11" s="1"/>
  <c r="AC18" i="11"/>
  <c r="AD17" i="11"/>
  <c r="AC17" i="11"/>
  <c r="AD15" i="11"/>
  <c r="AD13" i="11" s="1"/>
  <c r="AC15" i="11"/>
  <c r="Z13" i="11" s="1"/>
  <c r="AD10" i="11"/>
  <c r="AF5" i="11" s="1"/>
  <c r="AC10" i="11"/>
  <c r="AD9" i="11"/>
  <c r="AC9" i="11"/>
  <c r="Z5" i="11" s="1"/>
  <c r="AD8" i="11"/>
  <c r="AD5" i="11" s="1"/>
  <c r="AD7" i="11"/>
  <c r="AC7" i="11"/>
  <c r="AP39" i="16" l="1"/>
  <c r="EH72" i="16" s="1"/>
  <c r="H88" i="18"/>
  <c r="R15" i="16"/>
  <c r="H21" i="18" s="1"/>
  <c r="G21" i="18"/>
  <c r="AP44" i="16"/>
  <c r="AP45" i="16"/>
  <c r="EH76" i="16" s="1"/>
  <c r="AP22" i="16"/>
  <c r="R25" i="16"/>
  <c r="H92" i="18" s="1"/>
  <c r="G92" i="18"/>
  <c r="AP45" i="15"/>
  <c r="DM44" i="15" s="1"/>
  <c r="AP44" i="15"/>
  <c r="EH75" i="15" s="1"/>
  <c r="R15" i="15"/>
  <c r="H21" i="17" s="1"/>
  <c r="G21" i="17"/>
  <c r="R22" i="15"/>
  <c r="H89" i="17" s="1"/>
  <c r="G89" i="17"/>
  <c r="R10" i="15"/>
  <c r="G16" i="17"/>
  <c r="R24" i="15"/>
  <c r="H91" i="17" s="1"/>
  <c r="G91" i="17"/>
  <c r="R26" i="15"/>
  <c r="J108" i="17" s="1"/>
  <c r="I33" i="17"/>
  <c r="I108" i="17"/>
  <c r="R20" i="15"/>
  <c r="H87" i="17" s="1"/>
  <c r="G87" i="17"/>
  <c r="R21" i="15"/>
  <c r="G88" i="17"/>
  <c r="R25" i="15"/>
  <c r="H92" i="17" s="1"/>
  <c r="G92" i="17"/>
  <c r="J33" i="17"/>
  <c r="H22" i="18"/>
  <c r="EH77" i="15"/>
  <c r="EH76" i="15"/>
  <c r="EH75" i="16"/>
  <c r="EH77" i="16"/>
  <c r="H22" i="17"/>
  <c r="O36" i="16"/>
  <c r="S14" i="16"/>
  <c r="BT20" i="16"/>
  <c r="U14" i="16"/>
  <c r="AP12" i="16" s="1"/>
  <c r="EH28" i="16"/>
  <c r="DM8" i="16"/>
  <c r="BG7" i="16"/>
  <c r="BK20" i="16" s="1"/>
  <c r="BK24" i="16" s="1"/>
  <c r="T26" i="16"/>
  <c r="S13" i="16"/>
  <c r="T13" i="16" s="1"/>
  <c r="U13" i="16"/>
  <c r="Q29" i="16"/>
  <c r="Q26" i="16"/>
  <c r="R33" i="16"/>
  <c r="F22" i="16"/>
  <c r="F20" i="16"/>
  <c r="F8" i="16"/>
  <c r="F21" i="16"/>
  <c r="F11" i="16"/>
  <c r="F7" i="16"/>
  <c r="F6" i="16"/>
  <c r="O18" i="16"/>
  <c r="E85" i="18" s="1"/>
  <c r="O17" i="16"/>
  <c r="O7" i="16"/>
  <c r="E13" i="18" s="1"/>
  <c r="O6" i="16"/>
  <c r="DM43" i="16"/>
  <c r="Q18" i="16"/>
  <c r="G85" i="18" s="1"/>
  <c r="Q20" i="16"/>
  <c r="Q8" i="16"/>
  <c r="G14" i="18" s="1"/>
  <c r="Q19" i="16"/>
  <c r="G86" i="18" s="1"/>
  <c r="Q17" i="16"/>
  <c r="G84" i="18" s="1"/>
  <c r="Q9" i="16"/>
  <c r="Q7" i="16"/>
  <c r="G13" i="18" s="1"/>
  <c r="Q6" i="16"/>
  <c r="G12" i="18" s="1"/>
  <c r="F24" i="16"/>
  <c r="O29" i="16"/>
  <c r="G35" i="16"/>
  <c r="T26" i="15"/>
  <c r="O18" i="15"/>
  <c r="O7" i="15"/>
  <c r="E13" i="17" s="1"/>
  <c r="O6" i="15"/>
  <c r="O17" i="15"/>
  <c r="S12" i="15"/>
  <c r="T12" i="15" s="1"/>
  <c r="U12" i="15"/>
  <c r="DM47" i="15"/>
  <c r="EH28" i="15"/>
  <c r="DM8" i="15"/>
  <c r="BG7" i="15"/>
  <c r="BK20" i="15" s="1"/>
  <c r="BK24" i="15" s="1"/>
  <c r="S14" i="15"/>
  <c r="BT20" i="15"/>
  <c r="U14" i="15"/>
  <c r="AP12" i="15" s="1"/>
  <c r="B35" i="15"/>
  <c r="BY24" i="15"/>
  <c r="F24" i="15"/>
  <c r="O29" i="15"/>
  <c r="R29" i="15" s="1"/>
  <c r="G35" i="15"/>
  <c r="R12" i="15"/>
  <c r="AD42" i="12"/>
  <c r="AD23" i="12"/>
  <c r="AF27" i="11"/>
  <c r="AD21" i="11"/>
  <c r="R9" i="16" l="1"/>
  <c r="H15" i="18" s="1"/>
  <c r="G15" i="18"/>
  <c r="R20" i="16"/>
  <c r="H87" i="18" s="1"/>
  <c r="G87" i="18"/>
  <c r="R26" i="16"/>
  <c r="I33" i="18"/>
  <c r="I108" i="18"/>
  <c r="AP22" i="15"/>
  <c r="H16" i="17"/>
  <c r="O36" i="15"/>
  <c r="H18" i="17"/>
  <c r="AP39" i="15"/>
  <c r="H88" i="17"/>
  <c r="R17" i="16"/>
  <c r="H84" i="18" s="1"/>
  <c r="BG12" i="16"/>
  <c r="BK18" i="16" s="1"/>
  <c r="DM44" i="16"/>
  <c r="E12" i="18"/>
  <c r="EH79" i="15"/>
  <c r="EH78" i="15"/>
  <c r="E12" i="17"/>
  <c r="J108" i="18"/>
  <c r="J33" i="18"/>
  <c r="R18" i="15"/>
  <c r="H85" i="17" s="1"/>
  <c r="E85" i="17"/>
  <c r="EH79" i="16"/>
  <c r="EH78" i="16"/>
  <c r="R17" i="15"/>
  <c r="H84" i="17" s="1"/>
  <c r="E84" i="17"/>
  <c r="E84" i="18"/>
  <c r="R7" i="16"/>
  <c r="H13" i="18" s="1"/>
  <c r="R18" i="16"/>
  <c r="H85" i="18" s="1"/>
  <c r="R6" i="16"/>
  <c r="H12" i="18" s="1"/>
  <c r="DM38" i="16"/>
  <c r="BG25" i="16"/>
  <c r="BK7" i="16" s="1"/>
  <c r="S29" i="16"/>
  <c r="T29" i="16" s="1"/>
  <c r="U29" i="16"/>
  <c r="DM21" i="16"/>
  <c r="BG6" i="16"/>
  <c r="BK6" i="16" s="1"/>
  <c r="EH35" i="16"/>
  <c r="O31" i="16"/>
  <c r="U18" i="16"/>
  <c r="S18" i="16"/>
  <c r="T18" i="16" s="1"/>
  <c r="R29" i="16"/>
  <c r="S6" i="16"/>
  <c r="O8" i="16"/>
  <c r="R8" i="16" s="1"/>
  <c r="H14" i="18" s="1"/>
  <c r="U6" i="16"/>
  <c r="DM47" i="16"/>
  <c r="O42" i="16"/>
  <c r="T14" i="16"/>
  <c r="O30" i="16"/>
  <c r="S7" i="16"/>
  <c r="T7" i="16" s="1"/>
  <c r="U7" i="16"/>
  <c r="Q42" i="16"/>
  <c r="EH33" i="16"/>
  <c r="DM19" i="16"/>
  <c r="BG14" i="16"/>
  <c r="S17" i="16"/>
  <c r="T17" i="16" s="1"/>
  <c r="O19" i="16"/>
  <c r="U17" i="16"/>
  <c r="EH36" i="16"/>
  <c r="DM23" i="16"/>
  <c r="EH35" i="15"/>
  <c r="S6" i="15"/>
  <c r="U6" i="15"/>
  <c r="O8" i="15"/>
  <c r="R6" i="15"/>
  <c r="H12" i="17" s="1"/>
  <c r="O30" i="15"/>
  <c r="S7" i="15"/>
  <c r="T7" i="15" s="1"/>
  <c r="U7" i="15"/>
  <c r="R7" i="15"/>
  <c r="H13" i="17" s="1"/>
  <c r="O42" i="15"/>
  <c r="T14" i="15"/>
  <c r="DM49" i="15"/>
  <c r="O31" i="15"/>
  <c r="U18" i="15"/>
  <c r="S18" i="15"/>
  <c r="T18" i="15" s="1"/>
  <c r="Q42" i="15"/>
  <c r="S29" i="15"/>
  <c r="T29" i="15" s="1"/>
  <c r="U29" i="15"/>
  <c r="BG12" i="15"/>
  <c r="DM43" i="15"/>
  <c r="EH36" i="15"/>
  <c r="DM23" i="15"/>
  <c r="EH33" i="15"/>
  <c r="DM19" i="15"/>
  <c r="BG14" i="15"/>
  <c r="S17" i="15"/>
  <c r="T17" i="15" s="1"/>
  <c r="U17" i="15"/>
  <c r="O19" i="15"/>
  <c r="EH73" i="15" s="1"/>
  <c r="AD58" i="12"/>
  <c r="AC58" i="12"/>
  <c r="AD57" i="12"/>
  <c r="AC57" i="12"/>
  <c r="AD56" i="12"/>
  <c r="AC56" i="12"/>
  <c r="Z54" i="12" s="1"/>
  <c r="AD54" i="12"/>
  <c r="C43" i="12"/>
  <c r="C43" i="11"/>
  <c r="P29" i="11"/>
  <c r="P30" i="11"/>
  <c r="P31" i="11"/>
  <c r="P29" i="12"/>
  <c r="N26" i="12"/>
  <c r="N29" i="12" s="1"/>
  <c r="T29" i="12" s="1"/>
  <c r="N25" i="12"/>
  <c r="N18" i="12"/>
  <c r="N31" i="12" s="1"/>
  <c r="T31" i="12" s="1"/>
  <c r="N17" i="12"/>
  <c r="N16" i="12"/>
  <c r="N14" i="12"/>
  <c r="N7" i="12"/>
  <c r="N30" i="12" s="1"/>
  <c r="T30" i="12" s="1"/>
  <c r="N6" i="12"/>
  <c r="N26" i="11"/>
  <c r="N29" i="11" s="1"/>
  <c r="T29" i="11" s="1"/>
  <c r="N25" i="11"/>
  <c r="N18" i="11"/>
  <c r="N31" i="11" s="1"/>
  <c r="T31" i="11" s="1"/>
  <c r="N17" i="11"/>
  <c r="N16" i="11"/>
  <c r="N14" i="11"/>
  <c r="N7" i="11"/>
  <c r="N30" i="11" s="1"/>
  <c r="T30" i="11" s="1"/>
  <c r="N6" i="11"/>
  <c r="N8" i="11" s="1"/>
  <c r="AE56" i="6"/>
  <c r="AD56" i="6"/>
  <c r="AE55" i="6"/>
  <c r="AD55" i="6"/>
  <c r="AE54" i="6"/>
  <c r="AD54" i="6"/>
  <c r="AA52" i="6" s="1"/>
  <c r="AE52" i="6"/>
  <c r="Q29" i="6"/>
  <c r="O26" i="6"/>
  <c r="AP48" i="6" s="1"/>
  <c r="O25" i="6"/>
  <c r="O16" i="6"/>
  <c r="E5" i="3"/>
  <c r="B16" i="3" s="1"/>
  <c r="AD56" i="11"/>
  <c r="AC56" i="11"/>
  <c r="AD55" i="11"/>
  <c r="AC55" i="11"/>
  <c r="AD54" i="11"/>
  <c r="AC54" i="11"/>
  <c r="AD52" i="11"/>
  <c r="Z52" i="11"/>
  <c r="EH72" i="15" l="1"/>
  <c r="DM38" i="15"/>
  <c r="BG25" i="15"/>
  <c r="BK7" i="15" s="1"/>
  <c r="BK33" i="16"/>
  <c r="EH70" i="15"/>
  <c r="BT19" i="16"/>
  <c r="E14" i="18"/>
  <c r="O28" i="16"/>
  <c r="E86" i="18"/>
  <c r="EH70" i="16"/>
  <c r="AP50" i="6"/>
  <c r="EH77" i="6"/>
  <c r="DM39" i="15"/>
  <c r="E86" i="17"/>
  <c r="BT19" i="15"/>
  <c r="E14" i="17"/>
  <c r="BY21" i="16"/>
  <c r="EH73" i="16"/>
  <c r="R31" i="11"/>
  <c r="S31" i="11" s="1"/>
  <c r="BY20" i="16"/>
  <c r="O27" i="15"/>
  <c r="DM39" i="16"/>
  <c r="DM18" i="16"/>
  <c r="S28" i="16"/>
  <c r="T28" i="16" s="1"/>
  <c r="U28" i="16"/>
  <c r="R28" i="16"/>
  <c r="J109" i="18" s="1"/>
  <c r="EH32" i="16"/>
  <c r="EH27" i="16"/>
  <c r="BG15" i="16"/>
  <c r="DM11" i="16"/>
  <c r="U30" i="16"/>
  <c r="S30" i="16"/>
  <c r="T30" i="16" s="1"/>
  <c r="R30" i="16"/>
  <c r="DM49" i="16"/>
  <c r="B27" i="16"/>
  <c r="S19" i="16"/>
  <c r="T19" i="16" s="1"/>
  <c r="U19" i="16"/>
  <c r="AP31" i="16" s="1"/>
  <c r="EH62" i="16" s="1"/>
  <c r="T6" i="16"/>
  <c r="R19" i="16"/>
  <c r="U8" i="16"/>
  <c r="AP10" i="16" s="1"/>
  <c r="S8" i="16"/>
  <c r="T8" i="16" s="1"/>
  <c r="O27" i="16"/>
  <c r="S31" i="16"/>
  <c r="T31" i="16" s="1"/>
  <c r="U31" i="16"/>
  <c r="R31" i="16"/>
  <c r="BG6" i="15"/>
  <c r="BK6" i="15" s="1"/>
  <c r="DM21" i="15"/>
  <c r="EH32" i="15"/>
  <c r="DM18" i="15"/>
  <c r="S19" i="15"/>
  <c r="T19" i="15" s="1"/>
  <c r="U19" i="15"/>
  <c r="R19" i="15"/>
  <c r="H86" i="17" s="1"/>
  <c r="EH27" i="15"/>
  <c r="BG15" i="15"/>
  <c r="DM11" i="15"/>
  <c r="S31" i="15"/>
  <c r="T31" i="15" s="1"/>
  <c r="U31" i="15"/>
  <c r="R31" i="15"/>
  <c r="U30" i="15"/>
  <c r="S30" i="15"/>
  <c r="T30" i="15" s="1"/>
  <c r="R30" i="15"/>
  <c r="BY21" i="15"/>
  <c r="BG24" i="15"/>
  <c r="O28" i="15"/>
  <c r="DM48" i="15"/>
  <c r="BG11" i="15"/>
  <c r="BK17" i="15" s="1"/>
  <c r="T6" i="15"/>
  <c r="BK18" i="15"/>
  <c r="U8" i="15"/>
  <c r="Q40" i="15" s="1"/>
  <c r="S8" i="15"/>
  <c r="T8" i="15" s="1"/>
  <c r="R8" i="15"/>
  <c r="H14" i="17" s="1"/>
  <c r="B27" i="15"/>
  <c r="BY20" i="15"/>
  <c r="BT21" i="15"/>
  <c r="BG4" i="15"/>
  <c r="R29" i="12"/>
  <c r="S29" i="12" s="1"/>
  <c r="Q29" i="11"/>
  <c r="R29" i="11"/>
  <c r="S29" i="11" s="1"/>
  <c r="Q29" i="12"/>
  <c r="P30" i="12"/>
  <c r="Q30" i="12" s="1"/>
  <c r="P31" i="12"/>
  <c r="Q31" i="12" s="1"/>
  <c r="R31" i="12"/>
  <c r="S31" i="12" s="1"/>
  <c r="R30" i="12"/>
  <c r="S30" i="12" s="1"/>
  <c r="R30" i="11"/>
  <c r="S30" i="11" s="1"/>
  <c r="N27" i="11"/>
  <c r="Q31" i="11"/>
  <c r="Q30" i="11"/>
  <c r="N19" i="12"/>
  <c r="N28" i="12" s="1"/>
  <c r="N8" i="12"/>
  <c r="N27" i="12" s="1"/>
  <c r="N19" i="11"/>
  <c r="N28" i="11" s="1"/>
  <c r="Q30" i="6"/>
  <c r="Q31" i="6"/>
  <c r="E109" i="14"/>
  <c r="D109" i="14"/>
  <c r="H109" i="14" s="1"/>
  <c r="C109" i="14"/>
  <c r="G109" i="14" s="1"/>
  <c r="E108" i="14"/>
  <c r="D108" i="14"/>
  <c r="H108" i="14" s="1"/>
  <c r="C108" i="14"/>
  <c r="G108" i="14" s="1"/>
  <c r="F92" i="14"/>
  <c r="D92" i="14"/>
  <c r="C92" i="14"/>
  <c r="F91" i="14"/>
  <c r="D91" i="14"/>
  <c r="C91" i="14"/>
  <c r="F90" i="14"/>
  <c r="D90" i="14"/>
  <c r="C90" i="14"/>
  <c r="F89" i="14"/>
  <c r="D89" i="14"/>
  <c r="C89" i="14"/>
  <c r="F88" i="14"/>
  <c r="D88" i="14"/>
  <c r="C88" i="14"/>
  <c r="F87" i="14"/>
  <c r="D87" i="14"/>
  <c r="C87" i="14"/>
  <c r="F86" i="14"/>
  <c r="D86" i="14"/>
  <c r="C86" i="14"/>
  <c r="F85" i="14"/>
  <c r="D85" i="14"/>
  <c r="C85" i="14"/>
  <c r="F84" i="14"/>
  <c r="D84" i="14"/>
  <c r="C84" i="14"/>
  <c r="E34" i="14"/>
  <c r="D34" i="14"/>
  <c r="H34" i="14" s="1"/>
  <c r="C34" i="14"/>
  <c r="G34" i="14" s="1"/>
  <c r="E33" i="14"/>
  <c r="D33" i="14"/>
  <c r="H33" i="14" s="1"/>
  <c r="C33" i="14"/>
  <c r="G33" i="14" s="1"/>
  <c r="K28" i="14"/>
  <c r="D28" i="14"/>
  <c r="C28" i="14"/>
  <c r="F22" i="14"/>
  <c r="D22" i="14"/>
  <c r="C22" i="14"/>
  <c r="B19" i="14"/>
  <c r="F19" i="14" s="1"/>
  <c r="B18" i="14"/>
  <c r="B17" i="14"/>
  <c r="B16" i="14"/>
  <c r="F16" i="14" s="1"/>
  <c r="C15" i="14"/>
  <c r="B15" i="14"/>
  <c r="F15" i="14" s="1"/>
  <c r="B14" i="14"/>
  <c r="B13" i="14"/>
  <c r="D12" i="14"/>
  <c r="C12" i="14"/>
  <c r="B12" i="14"/>
  <c r="F12" i="14" s="1"/>
  <c r="B776" i="14"/>
  <c r="B778" i="14" s="1"/>
  <c r="B777" i="14" s="1"/>
  <c r="B768" i="14"/>
  <c r="B770" i="14" s="1"/>
  <c r="B771" i="14" s="1"/>
  <c r="B764" i="14"/>
  <c r="B761" i="14"/>
  <c r="J750" i="14"/>
  <c r="I750" i="14"/>
  <c r="F750" i="14"/>
  <c r="E750" i="14"/>
  <c r="D750" i="14"/>
  <c r="H750" i="14" s="1"/>
  <c r="C750" i="14"/>
  <c r="G750" i="14" s="1"/>
  <c r="K750" i="14" s="1"/>
  <c r="J749" i="14"/>
  <c r="I749" i="14"/>
  <c r="F749" i="14"/>
  <c r="E749" i="14"/>
  <c r="D749" i="14"/>
  <c r="H749" i="14" s="1"/>
  <c r="C749" i="14"/>
  <c r="G749" i="14" s="1"/>
  <c r="J748" i="14"/>
  <c r="I748" i="14"/>
  <c r="F748" i="14"/>
  <c r="E748" i="14"/>
  <c r="D748" i="14"/>
  <c r="H748" i="14" s="1"/>
  <c r="C748" i="14"/>
  <c r="G748" i="14" s="1"/>
  <c r="K748" i="14" s="1"/>
  <c r="J747" i="14"/>
  <c r="I747" i="14"/>
  <c r="F747" i="14"/>
  <c r="E747" i="14"/>
  <c r="D747" i="14"/>
  <c r="H747" i="14" s="1"/>
  <c r="C747" i="14"/>
  <c r="G747" i="14" s="1"/>
  <c r="J746" i="14"/>
  <c r="I746" i="14"/>
  <c r="F746" i="14"/>
  <c r="E746" i="14"/>
  <c r="D746" i="14"/>
  <c r="H746" i="14" s="1"/>
  <c r="C746" i="14"/>
  <c r="G746" i="14" s="1"/>
  <c r="K746" i="14" s="1"/>
  <c r="J745" i="14"/>
  <c r="I745" i="14"/>
  <c r="F745" i="14"/>
  <c r="E745" i="14"/>
  <c r="D745" i="14"/>
  <c r="H745" i="14" s="1"/>
  <c r="C745" i="14"/>
  <c r="G745" i="14" s="1"/>
  <c r="J744" i="14"/>
  <c r="I744" i="14"/>
  <c r="F744" i="14"/>
  <c r="E744" i="14"/>
  <c r="D744" i="14"/>
  <c r="H744" i="14" s="1"/>
  <c r="C744" i="14"/>
  <c r="G744" i="14" s="1"/>
  <c r="K744" i="14" s="1"/>
  <c r="J743" i="14"/>
  <c r="I743" i="14"/>
  <c r="F743" i="14"/>
  <c r="E743" i="14"/>
  <c r="D743" i="14"/>
  <c r="H743" i="14" s="1"/>
  <c r="C743" i="14"/>
  <c r="G743" i="14" s="1"/>
  <c r="J742" i="14"/>
  <c r="I742" i="14"/>
  <c r="F742" i="14"/>
  <c r="E742" i="14"/>
  <c r="D742" i="14"/>
  <c r="H742" i="14" s="1"/>
  <c r="C742" i="14"/>
  <c r="G742" i="14" s="1"/>
  <c r="K742" i="14" s="1"/>
  <c r="J741" i="14"/>
  <c r="I741" i="14"/>
  <c r="F741" i="14"/>
  <c r="E741" i="14"/>
  <c r="D741" i="14"/>
  <c r="H741" i="14" s="1"/>
  <c r="C741" i="14"/>
  <c r="G741" i="14" s="1"/>
  <c r="J740" i="14"/>
  <c r="I740" i="14"/>
  <c r="F740" i="14"/>
  <c r="E740" i="14"/>
  <c r="D740" i="14"/>
  <c r="H740" i="14" s="1"/>
  <c r="C740" i="14"/>
  <c r="G740" i="14" s="1"/>
  <c r="K740" i="14" s="1"/>
  <c r="J739" i="14"/>
  <c r="I739" i="14"/>
  <c r="F739" i="14"/>
  <c r="E739" i="14"/>
  <c r="D739" i="14"/>
  <c r="H739" i="14" s="1"/>
  <c r="C739" i="14"/>
  <c r="G739" i="14" s="1"/>
  <c r="G731" i="14"/>
  <c r="F731" i="14"/>
  <c r="M731" i="14" s="1"/>
  <c r="N731" i="14" s="1"/>
  <c r="H731" i="14" s="1"/>
  <c r="E731" i="14"/>
  <c r="D731" i="14"/>
  <c r="C731" i="14"/>
  <c r="I731" i="14" s="1"/>
  <c r="L731" i="14" s="1"/>
  <c r="H717" i="14"/>
  <c r="G717" i="14"/>
  <c r="F717" i="14"/>
  <c r="E717" i="14"/>
  <c r="D717" i="14"/>
  <c r="C717" i="14"/>
  <c r="H716" i="14"/>
  <c r="G716" i="14"/>
  <c r="F716" i="14"/>
  <c r="E716" i="14"/>
  <c r="D716" i="14"/>
  <c r="C716" i="14"/>
  <c r="H715" i="14"/>
  <c r="G715" i="14"/>
  <c r="F715" i="14"/>
  <c r="E715" i="14"/>
  <c r="D715" i="14"/>
  <c r="C715" i="14"/>
  <c r="B699" i="14"/>
  <c r="B698" i="14" s="1"/>
  <c r="B697" i="14"/>
  <c r="B685" i="14"/>
  <c r="B682" i="14"/>
  <c r="B689" i="14" s="1"/>
  <c r="J661" i="14"/>
  <c r="I661" i="14"/>
  <c r="F661" i="14"/>
  <c r="E661" i="14"/>
  <c r="D661" i="14"/>
  <c r="H661" i="14" s="1"/>
  <c r="C661" i="14"/>
  <c r="G661" i="14" s="1"/>
  <c r="J660" i="14"/>
  <c r="I660" i="14"/>
  <c r="F660" i="14"/>
  <c r="E660" i="14"/>
  <c r="D660" i="14"/>
  <c r="H660" i="14" s="1"/>
  <c r="C660" i="14"/>
  <c r="G660" i="14" s="1"/>
  <c r="G652" i="14"/>
  <c r="F652" i="14"/>
  <c r="M652" i="14" s="1"/>
  <c r="E652" i="14"/>
  <c r="D652" i="14"/>
  <c r="C652" i="14"/>
  <c r="I652" i="14" s="1"/>
  <c r="L652" i="14" s="1"/>
  <c r="H637" i="14"/>
  <c r="G637" i="14"/>
  <c r="F637" i="14"/>
  <c r="E637" i="14"/>
  <c r="D637" i="14"/>
  <c r="C637" i="14"/>
  <c r="H636" i="14"/>
  <c r="G636" i="14"/>
  <c r="F636" i="14"/>
  <c r="E636" i="14"/>
  <c r="D636" i="14"/>
  <c r="C636" i="14"/>
  <c r="B618" i="14"/>
  <c r="B620" i="14" s="1"/>
  <c r="B619" i="14" s="1"/>
  <c r="B607" i="14"/>
  <c r="B606" i="14"/>
  <c r="B603" i="14"/>
  <c r="B610" i="14" s="1"/>
  <c r="J583" i="14"/>
  <c r="I583" i="14"/>
  <c r="F583" i="14"/>
  <c r="E583" i="14"/>
  <c r="D583" i="14"/>
  <c r="H583" i="14" s="1"/>
  <c r="C583" i="14"/>
  <c r="G583" i="14" s="1"/>
  <c r="J582" i="14"/>
  <c r="I582" i="14"/>
  <c r="F582" i="14"/>
  <c r="E582" i="14"/>
  <c r="D582" i="14"/>
  <c r="H582" i="14" s="1"/>
  <c r="C582" i="14"/>
  <c r="G582" i="14" s="1"/>
  <c r="K582" i="14" s="1"/>
  <c r="J581" i="14"/>
  <c r="I581" i="14"/>
  <c r="F581" i="14"/>
  <c r="E581" i="14"/>
  <c r="D581" i="14"/>
  <c r="H581" i="14" s="1"/>
  <c r="C581" i="14"/>
  <c r="G581" i="14" s="1"/>
  <c r="G573" i="14"/>
  <c r="F573" i="14"/>
  <c r="M573" i="14" s="1"/>
  <c r="N573" i="14" s="1"/>
  <c r="H573" i="14" s="1"/>
  <c r="E573" i="14"/>
  <c r="D573" i="14"/>
  <c r="C573" i="14"/>
  <c r="I573" i="14" s="1"/>
  <c r="L573" i="14" s="1"/>
  <c r="H559" i="14"/>
  <c r="G559" i="14"/>
  <c r="F559" i="14"/>
  <c r="E559" i="14"/>
  <c r="D559" i="14"/>
  <c r="C559" i="14"/>
  <c r="H558" i="14"/>
  <c r="G558" i="14"/>
  <c r="F558" i="14"/>
  <c r="E558" i="14"/>
  <c r="D558" i="14"/>
  <c r="C558" i="14"/>
  <c r="H557" i="14"/>
  <c r="B594" i="14" s="1"/>
  <c r="G557" i="14"/>
  <c r="F557" i="14"/>
  <c r="E557" i="14"/>
  <c r="D557" i="14"/>
  <c r="C557" i="14"/>
  <c r="B539" i="14"/>
  <c r="B541" i="14" s="1"/>
  <c r="B540" i="14" s="1"/>
  <c r="B527" i="14"/>
  <c r="B528" i="14" s="1"/>
  <c r="B524" i="14"/>
  <c r="B531" i="14" s="1"/>
  <c r="B533" i="14" s="1"/>
  <c r="B534" i="14" s="1"/>
  <c r="J504" i="14"/>
  <c r="I504" i="14"/>
  <c r="F504" i="14"/>
  <c r="E504" i="14"/>
  <c r="D504" i="14"/>
  <c r="H504" i="14" s="1"/>
  <c r="C504" i="14"/>
  <c r="G504" i="14" s="1"/>
  <c r="J503" i="14"/>
  <c r="I503" i="14"/>
  <c r="F503" i="14"/>
  <c r="E503" i="14"/>
  <c r="D503" i="14"/>
  <c r="H503" i="14" s="1"/>
  <c r="C503" i="14"/>
  <c r="G503" i="14" s="1"/>
  <c r="J502" i="14"/>
  <c r="I502" i="14"/>
  <c r="F502" i="14"/>
  <c r="E502" i="14"/>
  <c r="D502" i="14"/>
  <c r="H502" i="14" s="1"/>
  <c r="C502" i="14"/>
  <c r="G502" i="14" s="1"/>
  <c r="H483" i="14"/>
  <c r="G483" i="14"/>
  <c r="F483" i="14"/>
  <c r="E483" i="14"/>
  <c r="D483" i="14"/>
  <c r="C483" i="14"/>
  <c r="H482" i="14"/>
  <c r="G482" i="14"/>
  <c r="F482" i="14"/>
  <c r="E482" i="14"/>
  <c r="D482" i="14"/>
  <c r="C482" i="14"/>
  <c r="H481" i="14"/>
  <c r="G481" i="14"/>
  <c r="F481" i="14"/>
  <c r="E481" i="14"/>
  <c r="D481" i="14"/>
  <c r="C481" i="14"/>
  <c r="H480" i="14"/>
  <c r="G480" i="14"/>
  <c r="F480" i="14"/>
  <c r="E480" i="14"/>
  <c r="D480" i="14"/>
  <c r="C480" i="14"/>
  <c r="H479" i="14"/>
  <c r="G479" i="14"/>
  <c r="F479" i="14"/>
  <c r="E479" i="14"/>
  <c r="D479" i="14"/>
  <c r="C479" i="14"/>
  <c r="H478" i="14"/>
  <c r="G478" i="14"/>
  <c r="F478" i="14"/>
  <c r="E478" i="14"/>
  <c r="D478" i="14"/>
  <c r="C478" i="14"/>
  <c r="B461" i="14"/>
  <c r="B463" i="14" s="1"/>
  <c r="B462" i="14" s="1"/>
  <c r="B449" i="14"/>
  <c r="B450" i="14" s="1"/>
  <c r="B446" i="14"/>
  <c r="B453" i="14" s="1"/>
  <c r="J428" i="14"/>
  <c r="I428" i="14"/>
  <c r="F428" i="14"/>
  <c r="E428" i="14"/>
  <c r="D428" i="14"/>
  <c r="H428" i="14" s="1"/>
  <c r="C428" i="14"/>
  <c r="G428" i="14" s="1"/>
  <c r="K428" i="14" s="1"/>
  <c r="J427" i="14"/>
  <c r="I427" i="14"/>
  <c r="F427" i="14"/>
  <c r="E427" i="14"/>
  <c r="D427" i="14"/>
  <c r="H427" i="14" s="1"/>
  <c r="C427" i="14"/>
  <c r="G427" i="14" s="1"/>
  <c r="J426" i="14"/>
  <c r="I426" i="14"/>
  <c r="F426" i="14"/>
  <c r="E426" i="14"/>
  <c r="D426" i="14"/>
  <c r="H426" i="14" s="1"/>
  <c r="C426" i="14"/>
  <c r="G426" i="14" s="1"/>
  <c r="K426" i="14" s="1"/>
  <c r="J425" i="14"/>
  <c r="I425" i="14"/>
  <c r="F425" i="14"/>
  <c r="E425" i="14"/>
  <c r="D425" i="14"/>
  <c r="H425" i="14" s="1"/>
  <c r="C425" i="14"/>
  <c r="G425" i="14" s="1"/>
  <c r="J424" i="14"/>
  <c r="I424" i="14"/>
  <c r="F424" i="14"/>
  <c r="E424" i="14"/>
  <c r="D424" i="14"/>
  <c r="H424" i="14" s="1"/>
  <c r="C424" i="14"/>
  <c r="G424" i="14" s="1"/>
  <c r="K424" i="14" s="1"/>
  <c r="H402" i="14"/>
  <c r="G402" i="14"/>
  <c r="F402" i="14"/>
  <c r="E402" i="14"/>
  <c r="D402" i="14"/>
  <c r="C402" i="14"/>
  <c r="H401" i="14"/>
  <c r="G401" i="14"/>
  <c r="F401" i="14"/>
  <c r="E401" i="14"/>
  <c r="D401" i="14"/>
  <c r="C401" i="14"/>
  <c r="H400" i="14"/>
  <c r="B437" i="14" s="1"/>
  <c r="G400" i="14"/>
  <c r="F400" i="14"/>
  <c r="E400" i="14"/>
  <c r="D400" i="14"/>
  <c r="C400" i="14"/>
  <c r="B383" i="14"/>
  <c r="B385" i="14" s="1"/>
  <c r="B384" i="14" s="1"/>
  <c r="B371" i="14"/>
  <c r="B372" i="14" s="1"/>
  <c r="B368" i="14"/>
  <c r="B375" i="14" s="1"/>
  <c r="J350" i="14"/>
  <c r="I350" i="14"/>
  <c r="F350" i="14"/>
  <c r="E350" i="14"/>
  <c r="D350" i="14"/>
  <c r="H350" i="14" s="1"/>
  <c r="C350" i="14"/>
  <c r="G350" i="14" s="1"/>
  <c r="K350" i="14" s="1"/>
  <c r="J349" i="14"/>
  <c r="I349" i="14"/>
  <c r="F349" i="14"/>
  <c r="E349" i="14"/>
  <c r="D349" i="14"/>
  <c r="H349" i="14" s="1"/>
  <c r="C349" i="14"/>
  <c r="G349" i="14" s="1"/>
  <c r="J348" i="14"/>
  <c r="I348" i="14"/>
  <c r="F348" i="14"/>
  <c r="E348" i="14"/>
  <c r="D348" i="14"/>
  <c r="H348" i="14" s="1"/>
  <c r="C348" i="14"/>
  <c r="G348" i="14" s="1"/>
  <c r="K348" i="14" s="1"/>
  <c r="J347" i="14"/>
  <c r="I347" i="14"/>
  <c r="F347" i="14"/>
  <c r="E347" i="14"/>
  <c r="D347" i="14"/>
  <c r="H347" i="14" s="1"/>
  <c r="C347" i="14"/>
  <c r="G347" i="14" s="1"/>
  <c r="J346" i="14"/>
  <c r="I346" i="14"/>
  <c r="F346" i="14"/>
  <c r="E346" i="14"/>
  <c r="D346" i="14"/>
  <c r="H346" i="14" s="1"/>
  <c r="C346" i="14"/>
  <c r="G346" i="14" s="1"/>
  <c r="K346" i="14" s="1"/>
  <c r="H325" i="14"/>
  <c r="G325" i="14"/>
  <c r="F325" i="14"/>
  <c r="E325" i="14"/>
  <c r="D325" i="14"/>
  <c r="C325" i="14"/>
  <c r="H324" i="14"/>
  <c r="G324" i="14"/>
  <c r="F324" i="14"/>
  <c r="E324" i="14"/>
  <c r="D324" i="14"/>
  <c r="C324" i="14"/>
  <c r="H323" i="14"/>
  <c r="G323" i="14"/>
  <c r="F323" i="14"/>
  <c r="E323" i="14"/>
  <c r="D323" i="14"/>
  <c r="C323" i="14"/>
  <c r="H322" i="14"/>
  <c r="G322" i="14"/>
  <c r="F322" i="14"/>
  <c r="E322" i="14"/>
  <c r="D322" i="14"/>
  <c r="C322" i="14"/>
  <c r="B304" i="14"/>
  <c r="B306" i="14" s="1"/>
  <c r="B305" i="14" s="1"/>
  <c r="B292" i="14"/>
  <c r="B289" i="14"/>
  <c r="B296" i="14" s="1"/>
  <c r="J270" i="14"/>
  <c r="I270" i="14"/>
  <c r="F270" i="14"/>
  <c r="E270" i="14"/>
  <c r="D270" i="14"/>
  <c r="H270" i="14" s="1"/>
  <c r="C270" i="14"/>
  <c r="G270" i="14" s="1"/>
  <c r="J269" i="14"/>
  <c r="I269" i="14"/>
  <c r="F269" i="14"/>
  <c r="E269" i="14"/>
  <c r="D269" i="14"/>
  <c r="H269" i="14" s="1"/>
  <c r="C269" i="14"/>
  <c r="G269" i="14" s="1"/>
  <c r="J268" i="14"/>
  <c r="I268" i="14"/>
  <c r="F268" i="14"/>
  <c r="E268" i="14"/>
  <c r="D268" i="14"/>
  <c r="H268" i="14" s="1"/>
  <c r="C268" i="14"/>
  <c r="G268" i="14" s="1"/>
  <c r="J267" i="14"/>
  <c r="I267" i="14"/>
  <c r="F267" i="14"/>
  <c r="E267" i="14"/>
  <c r="D267" i="14"/>
  <c r="H267" i="14" s="1"/>
  <c r="C267" i="14"/>
  <c r="G267" i="14" s="1"/>
  <c r="H246" i="14"/>
  <c r="G246" i="14"/>
  <c r="F246" i="14"/>
  <c r="E246" i="14"/>
  <c r="D246" i="14"/>
  <c r="C246" i="14"/>
  <c r="H245" i="14"/>
  <c r="G245" i="14"/>
  <c r="F245" i="14"/>
  <c r="E245" i="14"/>
  <c r="D245" i="14"/>
  <c r="C245" i="14"/>
  <c r="H244" i="14"/>
  <c r="G244" i="14"/>
  <c r="F244" i="14"/>
  <c r="E244" i="14"/>
  <c r="D244" i="14"/>
  <c r="C244" i="14"/>
  <c r="H243" i="14"/>
  <c r="B280" i="14" s="1"/>
  <c r="G243" i="14"/>
  <c r="F243" i="14"/>
  <c r="E243" i="14"/>
  <c r="D243" i="14"/>
  <c r="C243" i="14"/>
  <c r="B225" i="14"/>
  <c r="B227" i="14" s="1"/>
  <c r="B226" i="14" s="1"/>
  <c r="B213" i="14"/>
  <c r="B210" i="14"/>
  <c r="B217" i="14" s="1"/>
  <c r="J190" i="14"/>
  <c r="I190" i="14"/>
  <c r="F190" i="14"/>
  <c r="E190" i="14"/>
  <c r="D190" i="14"/>
  <c r="H190" i="14" s="1"/>
  <c r="C190" i="14"/>
  <c r="G190" i="14" s="1"/>
  <c r="K190" i="14" s="1"/>
  <c r="J189" i="14"/>
  <c r="I189" i="14"/>
  <c r="F189" i="14"/>
  <c r="E189" i="14"/>
  <c r="D189" i="14"/>
  <c r="H189" i="14" s="1"/>
  <c r="C189" i="14"/>
  <c r="G189" i="14" s="1"/>
  <c r="J188" i="14"/>
  <c r="I188" i="14"/>
  <c r="F188" i="14"/>
  <c r="E188" i="14"/>
  <c r="D188" i="14"/>
  <c r="H188" i="14" s="1"/>
  <c r="C188" i="14"/>
  <c r="G188" i="14" s="1"/>
  <c r="K188" i="14" s="1"/>
  <c r="I180" i="14"/>
  <c r="L180" i="14" s="1"/>
  <c r="G180" i="14"/>
  <c r="F180" i="14"/>
  <c r="M180" i="14" s="1"/>
  <c r="E180" i="14"/>
  <c r="D180" i="14"/>
  <c r="C180" i="14"/>
  <c r="H165" i="14"/>
  <c r="G165" i="14"/>
  <c r="F165" i="14"/>
  <c r="E165" i="14"/>
  <c r="D165" i="14"/>
  <c r="C165" i="14"/>
  <c r="H164" i="14"/>
  <c r="B201" i="14" s="1"/>
  <c r="G164" i="14"/>
  <c r="F164" i="14"/>
  <c r="E164" i="14"/>
  <c r="D164" i="14"/>
  <c r="C164" i="14"/>
  <c r="B21" i="14"/>
  <c r="E21" i="14" s="1"/>
  <c r="V12" i="14"/>
  <c r="V11" i="14"/>
  <c r="V10" i="14"/>
  <c r="V9" i="14"/>
  <c r="V8" i="14"/>
  <c r="V7" i="14"/>
  <c r="E109" i="13"/>
  <c r="D109" i="13"/>
  <c r="H109" i="13" s="1"/>
  <c r="C109" i="13"/>
  <c r="G109" i="13" s="1"/>
  <c r="E108" i="13"/>
  <c r="D108" i="13"/>
  <c r="H108" i="13" s="1"/>
  <c r="C108" i="13"/>
  <c r="G108" i="13" s="1"/>
  <c r="F92" i="13"/>
  <c r="D92" i="13"/>
  <c r="C92" i="13"/>
  <c r="F91" i="13"/>
  <c r="D91" i="13"/>
  <c r="C91" i="13"/>
  <c r="F90" i="13"/>
  <c r="D90" i="13"/>
  <c r="C90" i="13"/>
  <c r="F89" i="13"/>
  <c r="D89" i="13"/>
  <c r="C89" i="13"/>
  <c r="F88" i="13"/>
  <c r="D88" i="13"/>
  <c r="C88" i="13"/>
  <c r="F87" i="13"/>
  <c r="D87" i="13"/>
  <c r="C87" i="13"/>
  <c r="F86" i="13"/>
  <c r="D86" i="13"/>
  <c r="C86" i="13"/>
  <c r="F85" i="13"/>
  <c r="D85" i="13"/>
  <c r="C85" i="13"/>
  <c r="F84" i="13"/>
  <c r="D84" i="13"/>
  <c r="C84" i="13"/>
  <c r="E34" i="13"/>
  <c r="D34" i="13"/>
  <c r="H34" i="13" s="1"/>
  <c r="C34" i="13"/>
  <c r="G34" i="13" s="1"/>
  <c r="E33" i="13"/>
  <c r="D33" i="13"/>
  <c r="H33" i="13" s="1"/>
  <c r="C33" i="13"/>
  <c r="G33" i="13" s="1"/>
  <c r="K28" i="13"/>
  <c r="D28" i="13"/>
  <c r="C28" i="13"/>
  <c r="F22" i="13"/>
  <c r="D22" i="13"/>
  <c r="C22" i="13"/>
  <c r="F21" i="13"/>
  <c r="D21" i="13"/>
  <c r="D19" i="13"/>
  <c r="B19" i="13"/>
  <c r="F19" i="13" s="1"/>
  <c r="B18" i="13"/>
  <c r="B17" i="13"/>
  <c r="B16" i="13"/>
  <c r="D16" i="13" s="1"/>
  <c r="D15" i="13"/>
  <c r="C15" i="13"/>
  <c r="B15" i="13"/>
  <c r="F15" i="13" s="1"/>
  <c r="B14" i="13"/>
  <c r="B13" i="13"/>
  <c r="D12" i="13"/>
  <c r="B12" i="13"/>
  <c r="B778" i="13"/>
  <c r="B777" i="13" s="1"/>
  <c r="B776" i="13"/>
  <c r="B770" i="13"/>
  <c r="B771" i="13" s="1"/>
  <c r="B764" i="13"/>
  <c r="B761" i="13"/>
  <c r="B768" i="13" s="1"/>
  <c r="G768" i="13" s="1"/>
  <c r="J750" i="13"/>
  <c r="I750" i="13"/>
  <c r="F750" i="13"/>
  <c r="E750" i="13"/>
  <c r="D750" i="13"/>
  <c r="H750" i="13" s="1"/>
  <c r="C750" i="13"/>
  <c r="G750" i="13" s="1"/>
  <c r="K750" i="13" s="1"/>
  <c r="J749" i="13"/>
  <c r="I749" i="13"/>
  <c r="F749" i="13"/>
  <c r="E749" i="13"/>
  <c r="D749" i="13"/>
  <c r="H749" i="13" s="1"/>
  <c r="C749" i="13"/>
  <c r="G749" i="13" s="1"/>
  <c r="K749" i="13" s="1"/>
  <c r="J748" i="13"/>
  <c r="I748" i="13"/>
  <c r="F748" i="13"/>
  <c r="E748" i="13"/>
  <c r="D748" i="13"/>
  <c r="H748" i="13" s="1"/>
  <c r="C748" i="13"/>
  <c r="G748" i="13" s="1"/>
  <c r="J747" i="13"/>
  <c r="I747" i="13"/>
  <c r="F747" i="13"/>
  <c r="E747" i="13"/>
  <c r="D747" i="13"/>
  <c r="H747" i="13" s="1"/>
  <c r="C747" i="13"/>
  <c r="G747" i="13" s="1"/>
  <c r="K747" i="13" s="1"/>
  <c r="J746" i="13"/>
  <c r="I746" i="13"/>
  <c r="F746" i="13"/>
  <c r="E746" i="13"/>
  <c r="D746" i="13"/>
  <c r="H746" i="13" s="1"/>
  <c r="C746" i="13"/>
  <c r="G746" i="13" s="1"/>
  <c r="J745" i="13"/>
  <c r="I745" i="13"/>
  <c r="F745" i="13"/>
  <c r="E745" i="13"/>
  <c r="D745" i="13"/>
  <c r="H745" i="13" s="1"/>
  <c r="C745" i="13"/>
  <c r="G745" i="13" s="1"/>
  <c r="K745" i="13" s="1"/>
  <c r="J744" i="13"/>
  <c r="I744" i="13"/>
  <c r="F744" i="13"/>
  <c r="E744" i="13"/>
  <c r="D744" i="13"/>
  <c r="H744" i="13" s="1"/>
  <c r="C744" i="13"/>
  <c r="G744" i="13" s="1"/>
  <c r="J743" i="13"/>
  <c r="I743" i="13"/>
  <c r="F743" i="13"/>
  <c r="E743" i="13"/>
  <c r="D743" i="13"/>
  <c r="H743" i="13" s="1"/>
  <c r="C743" i="13"/>
  <c r="G743" i="13" s="1"/>
  <c r="K743" i="13" s="1"/>
  <c r="J742" i="13"/>
  <c r="I742" i="13"/>
  <c r="F742" i="13"/>
  <c r="E742" i="13"/>
  <c r="D742" i="13"/>
  <c r="H742" i="13" s="1"/>
  <c r="C742" i="13"/>
  <c r="G742" i="13" s="1"/>
  <c r="J741" i="13"/>
  <c r="I741" i="13"/>
  <c r="F741" i="13"/>
  <c r="E741" i="13"/>
  <c r="D741" i="13"/>
  <c r="H741" i="13" s="1"/>
  <c r="C741" i="13"/>
  <c r="G741" i="13" s="1"/>
  <c r="K741" i="13" s="1"/>
  <c r="J740" i="13"/>
  <c r="I740" i="13"/>
  <c r="H740" i="13"/>
  <c r="F740" i="13"/>
  <c r="E740" i="13"/>
  <c r="D740" i="13"/>
  <c r="C740" i="13"/>
  <c r="G740" i="13" s="1"/>
  <c r="K740" i="13" s="1"/>
  <c r="J739" i="13"/>
  <c r="I739" i="13"/>
  <c r="F739" i="13"/>
  <c r="E739" i="13"/>
  <c r="D739" i="13"/>
  <c r="H739" i="13" s="1"/>
  <c r="C739" i="13"/>
  <c r="G739" i="13" s="1"/>
  <c r="M731" i="13"/>
  <c r="G731" i="13"/>
  <c r="F731" i="13"/>
  <c r="E731" i="13"/>
  <c r="D731" i="13"/>
  <c r="C731" i="13"/>
  <c r="I731" i="13" s="1"/>
  <c r="L731" i="13" s="1"/>
  <c r="H717" i="13"/>
  <c r="G717" i="13"/>
  <c r="F717" i="13"/>
  <c r="E717" i="13"/>
  <c r="D717" i="13"/>
  <c r="C717" i="13"/>
  <c r="H716" i="13"/>
  <c r="G716" i="13"/>
  <c r="F716" i="13"/>
  <c r="E716" i="13"/>
  <c r="D716" i="13"/>
  <c r="C716" i="13"/>
  <c r="H715" i="13"/>
  <c r="G715" i="13"/>
  <c r="F715" i="13"/>
  <c r="E715" i="13"/>
  <c r="D715" i="13"/>
  <c r="C715" i="13"/>
  <c r="B697" i="13"/>
  <c r="B699" i="13" s="1"/>
  <c r="B698" i="13" s="1"/>
  <c r="B689" i="13"/>
  <c r="G689" i="13" s="1"/>
  <c r="B685" i="13"/>
  <c r="B682" i="13"/>
  <c r="J661" i="13"/>
  <c r="I661" i="13"/>
  <c r="F661" i="13"/>
  <c r="E661" i="13"/>
  <c r="D661" i="13"/>
  <c r="H661" i="13" s="1"/>
  <c r="C661" i="13"/>
  <c r="G661" i="13" s="1"/>
  <c r="K661" i="13" s="1"/>
  <c r="J660" i="13"/>
  <c r="I660" i="13"/>
  <c r="H660" i="13"/>
  <c r="F660" i="13"/>
  <c r="E660" i="13"/>
  <c r="D660" i="13"/>
  <c r="C660" i="13"/>
  <c r="G660" i="13" s="1"/>
  <c r="K660" i="13" s="1"/>
  <c r="L652" i="13"/>
  <c r="G652" i="13"/>
  <c r="F652" i="13"/>
  <c r="M652" i="13" s="1"/>
  <c r="E652" i="13"/>
  <c r="D652" i="13"/>
  <c r="C652" i="13"/>
  <c r="I652" i="13" s="1"/>
  <c r="H637" i="13"/>
  <c r="G637" i="13"/>
  <c r="F637" i="13"/>
  <c r="E637" i="13"/>
  <c r="D637" i="13"/>
  <c r="C637" i="13"/>
  <c r="H636" i="13"/>
  <c r="B673" i="13" s="1"/>
  <c r="B674" i="13" s="1"/>
  <c r="B704" i="13" s="1"/>
  <c r="G636" i="13"/>
  <c r="F636" i="13"/>
  <c r="E636" i="13"/>
  <c r="D636" i="13"/>
  <c r="C636" i="13"/>
  <c r="B618" i="13"/>
  <c r="B620" i="13" s="1"/>
  <c r="B619" i="13" s="1"/>
  <c r="B610" i="13"/>
  <c r="B606" i="13"/>
  <c r="B607" i="13" s="1"/>
  <c r="B603" i="13"/>
  <c r="J583" i="13"/>
  <c r="I583" i="13"/>
  <c r="F583" i="13"/>
  <c r="E583" i="13"/>
  <c r="D583" i="13"/>
  <c r="H583" i="13" s="1"/>
  <c r="C583" i="13"/>
  <c r="G583" i="13" s="1"/>
  <c r="J582" i="13"/>
  <c r="I582" i="13"/>
  <c r="F582" i="13"/>
  <c r="E582" i="13"/>
  <c r="D582" i="13"/>
  <c r="H582" i="13" s="1"/>
  <c r="C582" i="13"/>
  <c r="G582" i="13" s="1"/>
  <c r="K582" i="13" s="1"/>
  <c r="J581" i="13"/>
  <c r="I581" i="13"/>
  <c r="F581" i="13"/>
  <c r="E581" i="13"/>
  <c r="D581" i="13"/>
  <c r="H581" i="13" s="1"/>
  <c r="C581" i="13"/>
  <c r="G581" i="13" s="1"/>
  <c r="I573" i="13"/>
  <c r="L573" i="13" s="1"/>
  <c r="G573" i="13"/>
  <c r="F573" i="13"/>
  <c r="M573" i="13" s="1"/>
  <c r="E573" i="13"/>
  <c r="D573" i="13"/>
  <c r="C573" i="13"/>
  <c r="H559" i="13"/>
  <c r="G559" i="13"/>
  <c r="F559" i="13"/>
  <c r="E559" i="13"/>
  <c r="D559" i="13"/>
  <c r="C559" i="13"/>
  <c r="H558" i="13"/>
  <c r="G558" i="13"/>
  <c r="F558" i="13"/>
  <c r="E558" i="13"/>
  <c r="D558" i="13"/>
  <c r="C558" i="13"/>
  <c r="H557" i="13"/>
  <c r="B594" i="13" s="1"/>
  <c r="B624" i="13" s="1"/>
  <c r="G557" i="13"/>
  <c r="F557" i="13"/>
  <c r="E557" i="13"/>
  <c r="D557" i="13"/>
  <c r="C557" i="13"/>
  <c r="B541" i="13"/>
  <c r="B540" i="13"/>
  <c r="B539" i="13"/>
  <c r="G531" i="13"/>
  <c r="B527" i="13"/>
  <c r="B528" i="13" s="1"/>
  <c r="B524" i="13"/>
  <c r="B531" i="13" s="1"/>
  <c r="B533" i="13" s="1"/>
  <c r="B534" i="13" s="1"/>
  <c r="J504" i="13"/>
  <c r="I504" i="13"/>
  <c r="F504" i="13"/>
  <c r="E504" i="13"/>
  <c r="D504" i="13"/>
  <c r="H504" i="13" s="1"/>
  <c r="C504" i="13"/>
  <c r="G504" i="13" s="1"/>
  <c r="K504" i="13" s="1"/>
  <c r="J503" i="13"/>
  <c r="I503" i="13"/>
  <c r="F503" i="13"/>
  <c r="E503" i="13"/>
  <c r="D503" i="13"/>
  <c r="H503" i="13" s="1"/>
  <c r="C503" i="13"/>
  <c r="G503" i="13" s="1"/>
  <c r="K503" i="13" s="1"/>
  <c r="J502" i="13"/>
  <c r="I502" i="13"/>
  <c r="H502" i="13"/>
  <c r="F502" i="13"/>
  <c r="E502" i="13"/>
  <c r="D502" i="13"/>
  <c r="C502" i="13"/>
  <c r="G502" i="13" s="1"/>
  <c r="K502" i="13" s="1"/>
  <c r="H483" i="13"/>
  <c r="G483" i="13"/>
  <c r="F483" i="13"/>
  <c r="E483" i="13"/>
  <c r="D483" i="13"/>
  <c r="C483" i="13"/>
  <c r="H482" i="13"/>
  <c r="G482" i="13"/>
  <c r="F482" i="13"/>
  <c r="E482" i="13"/>
  <c r="D482" i="13"/>
  <c r="C482" i="13"/>
  <c r="H481" i="13"/>
  <c r="G481" i="13"/>
  <c r="F481" i="13"/>
  <c r="E481" i="13"/>
  <c r="D481" i="13"/>
  <c r="C481" i="13"/>
  <c r="H480" i="13"/>
  <c r="G480" i="13"/>
  <c r="F480" i="13"/>
  <c r="E480" i="13"/>
  <c r="D480" i="13"/>
  <c r="C480" i="13"/>
  <c r="H479" i="13"/>
  <c r="G479" i="13"/>
  <c r="F479" i="13"/>
  <c r="E479" i="13"/>
  <c r="D479" i="13"/>
  <c r="C479" i="13"/>
  <c r="H478" i="13"/>
  <c r="B515" i="13" s="1"/>
  <c r="G478" i="13"/>
  <c r="F478" i="13"/>
  <c r="E478" i="13"/>
  <c r="D478" i="13"/>
  <c r="C478" i="13"/>
  <c r="B463" i="13"/>
  <c r="B462" i="13" s="1"/>
  <c r="B461" i="13"/>
  <c r="B455" i="13"/>
  <c r="B456" i="13" s="1"/>
  <c r="B453" i="13"/>
  <c r="G453" i="13" s="1"/>
  <c r="B449" i="13"/>
  <c r="B450" i="13" s="1"/>
  <c r="B446" i="13"/>
  <c r="J428" i="13"/>
  <c r="I428" i="13"/>
  <c r="F428" i="13"/>
  <c r="E428" i="13"/>
  <c r="D428" i="13"/>
  <c r="H428" i="13" s="1"/>
  <c r="C428" i="13"/>
  <c r="G428" i="13" s="1"/>
  <c r="K428" i="13" s="1"/>
  <c r="J427" i="13"/>
  <c r="I427" i="13"/>
  <c r="H427" i="13"/>
  <c r="F427" i="13"/>
  <c r="E427" i="13"/>
  <c r="D427" i="13"/>
  <c r="C427" i="13"/>
  <c r="G427" i="13" s="1"/>
  <c r="K427" i="13" s="1"/>
  <c r="J426" i="13"/>
  <c r="I426" i="13"/>
  <c r="F426" i="13"/>
  <c r="E426" i="13"/>
  <c r="D426" i="13"/>
  <c r="H426" i="13" s="1"/>
  <c r="C426" i="13"/>
  <c r="G426" i="13" s="1"/>
  <c r="J425" i="13"/>
  <c r="I425" i="13"/>
  <c r="F425" i="13"/>
  <c r="E425" i="13"/>
  <c r="D425" i="13"/>
  <c r="H425" i="13" s="1"/>
  <c r="C425" i="13"/>
  <c r="G425" i="13" s="1"/>
  <c r="K425" i="13" s="1"/>
  <c r="J424" i="13"/>
  <c r="I424" i="13"/>
  <c r="F424" i="13"/>
  <c r="E424" i="13"/>
  <c r="D424" i="13"/>
  <c r="H424" i="13" s="1"/>
  <c r="C424" i="13"/>
  <c r="G424" i="13" s="1"/>
  <c r="K424" i="13" s="1"/>
  <c r="H402" i="13"/>
  <c r="G402" i="13"/>
  <c r="F402" i="13"/>
  <c r="E402" i="13"/>
  <c r="D402" i="13"/>
  <c r="C402" i="13"/>
  <c r="H401" i="13"/>
  <c r="B437" i="13" s="1"/>
  <c r="G401" i="13"/>
  <c r="F401" i="13"/>
  <c r="E401" i="13"/>
  <c r="D401" i="13"/>
  <c r="C401" i="13"/>
  <c r="H400" i="13"/>
  <c r="G400" i="13"/>
  <c r="F400" i="13"/>
  <c r="E400" i="13"/>
  <c r="D400" i="13"/>
  <c r="C400" i="13"/>
  <c r="B383" i="13"/>
  <c r="B385" i="13" s="1"/>
  <c r="B384" i="13" s="1"/>
  <c r="B375" i="13"/>
  <c r="G375" i="13" s="1"/>
  <c r="B372" i="13"/>
  <c r="B371" i="13"/>
  <c r="B368" i="13"/>
  <c r="J350" i="13"/>
  <c r="I350" i="13"/>
  <c r="H350" i="13"/>
  <c r="F350" i="13"/>
  <c r="E350" i="13"/>
  <c r="D350" i="13"/>
  <c r="C350" i="13"/>
  <c r="G350" i="13" s="1"/>
  <c r="K350" i="13" s="1"/>
  <c r="J349" i="13"/>
  <c r="I349" i="13"/>
  <c r="F349" i="13"/>
  <c r="E349" i="13"/>
  <c r="D349" i="13"/>
  <c r="H349" i="13" s="1"/>
  <c r="C349" i="13"/>
  <c r="G349" i="13" s="1"/>
  <c r="J348" i="13"/>
  <c r="I348" i="13"/>
  <c r="F348" i="13"/>
  <c r="E348" i="13"/>
  <c r="D348" i="13"/>
  <c r="H348" i="13" s="1"/>
  <c r="C348" i="13"/>
  <c r="G348" i="13" s="1"/>
  <c r="K348" i="13" s="1"/>
  <c r="J347" i="13"/>
  <c r="I347" i="13"/>
  <c r="F347" i="13"/>
  <c r="E347" i="13"/>
  <c r="D347" i="13"/>
  <c r="H347" i="13" s="1"/>
  <c r="C347" i="13"/>
  <c r="G347" i="13" s="1"/>
  <c r="J346" i="13"/>
  <c r="I346" i="13"/>
  <c r="F346" i="13"/>
  <c r="E346" i="13"/>
  <c r="D346" i="13"/>
  <c r="H346" i="13" s="1"/>
  <c r="C346" i="13"/>
  <c r="G346" i="13" s="1"/>
  <c r="H325" i="13"/>
  <c r="G325" i="13"/>
  <c r="F325" i="13"/>
  <c r="E325" i="13"/>
  <c r="D325" i="13"/>
  <c r="C325" i="13"/>
  <c r="H324" i="13"/>
  <c r="G324" i="13"/>
  <c r="F324" i="13"/>
  <c r="E324" i="13"/>
  <c r="D324" i="13"/>
  <c r="C324" i="13"/>
  <c r="H323" i="13"/>
  <c r="G323" i="13"/>
  <c r="F323" i="13"/>
  <c r="E323" i="13"/>
  <c r="D323" i="13"/>
  <c r="C323" i="13"/>
  <c r="H322" i="13"/>
  <c r="B359" i="13" s="1"/>
  <c r="G322" i="13"/>
  <c r="F322" i="13"/>
  <c r="E322" i="13"/>
  <c r="D322" i="13"/>
  <c r="C322" i="13"/>
  <c r="B306" i="13"/>
  <c r="B305" i="13" s="1"/>
  <c r="B304" i="13"/>
  <c r="B298" i="13"/>
  <c r="B299" i="13" s="1"/>
  <c r="B292" i="13"/>
  <c r="B289" i="13"/>
  <c r="B296" i="13" s="1"/>
  <c r="G296" i="13" s="1"/>
  <c r="J270" i="13"/>
  <c r="I270" i="13"/>
  <c r="F270" i="13"/>
  <c r="E270" i="13"/>
  <c r="D270" i="13"/>
  <c r="H270" i="13" s="1"/>
  <c r="C270" i="13"/>
  <c r="G270" i="13" s="1"/>
  <c r="J269" i="13"/>
  <c r="I269" i="13"/>
  <c r="F269" i="13"/>
  <c r="E269" i="13"/>
  <c r="D269" i="13"/>
  <c r="H269" i="13" s="1"/>
  <c r="C269" i="13"/>
  <c r="G269" i="13" s="1"/>
  <c r="K269" i="13" s="1"/>
  <c r="J268" i="13"/>
  <c r="I268" i="13"/>
  <c r="H268" i="13"/>
  <c r="F268" i="13"/>
  <c r="E268" i="13"/>
  <c r="D268" i="13"/>
  <c r="C268" i="13"/>
  <c r="G268" i="13" s="1"/>
  <c r="K268" i="13" s="1"/>
  <c r="J267" i="13"/>
  <c r="I267" i="13"/>
  <c r="F267" i="13"/>
  <c r="E267" i="13"/>
  <c r="D267" i="13"/>
  <c r="H267" i="13" s="1"/>
  <c r="C267" i="13"/>
  <c r="G267" i="13" s="1"/>
  <c r="K267" i="13" s="1"/>
  <c r="H246" i="13"/>
  <c r="G246" i="13"/>
  <c r="F246" i="13"/>
  <c r="E246" i="13"/>
  <c r="D246" i="13"/>
  <c r="C246" i="13"/>
  <c r="H245" i="13"/>
  <c r="G245" i="13"/>
  <c r="F245" i="13"/>
  <c r="E245" i="13"/>
  <c r="D245" i="13"/>
  <c r="C245" i="13"/>
  <c r="H244" i="13"/>
  <c r="B280" i="13" s="1"/>
  <c r="G244" i="13"/>
  <c r="F244" i="13"/>
  <c r="E244" i="13"/>
  <c r="D244" i="13"/>
  <c r="C244" i="13"/>
  <c r="H243" i="13"/>
  <c r="G243" i="13"/>
  <c r="F243" i="13"/>
  <c r="E243" i="13"/>
  <c r="D243" i="13"/>
  <c r="C243" i="13"/>
  <c r="B225" i="13"/>
  <c r="B227" i="13" s="1"/>
  <c r="B226" i="13" s="1"/>
  <c r="B220" i="13"/>
  <c r="G217" i="13"/>
  <c r="B217" i="13"/>
  <c r="B219" i="13" s="1"/>
  <c r="B213" i="13"/>
  <c r="B210" i="13"/>
  <c r="J190" i="13"/>
  <c r="I190" i="13"/>
  <c r="F190" i="13"/>
  <c r="E190" i="13"/>
  <c r="D190" i="13"/>
  <c r="H190" i="13" s="1"/>
  <c r="C190" i="13"/>
  <c r="G190" i="13" s="1"/>
  <c r="J189" i="13"/>
  <c r="I189" i="13"/>
  <c r="F189" i="13"/>
  <c r="E189" i="13"/>
  <c r="D189" i="13"/>
  <c r="H189" i="13" s="1"/>
  <c r="C189" i="13"/>
  <c r="G189" i="13" s="1"/>
  <c r="J188" i="13"/>
  <c r="I188" i="13"/>
  <c r="F188" i="13"/>
  <c r="E188" i="13"/>
  <c r="D188" i="13"/>
  <c r="H188" i="13" s="1"/>
  <c r="C188" i="13"/>
  <c r="G188" i="13" s="1"/>
  <c r="K188" i="13" s="1"/>
  <c r="M180" i="13"/>
  <c r="G180" i="13"/>
  <c r="F180" i="13"/>
  <c r="E180" i="13"/>
  <c r="D180" i="13"/>
  <c r="C180" i="13"/>
  <c r="I180" i="13" s="1"/>
  <c r="L180" i="13" s="1"/>
  <c r="H165" i="13"/>
  <c r="G165" i="13"/>
  <c r="F165" i="13"/>
  <c r="E165" i="13"/>
  <c r="D165" i="13"/>
  <c r="C165" i="13"/>
  <c r="H164" i="13"/>
  <c r="B201" i="13" s="1"/>
  <c r="G164" i="13"/>
  <c r="F164" i="13"/>
  <c r="E164" i="13"/>
  <c r="D164" i="13"/>
  <c r="C164" i="13"/>
  <c r="B21" i="13"/>
  <c r="E21" i="13" s="1"/>
  <c r="W15" i="13"/>
  <c r="V12" i="13"/>
  <c r="V11" i="13"/>
  <c r="V10" i="13"/>
  <c r="V9" i="13"/>
  <c r="V8" i="13"/>
  <c r="V7" i="13"/>
  <c r="EA79" i="12"/>
  <c r="EA78" i="12"/>
  <c r="EA77" i="12"/>
  <c r="EA76" i="12"/>
  <c r="EA75" i="12"/>
  <c r="EA73" i="12"/>
  <c r="EA72" i="12"/>
  <c r="EA71" i="12"/>
  <c r="EA70" i="12"/>
  <c r="EA68" i="12"/>
  <c r="EA67" i="12"/>
  <c r="EA66" i="12"/>
  <c r="EA65" i="12"/>
  <c r="EA63" i="12"/>
  <c r="EA62" i="12"/>
  <c r="EA61" i="12"/>
  <c r="EA59" i="12"/>
  <c r="EA58" i="12"/>
  <c r="EA57" i="12"/>
  <c r="EA56" i="12"/>
  <c r="DI56" i="12"/>
  <c r="DG56" i="12"/>
  <c r="EA55" i="12"/>
  <c r="DI55" i="12"/>
  <c r="DG55" i="12"/>
  <c r="EA54" i="12"/>
  <c r="DI54" i="12"/>
  <c r="DG54" i="12"/>
  <c r="EA53" i="12"/>
  <c r="DI53" i="12"/>
  <c r="DG53" i="12"/>
  <c r="EA52" i="12"/>
  <c r="DI52" i="12"/>
  <c r="DG52" i="12"/>
  <c r="EA51" i="12"/>
  <c r="EA50" i="12"/>
  <c r="BY50" i="12"/>
  <c r="BS50" i="12"/>
  <c r="AY50" i="12"/>
  <c r="EA49" i="12"/>
  <c r="DN49" i="12"/>
  <c r="DM49" i="12"/>
  <c r="BY49" i="12"/>
  <c r="AY49" i="12" s="1"/>
  <c r="BS49" i="12"/>
  <c r="EA48" i="12"/>
  <c r="DM48" i="12"/>
  <c r="BY48" i="12"/>
  <c r="BS48" i="12"/>
  <c r="EA47" i="12"/>
  <c r="DM47" i="12"/>
  <c r="BY47" i="12"/>
  <c r="BS47" i="12"/>
  <c r="EA46" i="12"/>
  <c r="DM46" i="12"/>
  <c r="BY46" i="12"/>
  <c r="AY46" i="12" s="1"/>
  <c r="BS46" i="12"/>
  <c r="EA45" i="12"/>
  <c r="DM45" i="12"/>
  <c r="BY45" i="12"/>
  <c r="AY45" i="12" s="1"/>
  <c r="BS45" i="12"/>
  <c r="EA44" i="12"/>
  <c r="DN44" i="12"/>
  <c r="DM44" i="12"/>
  <c r="BY44" i="12"/>
  <c r="AY44" i="12" s="1"/>
  <c r="BS44" i="12"/>
  <c r="DN43" i="12"/>
  <c r="DM43" i="12"/>
  <c r="DI43" i="12"/>
  <c r="DG43" i="12"/>
  <c r="BY43" i="12"/>
  <c r="AY43" i="12" s="1"/>
  <c r="BS43" i="12"/>
  <c r="EA42" i="12"/>
  <c r="DM42" i="12"/>
  <c r="DI42" i="12"/>
  <c r="DG42" i="12"/>
  <c r="BY42" i="12"/>
  <c r="BS42" i="12"/>
  <c r="AY42" i="12"/>
  <c r="C42" i="12"/>
  <c r="EA41" i="12"/>
  <c r="DN41" i="12"/>
  <c r="DM41" i="12"/>
  <c r="DI41" i="12"/>
  <c r="DG41" i="12"/>
  <c r="EA40" i="12"/>
  <c r="DN40" i="12"/>
  <c r="DM40" i="12"/>
  <c r="DL40" i="12"/>
  <c r="DI40" i="12"/>
  <c r="DG40" i="12"/>
  <c r="BY40" i="12"/>
  <c r="AY40" i="12" s="1"/>
  <c r="BU40" i="12"/>
  <c r="DM39" i="12" s="1"/>
  <c r="AQ40" i="12"/>
  <c r="BS40" i="12" s="1"/>
  <c r="EA39" i="12"/>
  <c r="DI39" i="12"/>
  <c r="DG39" i="12"/>
  <c r="BY39" i="12"/>
  <c r="BS39" i="12"/>
  <c r="AY39" i="12"/>
  <c r="EA38" i="12"/>
  <c r="DN38" i="12"/>
  <c r="DM38" i="12"/>
  <c r="DI38" i="12"/>
  <c r="DG38" i="12"/>
  <c r="BY38" i="12"/>
  <c r="BS38" i="12"/>
  <c r="EA37" i="12"/>
  <c r="DM37" i="12"/>
  <c r="DI37" i="12"/>
  <c r="DG37" i="12"/>
  <c r="BY37" i="12"/>
  <c r="AY37" i="12" s="1"/>
  <c r="BS37" i="12"/>
  <c r="N37" i="12"/>
  <c r="EA36" i="12"/>
  <c r="DN36" i="12"/>
  <c r="DM36" i="12"/>
  <c r="DI36" i="12"/>
  <c r="DG36" i="12"/>
  <c r="G36" i="12"/>
  <c r="B36" i="12" s="1"/>
  <c r="EA35" i="12"/>
  <c r="DN35" i="12"/>
  <c r="DM35" i="12"/>
  <c r="DL35" i="12"/>
  <c r="DI35" i="12"/>
  <c r="DG35" i="12"/>
  <c r="BY35" i="12"/>
  <c r="DN34" i="12" s="1"/>
  <c r="BS35" i="12"/>
  <c r="EA34" i="12"/>
  <c r="DM34" i="12"/>
  <c r="DI34" i="12"/>
  <c r="DG34" i="12"/>
  <c r="BY34" i="12"/>
  <c r="DN33" i="12" s="1"/>
  <c r="BS34" i="12"/>
  <c r="AY34" i="12"/>
  <c r="P34" i="12"/>
  <c r="P35" i="12" s="1"/>
  <c r="EA33" i="12"/>
  <c r="DM33" i="12"/>
  <c r="DI33" i="12"/>
  <c r="DG33" i="12"/>
  <c r="BY33" i="12"/>
  <c r="BS33" i="12"/>
  <c r="BS57" i="12" s="1"/>
  <c r="EA32" i="12"/>
  <c r="DM32" i="12"/>
  <c r="DI32" i="12"/>
  <c r="DG32" i="12"/>
  <c r="BY32" i="12"/>
  <c r="DN31" i="12" s="1"/>
  <c r="BS32" i="12"/>
  <c r="DM31" i="12"/>
  <c r="DI31" i="12"/>
  <c r="DG31" i="12"/>
  <c r="BY31" i="12"/>
  <c r="BS31" i="12"/>
  <c r="AY31" i="12"/>
  <c r="EA30" i="12"/>
  <c r="DN30" i="12"/>
  <c r="DM30" i="12"/>
  <c r="BY30" i="12"/>
  <c r="BS30" i="12"/>
  <c r="AY30" i="12"/>
  <c r="EA29" i="12"/>
  <c r="DN29" i="12"/>
  <c r="DM29" i="12"/>
  <c r="EA28" i="12"/>
  <c r="DN28" i="12"/>
  <c r="DM28" i="12"/>
  <c r="DL28" i="12"/>
  <c r="BY28" i="12"/>
  <c r="AY28" i="12" s="1"/>
  <c r="BS28" i="12"/>
  <c r="EA27" i="12"/>
  <c r="DN27" i="12"/>
  <c r="DM27" i="12"/>
  <c r="BY27" i="12"/>
  <c r="BS27" i="12"/>
  <c r="AY27" i="12"/>
  <c r="P26" i="12"/>
  <c r="I108" i="14" s="1"/>
  <c r="DN26" i="12"/>
  <c r="DM26" i="12"/>
  <c r="DI26" i="12"/>
  <c r="DG26" i="12"/>
  <c r="BY26" i="12"/>
  <c r="DN25" i="12" s="1"/>
  <c r="BS26" i="12"/>
  <c r="AY26" i="12"/>
  <c r="B26" i="12"/>
  <c r="DM25" i="12"/>
  <c r="DI25" i="12"/>
  <c r="DG25" i="12"/>
  <c r="E92" i="14"/>
  <c r="EA24" i="12"/>
  <c r="DN24" i="12"/>
  <c r="DM24" i="12"/>
  <c r="DL24" i="12"/>
  <c r="DI24" i="12"/>
  <c r="DG24" i="12"/>
  <c r="BY24" i="12"/>
  <c r="AY24" i="12" s="1"/>
  <c r="BU24" i="12"/>
  <c r="AQ24" i="12"/>
  <c r="BS24" i="12" s="1"/>
  <c r="P24" i="12"/>
  <c r="G91" i="14" s="1"/>
  <c r="EA23" i="12"/>
  <c r="DN23" i="12"/>
  <c r="DM23" i="12"/>
  <c r="DI23" i="12"/>
  <c r="DG23" i="12"/>
  <c r="BY23" i="12"/>
  <c r="DN22" i="12" s="1"/>
  <c r="BU23" i="12"/>
  <c r="DM22" i="12" s="1"/>
  <c r="AQ23" i="12"/>
  <c r="BS23" i="12" s="1"/>
  <c r="P23" i="12"/>
  <c r="G90" i="14" s="1"/>
  <c r="EA22" i="12"/>
  <c r="DI22" i="12"/>
  <c r="DG22" i="12"/>
  <c r="BY22" i="12"/>
  <c r="DN21" i="12" s="1"/>
  <c r="BS22" i="12"/>
  <c r="AY22" i="12"/>
  <c r="P22" i="12"/>
  <c r="G89" i="14" s="1"/>
  <c r="EA21" i="12"/>
  <c r="DM21" i="12"/>
  <c r="DI21" i="12"/>
  <c r="DG21" i="12"/>
  <c r="BY21" i="12"/>
  <c r="DN20" i="12" s="1"/>
  <c r="P21" i="12"/>
  <c r="G88" i="14" s="1"/>
  <c r="EA20" i="12"/>
  <c r="DM20" i="12"/>
  <c r="DI20" i="12"/>
  <c r="DG20" i="12"/>
  <c r="BY20" i="12"/>
  <c r="AY20" i="12" s="1"/>
  <c r="EA19" i="12"/>
  <c r="DM19" i="12"/>
  <c r="DI19" i="12"/>
  <c r="DG19" i="12"/>
  <c r="BY19" i="12"/>
  <c r="AY19" i="12"/>
  <c r="B19" i="12"/>
  <c r="EA18" i="12"/>
  <c r="DN18" i="12"/>
  <c r="DM18" i="12"/>
  <c r="DI18" i="12"/>
  <c r="DG18" i="12"/>
  <c r="EA17" i="12"/>
  <c r="DN17" i="12"/>
  <c r="DM17" i="12"/>
  <c r="DL17" i="12"/>
  <c r="DI17" i="12"/>
  <c r="DG17" i="12"/>
  <c r="BY17" i="12"/>
  <c r="BS17" i="12"/>
  <c r="AY17" i="12"/>
  <c r="EA16" i="12"/>
  <c r="DN16" i="12"/>
  <c r="DM16" i="12"/>
  <c r="BY16" i="12"/>
  <c r="AY16" i="12" s="1"/>
  <c r="BS16" i="12"/>
  <c r="P16" i="12"/>
  <c r="R16" i="12"/>
  <c r="S16" i="12" s="1"/>
  <c r="EA15" i="12"/>
  <c r="DM15" i="12"/>
  <c r="DI15" i="12"/>
  <c r="DG15" i="12"/>
  <c r="BY15" i="12"/>
  <c r="DN14" i="12" s="1"/>
  <c r="BS15" i="12"/>
  <c r="AY15" i="12"/>
  <c r="EA14" i="12"/>
  <c r="DM14" i="12"/>
  <c r="DI14" i="12"/>
  <c r="DG14" i="12"/>
  <c r="BY14" i="12"/>
  <c r="AY14" i="12" s="1"/>
  <c r="BS14" i="12"/>
  <c r="EA13" i="12"/>
  <c r="DN13" i="12"/>
  <c r="DM13" i="12"/>
  <c r="DI13" i="12"/>
  <c r="DG13" i="12"/>
  <c r="P13" i="12"/>
  <c r="EA12" i="12"/>
  <c r="DN12" i="12"/>
  <c r="DM12" i="12"/>
  <c r="DL12" i="12"/>
  <c r="DI12" i="12"/>
  <c r="DG12" i="12"/>
  <c r="BY12" i="12"/>
  <c r="BS12" i="12"/>
  <c r="AY12" i="12"/>
  <c r="P12" i="12"/>
  <c r="EA11" i="12"/>
  <c r="DN11" i="12"/>
  <c r="DM11" i="12"/>
  <c r="DI11" i="12"/>
  <c r="DG11" i="12"/>
  <c r="BY11" i="12"/>
  <c r="AY11" i="12" s="1"/>
  <c r="BS11" i="12"/>
  <c r="P11" i="12"/>
  <c r="EA10" i="12"/>
  <c r="DM10" i="12"/>
  <c r="DI10" i="12"/>
  <c r="DG10" i="12"/>
  <c r="BY10" i="12"/>
  <c r="AY10" i="12" s="1"/>
  <c r="BS10" i="12"/>
  <c r="P10" i="12"/>
  <c r="EA9" i="12"/>
  <c r="DN9" i="12"/>
  <c r="DM9" i="12"/>
  <c r="BY9" i="12"/>
  <c r="BS9" i="12"/>
  <c r="AY9" i="12"/>
  <c r="P25" i="12"/>
  <c r="EA8" i="12"/>
  <c r="DN8" i="12"/>
  <c r="DM8" i="12"/>
  <c r="BS8" i="12"/>
  <c r="EA7" i="12"/>
  <c r="DN7" i="12"/>
  <c r="DM7" i="12"/>
  <c r="DL7" i="12"/>
  <c r="BY7" i="12"/>
  <c r="BS7" i="12"/>
  <c r="AY7" i="12"/>
  <c r="H7" i="12"/>
  <c r="EA6" i="12"/>
  <c r="DN6" i="12"/>
  <c r="DM6" i="12"/>
  <c r="BY6" i="12"/>
  <c r="AY6" i="12" s="1"/>
  <c r="BS6" i="12"/>
  <c r="B6" i="12"/>
  <c r="B23" i="12" s="1"/>
  <c r="B24" i="12" s="1"/>
  <c r="EA5" i="12"/>
  <c r="DM5" i="12"/>
  <c r="BY5" i="12"/>
  <c r="DN4" i="12" s="1"/>
  <c r="BS5" i="12"/>
  <c r="DM4" i="12"/>
  <c r="BY4" i="12"/>
  <c r="AY4" i="12" s="1"/>
  <c r="BS4" i="12"/>
  <c r="BS54" i="12" s="1"/>
  <c r="B4" i="12"/>
  <c r="DN3" i="12"/>
  <c r="DM3" i="12"/>
  <c r="EA79" i="11"/>
  <c r="EA78" i="11"/>
  <c r="EA77" i="11"/>
  <c r="EA76" i="11"/>
  <c r="EA75" i="11"/>
  <c r="EA73" i="11"/>
  <c r="EA72" i="11"/>
  <c r="EA71" i="11"/>
  <c r="EA70" i="11"/>
  <c r="EA68" i="11"/>
  <c r="EA67" i="11"/>
  <c r="EA66" i="11"/>
  <c r="EA65" i="11"/>
  <c r="EA63" i="11"/>
  <c r="EA62" i="11"/>
  <c r="EA61" i="11"/>
  <c r="EA59" i="11"/>
  <c r="EA58" i="11"/>
  <c r="EA57" i="11"/>
  <c r="EA56" i="11"/>
  <c r="DI56" i="11"/>
  <c r="DG56" i="11"/>
  <c r="EA55" i="11"/>
  <c r="DI55" i="11"/>
  <c r="DG55" i="11"/>
  <c r="EA54" i="11"/>
  <c r="DI54" i="11"/>
  <c r="DG54" i="11"/>
  <c r="EA53" i="11"/>
  <c r="DI53" i="11"/>
  <c r="DG53" i="11"/>
  <c r="EA52" i="11"/>
  <c r="DI52" i="11"/>
  <c r="DG52" i="11"/>
  <c r="EA51" i="11"/>
  <c r="EA50" i="11"/>
  <c r="BY50" i="11"/>
  <c r="DN49" i="11" s="1"/>
  <c r="BS50" i="11"/>
  <c r="AY50" i="11"/>
  <c r="EA49" i="11"/>
  <c r="DM49" i="11"/>
  <c r="BY49" i="11"/>
  <c r="AY49" i="11" s="1"/>
  <c r="BS49" i="11"/>
  <c r="EA48" i="11"/>
  <c r="DM48" i="11"/>
  <c r="BY48" i="11"/>
  <c r="BS48" i="11"/>
  <c r="EA47" i="11"/>
  <c r="DM47" i="11"/>
  <c r="BY47" i="11"/>
  <c r="BS47" i="11"/>
  <c r="EA46" i="11"/>
  <c r="DM46" i="11"/>
  <c r="BY46" i="11"/>
  <c r="BS46" i="11"/>
  <c r="EA45" i="11"/>
  <c r="DM45" i="11"/>
  <c r="BY45" i="11"/>
  <c r="AY45" i="11" s="1"/>
  <c r="BS45" i="11"/>
  <c r="H10" i="11"/>
  <c r="EA44" i="11"/>
  <c r="DN44" i="11"/>
  <c r="DM44" i="11"/>
  <c r="BY44" i="11"/>
  <c r="AY44" i="11" s="1"/>
  <c r="BS44" i="11"/>
  <c r="DM43" i="11"/>
  <c r="DI43" i="11"/>
  <c r="DG43" i="11"/>
  <c r="BY43" i="11"/>
  <c r="BS43" i="11"/>
  <c r="EA42" i="11"/>
  <c r="DM42" i="11"/>
  <c r="DI42" i="11"/>
  <c r="DG42" i="11"/>
  <c r="BY42" i="11"/>
  <c r="BS42" i="11"/>
  <c r="C42" i="11"/>
  <c r="EA41" i="11"/>
  <c r="DM41" i="11"/>
  <c r="DI41" i="11"/>
  <c r="DG41" i="11"/>
  <c r="EA40" i="11"/>
  <c r="DN40" i="11"/>
  <c r="DM40" i="11"/>
  <c r="DL40" i="11"/>
  <c r="DI40" i="11"/>
  <c r="DG40" i="11"/>
  <c r="BY40" i="11"/>
  <c r="DN39" i="11" s="1"/>
  <c r="BU40" i="11"/>
  <c r="DM39" i="11" s="1"/>
  <c r="AQ40" i="11"/>
  <c r="BS40" i="11" s="1"/>
  <c r="EA39" i="11"/>
  <c r="DI39" i="11"/>
  <c r="DG39" i="11"/>
  <c r="BY39" i="11"/>
  <c r="BS39" i="11"/>
  <c r="EA38" i="11"/>
  <c r="DM38" i="11"/>
  <c r="DI38" i="11"/>
  <c r="DG38" i="11"/>
  <c r="BY38" i="11"/>
  <c r="AY38" i="11" s="1"/>
  <c r="BS38" i="11"/>
  <c r="EA37" i="11"/>
  <c r="DM37" i="11"/>
  <c r="DI37" i="11"/>
  <c r="DG37" i="11"/>
  <c r="BY37" i="11"/>
  <c r="DN36" i="11" s="1"/>
  <c r="BS37" i="11"/>
  <c r="N37" i="11"/>
  <c r="EA36" i="11"/>
  <c r="DM36" i="11"/>
  <c r="DI36" i="11"/>
  <c r="DG36" i="11"/>
  <c r="G36" i="11"/>
  <c r="B36" i="11"/>
  <c r="EA35" i="11"/>
  <c r="DN35" i="11"/>
  <c r="DM35" i="11"/>
  <c r="DL35" i="11"/>
  <c r="DI35" i="11"/>
  <c r="DG35" i="11"/>
  <c r="BY35" i="11"/>
  <c r="AY35" i="11" s="1"/>
  <c r="BS35" i="11"/>
  <c r="EA34" i="11"/>
  <c r="DM34" i="11"/>
  <c r="DI34" i="11"/>
  <c r="DG34" i="11"/>
  <c r="BY34" i="11"/>
  <c r="DN33" i="11" s="1"/>
  <c r="BS34" i="11"/>
  <c r="AY34" i="11"/>
  <c r="P34" i="11"/>
  <c r="P35" i="11" s="1"/>
  <c r="EA33" i="11"/>
  <c r="DM33" i="11"/>
  <c r="DI33" i="11"/>
  <c r="DG33" i="11"/>
  <c r="BY33" i="11"/>
  <c r="AY33" i="11" s="1"/>
  <c r="BS33" i="11"/>
  <c r="EA32" i="11"/>
  <c r="DN32" i="11"/>
  <c r="DM32" i="11"/>
  <c r="DI32" i="11"/>
  <c r="DG32" i="11"/>
  <c r="BY32" i="11"/>
  <c r="DN31" i="11" s="1"/>
  <c r="BS32" i="11"/>
  <c r="DM31" i="11"/>
  <c r="DI31" i="11"/>
  <c r="DG31" i="11"/>
  <c r="BY31" i="11"/>
  <c r="AY31" i="11" s="1"/>
  <c r="BS31" i="11"/>
  <c r="EA30" i="11"/>
  <c r="DM30" i="11"/>
  <c r="BY30" i="11"/>
  <c r="AY30" i="11" s="1"/>
  <c r="BS30" i="11"/>
  <c r="EA29" i="11"/>
  <c r="DM29" i="11"/>
  <c r="EA28" i="11"/>
  <c r="DN28" i="11"/>
  <c r="DM28" i="11"/>
  <c r="DL28" i="11"/>
  <c r="BY28" i="11"/>
  <c r="BS28" i="11"/>
  <c r="AY28" i="11"/>
  <c r="EA27" i="11"/>
  <c r="DN27" i="11"/>
  <c r="DM27" i="11"/>
  <c r="BY27" i="11"/>
  <c r="AY27" i="11" s="1"/>
  <c r="BS27" i="11"/>
  <c r="DM26" i="11"/>
  <c r="DI26" i="11"/>
  <c r="DG26" i="11"/>
  <c r="BY26" i="11"/>
  <c r="AY26" i="11" s="1"/>
  <c r="BS26" i="11"/>
  <c r="B26" i="11"/>
  <c r="DN25" i="11"/>
  <c r="DM25" i="11"/>
  <c r="DI25" i="11"/>
  <c r="DG25" i="11"/>
  <c r="E92" i="13"/>
  <c r="EA24" i="11"/>
  <c r="DN24" i="11"/>
  <c r="DM24" i="11"/>
  <c r="DL24" i="11"/>
  <c r="DI24" i="11"/>
  <c r="DG24" i="11"/>
  <c r="BY24" i="11"/>
  <c r="BU24" i="11"/>
  <c r="DM23" i="11" s="1"/>
  <c r="AY24" i="11"/>
  <c r="AQ24" i="11"/>
  <c r="BS24" i="11" s="1"/>
  <c r="EA23" i="11"/>
  <c r="DN23" i="11"/>
  <c r="DI23" i="11"/>
  <c r="DG23" i="11"/>
  <c r="BY23" i="11"/>
  <c r="AY23" i="11" s="1"/>
  <c r="BU23" i="11"/>
  <c r="DM22" i="11" s="1"/>
  <c r="AQ23" i="11"/>
  <c r="BS23" i="11" s="1"/>
  <c r="EA22" i="11"/>
  <c r="DI22" i="11"/>
  <c r="DG22" i="11"/>
  <c r="BY22" i="11"/>
  <c r="AY22" i="11" s="1"/>
  <c r="BS22" i="11"/>
  <c r="EA21" i="11"/>
  <c r="DM21" i="11"/>
  <c r="DI21" i="11"/>
  <c r="DG21" i="11"/>
  <c r="BY21" i="11"/>
  <c r="DN20" i="11" s="1"/>
  <c r="EA20" i="11"/>
  <c r="DM20" i="11"/>
  <c r="DI20" i="11"/>
  <c r="DG20" i="11"/>
  <c r="BY20" i="11"/>
  <c r="AY20" i="11" s="1"/>
  <c r="EA19" i="11"/>
  <c r="DM19" i="11"/>
  <c r="DI19" i="11"/>
  <c r="DG19" i="11"/>
  <c r="BY19" i="11"/>
  <c r="AY19" i="11" s="1"/>
  <c r="B19" i="11"/>
  <c r="EA18" i="11"/>
  <c r="DM18" i="11"/>
  <c r="DI18" i="11"/>
  <c r="DG18" i="11"/>
  <c r="EA17" i="11"/>
  <c r="DN17" i="11"/>
  <c r="DM17" i="11"/>
  <c r="DL17" i="11"/>
  <c r="DI17" i="11"/>
  <c r="DG17" i="11"/>
  <c r="BY17" i="11"/>
  <c r="DN16" i="11" s="1"/>
  <c r="BS17" i="11"/>
  <c r="AY17" i="11"/>
  <c r="EA16" i="11"/>
  <c r="DM16" i="11"/>
  <c r="BY16" i="11"/>
  <c r="AY16" i="11" s="1"/>
  <c r="BS16" i="11"/>
  <c r="P16" i="11"/>
  <c r="E22" i="13"/>
  <c r="EA15" i="11"/>
  <c r="DN15" i="11"/>
  <c r="DM15" i="11"/>
  <c r="DI15" i="11"/>
  <c r="DG15" i="11"/>
  <c r="BY15" i="11"/>
  <c r="AY15" i="11" s="1"/>
  <c r="BS15" i="11"/>
  <c r="EA14" i="11"/>
  <c r="DM14" i="11"/>
  <c r="DI14" i="11"/>
  <c r="DG14" i="11"/>
  <c r="BY14" i="11"/>
  <c r="AY14" i="11" s="1"/>
  <c r="BS14" i="11"/>
  <c r="EA13" i="11"/>
  <c r="DN13" i="11"/>
  <c r="DM13" i="11"/>
  <c r="DI13" i="11"/>
  <c r="DG13" i="11"/>
  <c r="EA12" i="11"/>
  <c r="DN12" i="11"/>
  <c r="DM12" i="11"/>
  <c r="DL12" i="11"/>
  <c r="DI12" i="11"/>
  <c r="DG12" i="11"/>
  <c r="BY12" i="11"/>
  <c r="DN11" i="11" s="1"/>
  <c r="BS12" i="11"/>
  <c r="AY12" i="11"/>
  <c r="EA11" i="11"/>
  <c r="DM11" i="11"/>
  <c r="DI11" i="11"/>
  <c r="DG11" i="11"/>
  <c r="BY11" i="11"/>
  <c r="AY11" i="11" s="1"/>
  <c r="BS11" i="11"/>
  <c r="EA10" i="11"/>
  <c r="DN10" i="11"/>
  <c r="DM10" i="11"/>
  <c r="DI10" i="11"/>
  <c r="DG10" i="11"/>
  <c r="BY10" i="11"/>
  <c r="DN9" i="11" s="1"/>
  <c r="BS10" i="11"/>
  <c r="EA9" i="11"/>
  <c r="DM9" i="11"/>
  <c r="BY9" i="11"/>
  <c r="DN8" i="11" s="1"/>
  <c r="BS9" i="11"/>
  <c r="AY9" i="11"/>
  <c r="EA8" i="11"/>
  <c r="DM8" i="11"/>
  <c r="BS8" i="11"/>
  <c r="EA7" i="11"/>
  <c r="DN7" i="11"/>
  <c r="DM7" i="11"/>
  <c r="DL7" i="11"/>
  <c r="BY7" i="11"/>
  <c r="AY7" i="11" s="1"/>
  <c r="BS7" i="11"/>
  <c r="R15" i="11"/>
  <c r="S15" i="11" s="1"/>
  <c r="H7" i="11"/>
  <c r="N11" i="11" s="1"/>
  <c r="EA6" i="11"/>
  <c r="DM6" i="11"/>
  <c r="BY6" i="11"/>
  <c r="BS6" i="11"/>
  <c r="AY6" i="11"/>
  <c r="H6" i="11"/>
  <c r="B6" i="11"/>
  <c r="B23" i="11" s="1"/>
  <c r="B24" i="11" s="1"/>
  <c r="EA5" i="11"/>
  <c r="DN5" i="11"/>
  <c r="DM5" i="11"/>
  <c r="BY5" i="11"/>
  <c r="AY5" i="11" s="1"/>
  <c r="BS5" i="11"/>
  <c r="T15" i="11"/>
  <c r="DN4" i="11"/>
  <c r="DM4" i="11"/>
  <c r="BY4" i="11"/>
  <c r="AY4" i="11" s="1"/>
  <c r="BS4" i="11"/>
  <c r="B4" i="11"/>
  <c r="N39" i="11" s="1"/>
  <c r="DN3" i="11"/>
  <c r="DM3" i="11"/>
  <c r="F34" i="3"/>
  <c r="B48" i="14" s="1"/>
  <c r="E34" i="3"/>
  <c r="B48" i="13" s="1"/>
  <c r="B127" i="13" s="1"/>
  <c r="AP32" i="16" l="1"/>
  <c r="BK33" i="15"/>
  <c r="AP10" i="15"/>
  <c r="BG5" i="15" s="1"/>
  <c r="AP31" i="15"/>
  <c r="EH62" i="15" s="1"/>
  <c r="DM36" i="15"/>
  <c r="EH63" i="16"/>
  <c r="R32" i="16"/>
  <c r="H86" i="18"/>
  <c r="B121" i="18" s="1"/>
  <c r="F34" i="18"/>
  <c r="F109" i="17"/>
  <c r="EH66" i="15"/>
  <c r="EH71" i="15"/>
  <c r="EH65" i="15"/>
  <c r="EH68" i="15"/>
  <c r="EH67" i="15"/>
  <c r="F34" i="17"/>
  <c r="EH29" i="15"/>
  <c r="AP49" i="6"/>
  <c r="EH78" i="6" s="1"/>
  <c r="EH79" i="6"/>
  <c r="F109" i="18"/>
  <c r="EH67" i="16"/>
  <c r="EH68" i="16"/>
  <c r="EH71" i="16"/>
  <c r="EH66" i="16"/>
  <c r="EH65" i="16"/>
  <c r="BY23" i="15"/>
  <c r="U27" i="15"/>
  <c r="AP11" i="15" s="1"/>
  <c r="R27" i="15"/>
  <c r="J34" i="17" s="1"/>
  <c r="B42" i="17" s="1"/>
  <c r="S27" i="15"/>
  <c r="T27" i="15" s="1"/>
  <c r="BY22" i="15"/>
  <c r="Q40" i="16"/>
  <c r="BY19" i="15"/>
  <c r="O35" i="15"/>
  <c r="EH34" i="15"/>
  <c r="DM37" i="16"/>
  <c r="BK15" i="16"/>
  <c r="DM30" i="16"/>
  <c r="O40" i="16"/>
  <c r="DM34" i="16"/>
  <c r="EH53" i="16"/>
  <c r="EH55" i="16"/>
  <c r="EH37" i="16"/>
  <c r="DM22" i="16"/>
  <c r="BG5" i="16"/>
  <c r="DM9" i="16"/>
  <c r="EH29" i="16"/>
  <c r="DM31" i="16"/>
  <c r="DM42" i="16"/>
  <c r="EH58" i="16"/>
  <c r="EH56" i="16"/>
  <c r="EH59" i="16"/>
  <c r="U27" i="16"/>
  <c r="AP11" i="16" s="1"/>
  <c r="S27" i="16"/>
  <c r="BT21" i="16"/>
  <c r="BY19" i="16"/>
  <c r="BY23" i="16"/>
  <c r="BY22" i="16"/>
  <c r="R27" i="16"/>
  <c r="J34" i="18" s="1"/>
  <c r="B42" i="18" s="1"/>
  <c r="BG24" i="16"/>
  <c r="DM36" i="16"/>
  <c r="DM48" i="16"/>
  <c r="BG11" i="16"/>
  <c r="BK17" i="16" s="1"/>
  <c r="O35" i="16"/>
  <c r="DM25" i="16"/>
  <c r="EH45" i="16"/>
  <c r="EH47" i="16"/>
  <c r="BG4" i="16"/>
  <c r="O40" i="15"/>
  <c r="BG19" i="15"/>
  <c r="BK4" i="15"/>
  <c r="S28" i="15"/>
  <c r="T28" i="15" s="1"/>
  <c r="U28" i="15"/>
  <c r="AP32" i="15" s="1"/>
  <c r="R28" i="15"/>
  <c r="J109" i="17" s="1"/>
  <c r="B121" i="17" s="1"/>
  <c r="R32" i="15"/>
  <c r="DM20" i="15"/>
  <c r="O41" i="15"/>
  <c r="BK5" i="15"/>
  <c r="BG29" i="15"/>
  <c r="EH37" i="15"/>
  <c r="DM22" i="15"/>
  <c r="DM4" i="15"/>
  <c r="EH9" i="15"/>
  <c r="EH10" i="15"/>
  <c r="EH11" i="15"/>
  <c r="DM9" i="15"/>
  <c r="DM3" i="15"/>
  <c r="EH8" i="15"/>
  <c r="EH7" i="15"/>
  <c r="E17" i="14"/>
  <c r="N11" i="12"/>
  <c r="R10" i="11"/>
  <c r="S10" i="11" s="1"/>
  <c r="N10" i="11"/>
  <c r="N21" i="11"/>
  <c r="R21" i="11" s="1"/>
  <c r="S21" i="11" s="1"/>
  <c r="C21" i="13"/>
  <c r="C19" i="13"/>
  <c r="C19" i="14"/>
  <c r="D19" i="14"/>
  <c r="G19" i="14"/>
  <c r="T16" i="12"/>
  <c r="K108" i="13"/>
  <c r="E16" i="13"/>
  <c r="Q16" i="11"/>
  <c r="H22" i="13" s="1"/>
  <c r="Q25" i="12"/>
  <c r="H92" i="14" s="1"/>
  <c r="R16" i="11"/>
  <c r="S16" i="11" s="1"/>
  <c r="T15" i="12"/>
  <c r="Q16" i="12"/>
  <c r="H22" i="14" s="1"/>
  <c r="B127" i="14"/>
  <c r="E22" i="14"/>
  <c r="G22" i="13"/>
  <c r="K109" i="13"/>
  <c r="K33" i="13"/>
  <c r="I33" i="14"/>
  <c r="G92" i="14"/>
  <c r="G22" i="14"/>
  <c r="B298" i="14"/>
  <c r="B299" i="14" s="1"/>
  <c r="G296" i="14"/>
  <c r="B673" i="14"/>
  <c r="B752" i="14"/>
  <c r="B753" i="14" s="1"/>
  <c r="B783" i="14" s="1"/>
  <c r="W16" i="14" s="1"/>
  <c r="D21" i="14"/>
  <c r="K34" i="14"/>
  <c r="B359" i="14"/>
  <c r="D15" i="14"/>
  <c r="C16" i="14"/>
  <c r="F21" i="14"/>
  <c r="G16" i="14"/>
  <c r="K347" i="14"/>
  <c r="K349" i="14"/>
  <c r="K425" i="14"/>
  <c r="K427" i="14"/>
  <c r="B515" i="14"/>
  <c r="B516" i="14" s="1"/>
  <c r="B546" i="14" s="1"/>
  <c r="W13" i="14" s="1"/>
  <c r="K741" i="14"/>
  <c r="K743" i="14"/>
  <c r="K745" i="14"/>
  <c r="K747" i="14"/>
  <c r="K749" i="14"/>
  <c r="D16" i="14"/>
  <c r="C21" i="14"/>
  <c r="F18" i="14"/>
  <c r="F13" i="14"/>
  <c r="C14" i="14"/>
  <c r="C18" i="14"/>
  <c r="C13" i="14"/>
  <c r="D14" i="14"/>
  <c r="C17" i="14"/>
  <c r="G17" i="14"/>
  <c r="D18" i="14"/>
  <c r="F14" i="14"/>
  <c r="F17" i="14"/>
  <c r="G18" i="14"/>
  <c r="D13" i="14"/>
  <c r="D17" i="14"/>
  <c r="K33" i="14"/>
  <c r="K189" i="14"/>
  <c r="G217" i="14"/>
  <c r="B219" i="14"/>
  <c r="B220" i="14" s="1"/>
  <c r="G375" i="14"/>
  <c r="B377" i="14"/>
  <c r="B378" i="14" s="1"/>
  <c r="B455" i="14"/>
  <c r="B456" i="14" s="1"/>
  <c r="G453" i="14"/>
  <c r="B545" i="14"/>
  <c r="K581" i="14"/>
  <c r="K583" i="14"/>
  <c r="K739" i="14"/>
  <c r="K109" i="14"/>
  <c r="B202" i="14"/>
  <c r="B232" i="14" s="1"/>
  <c r="W9" i="14" s="1"/>
  <c r="B231" i="14"/>
  <c r="K267" i="14"/>
  <c r="K269" i="14"/>
  <c r="B438" i="14"/>
  <c r="B468" i="14" s="1"/>
  <c r="W12" i="14" s="1"/>
  <c r="B467" i="14"/>
  <c r="K503" i="14"/>
  <c r="B674" i="14"/>
  <c r="B704" i="14" s="1"/>
  <c r="W15" i="14" s="1"/>
  <c r="B703" i="14"/>
  <c r="K660" i="14"/>
  <c r="G689" i="14"/>
  <c r="B691" i="14"/>
  <c r="B692" i="14" s="1"/>
  <c r="B782" i="14"/>
  <c r="B310" i="14"/>
  <c r="B281" i="14"/>
  <c r="B311" i="14" s="1"/>
  <c r="W10" i="14" s="1"/>
  <c r="B595" i="14"/>
  <c r="B625" i="14" s="1"/>
  <c r="W14" i="14" s="1"/>
  <c r="B624" i="14"/>
  <c r="B612" i="14"/>
  <c r="B613" i="14" s="1"/>
  <c r="G610" i="14"/>
  <c r="K108" i="14"/>
  <c r="N180" i="14"/>
  <c r="H180" i="14" s="1"/>
  <c r="K268" i="14"/>
  <c r="K270" i="14"/>
  <c r="B360" i="14"/>
  <c r="B390" i="14" s="1"/>
  <c r="W11" i="14" s="1"/>
  <c r="B389" i="14"/>
  <c r="K502" i="14"/>
  <c r="K504" i="14"/>
  <c r="N652" i="14"/>
  <c r="H652" i="14" s="1"/>
  <c r="K661" i="14"/>
  <c r="G768" i="14"/>
  <c r="G531" i="14"/>
  <c r="K34" i="13"/>
  <c r="F18" i="13"/>
  <c r="F12" i="13"/>
  <c r="C13" i="13"/>
  <c r="D14" i="13"/>
  <c r="F16" i="13"/>
  <c r="C17" i="13"/>
  <c r="D18" i="13"/>
  <c r="F14" i="13"/>
  <c r="F13" i="13"/>
  <c r="C14" i="13"/>
  <c r="F17" i="13"/>
  <c r="C18" i="13"/>
  <c r="C12" i="13"/>
  <c r="D13" i="13"/>
  <c r="C16" i="13"/>
  <c r="D17" i="13"/>
  <c r="B231" i="13"/>
  <c r="B202" i="13"/>
  <c r="B232" i="13" s="1"/>
  <c r="W9" i="13" s="1"/>
  <c r="N180" i="13"/>
  <c r="H180" i="13" s="1"/>
  <c r="B281" i="13"/>
  <c r="B311" i="13" s="1"/>
  <c r="W10" i="13" s="1"/>
  <c r="B310" i="13"/>
  <c r="K270" i="13"/>
  <c r="B360" i="13"/>
  <c r="B390" i="13" s="1"/>
  <c r="W11" i="13" s="1"/>
  <c r="B389" i="13"/>
  <c r="B595" i="13"/>
  <c r="B625" i="13" s="1"/>
  <c r="W14" i="13" s="1"/>
  <c r="K581" i="13"/>
  <c r="K190" i="13"/>
  <c r="K347" i="13"/>
  <c r="B703" i="13"/>
  <c r="N731" i="13"/>
  <c r="H731" i="13" s="1"/>
  <c r="K189" i="13"/>
  <c r="K346" i="13"/>
  <c r="K349" i="13"/>
  <c r="B438" i="13"/>
  <c r="B468" i="13" s="1"/>
  <c r="W12" i="13" s="1"/>
  <c r="B467" i="13"/>
  <c r="N573" i="13"/>
  <c r="H573" i="13" s="1"/>
  <c r="N652" i="13"/>
  <c r="H652" i="13" s="1"/>
  <c r="K739" i="13"/>
  <c r="K746" i="13"/>
  <c r="K748" i="13"/>
  <c r="B612" i="13"/>
  <c r="B613" i="13" s="1"/>
  <c r="G610" i="13"/>
  <c r="K426" i="13"/>
  <c r="B545" i="13"/>
  <c r="B516" i="13"/>
  <c r="B546" i="13" s="1"/>
  <c r="W13" i="13" s="1"/>
  <c r="K583" i="13"/>
  <c r="B752" i="13"/>
  <c r="K742" i="13"/>
  <c r="K744" i="13"/>
  <c r="B377" i="13"/>
  <c r="B378" i="13" s="1"/>
  <c r="B691" i="13"/>
  <c r="B692" i="13" s="1"/>
  <c r="DN10" i="12"/>
  <c r="DN39" i="12"/>
  <c r="DN45" i="12"/>
  <c r="Q11" i="12"/>
  <c r="H17" i="14" s="1"/>
  <c r="DN19" i="12"/>
  <c r="AY32" i="12"/>
  <c r="R25" i="12"/>
  <c r="S25" i="12" s="1"/>
  <c r="AY23" i="12"/>
  <c r="DN42" i="12"/>
  <c r="DN48" i="12"/>
  <c r="P27" i="12"/>
  <c r="I34" i="14" s="1"/>
  <c r="P28" i="12"/>
  <c r="I109" i="14" s="1"/>
  <c r="R11" i="12"/>
  <c r="S11" i="12" s="1"/>
  <c r="T11" i="12"/>
  <c r="AY5" i="12"/>
  <c r="H13" i="12"/>
  <c r="N24" i="12" s="1"/>
  <c r="H12" i="12"/>
  <c r="N23" i="12" s="1"/>
  <c r="H11" i="12"/>
  <c r="N22" i="12" s="1"/>
  <c r="DN5" i="12"/>
  <c r="H6" i="12"/>
  <c r="N10" i="12" s="1"/>
  <c r="H8" i="12"/>
  <c r="N12" i="12" s="1"/>
  <c r="P15" i="12"/>
  <c r="Q15" i="12" s="1"/>
  <c r="H21" i="14" s="1"/>
  <c r="DN15" i="12"/>
  <c r="P14" i="12"/>
  <c r="DN46" i="12"/>
  <c r="AY47" i="12"/>
  <c r="BS56" i="12"/>
  <c r="N39" i="12"/>
  <c r="F16" i="12"/>
  <c r="F18" i="12"/>
  <c r="AY21" i="12"/>
  <c r="F17" i="12"/>
  <c r="AY35" i="12"/>
  <c r="DN37" i="12"/>
  <c r="AY38" i="12"/>
  <c r="BS55" i="12"/>
  <c r="DN47" i="12"/>
  <c r="AY48" i="12"/>
  <c r="H9" i="12"/>
  <c r="N13" i="12" s="1"/>
  <c r="H10" i="12"/>
  <c r="N21" i="12" s="1"/>
  <c r="T25" i="12"/>
  <c r="R15" i="12"/>
  <c r="S15" i="12" s="1"/>
  <c r="DN32" i="12"/>
  <c r="AY33" i="12"/>
  <c r="P14" i="11"/>
  <c r="DN21" i="11"/>
  <c r="DN30" i="11"/>
  <c r="AY37" i="11"/>
  <c r="AY40" i="11"/>
  <c r="DN48" i="11"/>
  <c r="DN29" i="11"/>
  <c r="P12" i="11"/>
  <c r="G18" i="13" s="1"/>
  <c r="P10" i="11"/>
  <c r="Q10" i="11" s="1"/>
  <c r="H16" i="13" s="1"/>
  <c r="P11" i="11"/>
  <c r="P23" i="11"/>
  <c r="G90" i="13" s="1"/>
  <c r="P22" i="11"/>
  <c r="G89" i="13" s="1"/>
  <c r="P24" i="11"/>
  <c r="G91" i="13" s="1"/>
  <c r="P21" i="11"/>
  <c r="G88" i="13" s="1"/>
  <c r="P13" i="11"/>
  <c r="DN6" i="11"/>
  <c r="H8" i="11"/>
  <c r="H9" i="11"/>
  <c r="P17" i="11"/>
  <c r="DN26" i="11"/>
  <c r="DN22" i="11"/>
  <c r="AY10" i="11"/>
  <c r="AY32" i="11"/>
  <c r="BS57" i="11"/>
  <c r="DN19" i="11"/>
  <c r="BS55" i="11"/>
  <c r="DN18" i="11"/>
  <c r="DN14" i="11"/>
  <c r="T16" i="11"/>
  <c r="AY21" i="11"/>
  <c r="DN34" i="11"/>
  <c r="DN37" i="11"/>
  <c r="P25" i="11"/>
  <c r="P15" i="11"/>
  <c r="P26" i="11"/>
  <c r="T10" i="11"/>
  <c r="F18" i="11"/>
  <c r="P27" i="11"/>
  <c r="I34" i="13" s="1"/>
  <c r="P28" i="11"/>
  <c r="I109" i="13" s="1"/>
  <c r="R25" i="11"/>
  <c r="S25" i="11" s="1"/>
  <c r="AY39" i="11"/>
  <c r="DN38" i="11"/>
  <c r="BS54" i="11"/>
  <c r="BS56" i="11"/>
  <c r="E17" i="13"/>
  <c r="AY42" i="11"/>
  <c r="DN41" i="11"/>
  <c r="AY43" i="11"/>
  <c r="DN42" i="11"/>
  <c r="AY46" i="11"/>
  <c r="DN45" i="11"/>
  <c r="DN46" i="11"/>
  <c r="AY47" i="11"/>
  <c r="DN47" i="11"/>
  <c r="AY48" i="11"/>
  <c r="H13" i="11"/>
  <c r="N24" i="11" s="1"/>
  <c r="H12" i="11"/>
  <c r="N23" i="11" s="1"/>
  <c r="H11" i="11"/>
  <c r="N22" i="11" s="1"/>
  <c r="F16" i="11"/>
  <c r="Q21" i="11"/>
  <c r="H88" i="13" s="1"/>
  <c r="T25" i="11"/>
  <c r="F17" i="11"/>
  <c r="DN43" i="11"/>
  <c r="AD36" i="6"/>
  <c r="AA35" i="6" s="1"/>
  <c r="DM30" i="15" l="1"/>
  <c r="DM6" i="15"/>
  <c r="EH48" i="16"/>
  <c r="EH46" i="16"/>
  <c r="DM32" i="16"/>
  <c r="EH52" i="16"/>
  <c r="DM27" i="16"/>
  <c r="EH19" i="15"/>
  <c r="EH21" i="15"/>
  <c r="DM33" i="16"/>
  <c r="EH44" i="16"/>
  <c r="EH54" i="16"/>
  <c r="B122" i="17"/>
  <c r="B152" i="17" s="1"/>
  <c r="W8" i="17" s="1"/>
  <c r="Z8" i="17" s="1"/>
  <c r="B151" i="17"/>
  <c r="B72" i="17"/>
  <c r="B43" i="17"/>
  <c r="B73" i="17" s="1"/>
  <c r="W7" i="17" s="1"/>
  <c r="B151" i="18"/>
  <c r="B122" i="18"/>
  <c r="B152" i="18" s="1"/>
  <c r="W8" i="18" s="1"/>
  <c r="Z8" i="18" s="1"/>
  <c r="EH17" i="15"/>
  <c r="EH23" i="15"/>
  <c r="DM41" i="15"/>
  <c r="EH63" i="15"/>
  <c r="EH50" i="16"/>
  <c r="B43" i="18"/>
  <c r="B73" i="18" s="1"/>
  <c r="W7" i="18" s="1"/>
  <c r="B72" i="18"/>
  <c r="AP55" i="16"/>
  <c r="EH18" i="15"/>
  <c r="EH5" i="15"/>
  <c r="EH22" i="15"/>
  <c r="Q41" i="15"/>
  <c r="EH49" i="16"/>
  <c r="EH20" i="15"/>
  <c r="EH6" i="15"/>
  <c r="EH24" i="15"/>
  <c r="EH12" i="15"/>
  <c r="EH13" i="15"/>
  <c r="EH51" i="16"/>
  <c r="DM26" i="16"/>
  <c r="EH57" i="16"/>
  <c r="EH16" i="15"/>
  <c r="DM5" i="15"/>
  <c r="AP54" i="15"/>
  <c r="EH14" i="15"/>
  <c r="EH15" i="15"/>
  <c r="BG9" i="15"/>
  <c r="BK14" i="15" s="1"/>
  <c r="BG19" i="16"/>
  <c r="BK4" i="16"/>
  <c r="DM6" i="16"/>
  <c r="EH19" i="16"/>
  <c r="EH17" i="16"/>
  <c r="EH18" i="16"/>
  <c r="EH20" i="16"/>
  <c r="DM20" i="16"/>
  <c r="EH34" i="16"/>
  <c r="BG9" i="16"/>
  <c r="BK14" i="16" s="1"/>
  <c r="BK35" i="16" s="1"/>
  <c r="DM4" i="16"/>
  <c r="EH9" i="16"/>
  <c r="EH10" i="16"/>
  <c r="EH11" i="16"/>
  <c r="EH12" i="16"/>
  <c r="DM46" i="16"/>
  <c r="AP57" i="16"/>
  <c r="BG26" i="16"/>
  <c r="DM5" i="16"/>
  <c r="EH15" i="16"/>
  <c r="EH13" i="16"/>
  <c r="EH14" i="16"/>
  <c r="EH16" i="16"/>
  <c r="BG29" i="16"/>
  <c r="BK5" i="16"/>
  <c r="AP54" i="16"/>
  <c r="DM41" i="16"/>
  <c r="EH21" i="16"/>
  <c r="EH22" i="16"/>
  <c r="EH23" i="16"/>
  <c r="EH24" i="16"/>
  <c r="T27" i="16"/>
  <c r="O41" i="16"/>
  <c r="BK9" i="16"/>
  <c r="EH5" i="16"/>
  <c r="DM3" i="16"/>
  <c r="EH6" i="16"/>
  <c r="EH7" i="16"/>
  <c r="EH8" i="16"/>
  <c r="Q41" i="16"/>
  <c r="DM33" i="15"/>
  <c r="DM26" i="15"/>
  <c r="EH49" i="15"/>
  <c r="EH51" i="15"/>
  <c r="EH48" i="15"/>
  <c r="EH50" i="15"/>
  <c r="BK32" i="15"/>
  <c r="BK36" i="15" s="1"/>
  <c r="DM13" i="15"/>
  <c r="EH38" i="15"/>
  <c r="DM14" i="15"/>
  <c r="EH39" i="15"/>
  <c r="AP56" i="15"/>
  <c r="EH42" i="15"/>
  <c r="DM45" i="15"/>
  <c r="EH30" i="15"/>
  <c r="DM10" i="15"/>
  <c r="BG10" i="15"/>
  <c r="BK11" i="15" s="1"/>
  <c r="DM37" i="15"/>
  <c r="BK15" i="15"/>
  <c r="DM27" i="15"/>
  <c r="DM34" i="15"/>
  <c r="EH53" i="15"/>
  <c r="EH52" i="15"/>
  <c r="EH55" i="15"/>
  <c r="EH54" i="15"/>
  <c r="EH41" i="15"/>
  <c r="DM16" i="15"/>
  <c r="BK9" i="15"/>
  <c r="BG17" i="15"/>
  <c r="BG18" i="15" s="1"/>
  <c r="DM32" i="15"/>
  <c r="DM25" i="15"/>
  <c r="EH47" i="15"/>
  <c r="EH44" i="15"/>
  <c r="EH45" i="15"/>
  <c r="EH46" i="15"/>
  <c r="EH40" i="15"/>
  <c r="DM15" i="15"/>
  <c r="BG26" i="15"/>
  <c r="AP55" i="15"/>
  <c r="DM42" i="15"/>
  <c r="EH59" i="15"/>
  <c r="EH56" i="15"/>
  <c r="EH57" i="15"/>
  <c r="EH58" i="15"/>
  <c r="N13" i="11"/>
  <c r="E19" i="13" s="1"/>
  <c r="E88" i="13"/>
  <c r="T21" i="11"/>
  <c r="N12" i="11"/>
  <c r="E18" i="13" s="1"/>
  <c r="Q11" i="11"/>
  <c r="H17" i="13" s="1"/>
  <c r="I33" i="13"/>
  <c r="I108" i="13"/>
  <c r="F28" i="13"/>
  <c r="M28" i="13" s="1"/>
  <c r="G84" i="13"/>
  <c r="G19" i="13"/>
  <c r="G16" i="13"/>
  <c r="Q15" i="11"/>
  <c r="H21" i="13" s="1"/>
  <c r="G21" i="13"/>
  <c r="Q25" i="11"/>
  <c r="H92" i="13" s="1"/>
  <c r="G92" i="13"/>
  <c r="G17" i="13"/>
  <c r="F28" i="14"/>
  <c r="M28" i="14" s="1"/>
  <c r="G21" i="14"/>
  <c r="B782" i="13"/>
  <c r="B753" i="13"/>
  <c r="B783" i="13" s="1"/>
  <c r="W16" i="13" s="1"/>
  <c r="E88" i="14"/>
  <c r="E91" i="14"/>
  <c r="P19" i="12"/>
  <c r="P18" i="12"/>
  <c r="P7" i="12"/>
  <c r="P20" i="12"/>
  <c r="P8" i="12"/>
  <c r="P6" i="12"/>
  <c r="P17" i="12"/>
  <c r="P9" i="12"/>
  <c r="E19" i="14"/>
  <c r="E89" i="14"/>
  <c r="E18" i="14"/>
  <c r="G4" i="12"/>
  <c r="F10" i="12" s="1"/>
  <c r="E16" i="14"/>
  <c r="E90" i="14"/>
  <c r="P18" i="11"/>
  <c r="P19" i="11"/>
  <c r="Q12" i="11"/>
  <c r="P8" i="11"/>
  <c r="P9" i="11"/>
  <c r="P7" i="11"/>
  <c r="P6" i="11"/>
  <c r="P20" i="11"/>
  <c r="E91" i="13"/>
  <c r="T13" i="11"/>
  <c r="R12" i="11"/>
  <c r="S12" i="11" s="1"/>
  <c r="G4" i="11"/>
  <c r="E89" i="13"/>
  <c r="E90" i="13"/>
  <c r="R11" i="11"/>
  <c r="S11" i="11" s="1"/>
  <c r="T11" i="11"/>
  <c r="B34" i="3"/>
  <c r="BK35" i="15" l="1"/>
  <c r="W21" i="18"/>
  <c r="W18" i="18"/>
  <c r="V31" i="18" s="1"/>
  <c r="Z7" i="18"/>
  <c r="Z7" i="17"/>
  <c r="W21" i="17"/>
  <c r="W18" i="17"/>
  <c r="V31" i="17" s="1"/>
  <c r="DM31" i="15"/>
  <c r="BG28" i="16"/>
  <c r="BK10" i="16"/>
  <c r="BK34" i="16" s="1"/>
  <c r="BK12" i="16"/>
  <c r="EH39" i="16"/>
  <c r="DM14" i="16"/>
  <c r="EH41" i="16"/>
  <c r="DM16" i="16"/>
  <c r="EH30" i="16"/>
  <c r="BG10" i="16"/>
  <c r="DM10" i="16"/>
  <c r="BK32" i="16"/>
  <c r="BK36" i="16" s="1"/>
  <c r="EH38" i="16"/>
  <c r="DM13" i="16"/>
  <c r="AP56" i="16"/>
  <c r="EH42" i="16"/>
  <c r="DM45" i="16"/>
  <c r="DM15" i="16"/>
  <c r="EH40" i="16"/>
  <c r="AP57" i="15"/>
  <c r="DM46" i="15"/>
  <c r="BK12" i="15"/>
  <c r="BK10" i="15"/>
  <c r="BK34" i="15" s="1"/>
  <c r="BG28" i="15"/>
  <c r="T12" i="11"/>
  <c r="Q13" i="11"/>
  <c r="H19" i="13" s="1"/>
  <c r="R13" i="11"/>
  <c r="S13" i="11" s="1"/>
  <c r="B127" i="7"/>
  <c r="B48" i="7"/>
  <c r="G87" i="13"/>
  <c r="H18" i="13"/>
  <c r="G86" i="13"/>
  <c r="G13" i="13"/>
  <c r="G85" i="13"/>
  <c r="G14" i="13"/>
  <c r="G12" i="13"/>
  <c r="G15" i="13"/>
  <c r="G14" i="14"/>
  <c r="G15" i="14"/>
  <c r="G84" i="14"/>
  <c r="G13" i="14"/>
  <c r="G86" i="14"/>
  <c r="G87" i="14"/>
  <c r="G12" i="14"/>
  <c r="G85" i="14"/>
  <c r="F8" i="12"/>
  <c r="F9" i="12"/>
  <c r="R22" i="12"/>
  <c r="S22" i="12" s="1"/>
  <c r="T22" i="12"/>
  <c r="Q22" i="12"/>
  <c r="H89" i="14" s="1"/>
  <c r="T23" i="12"/>
  <c r="R23" i="12"/>
  <c r="S23" i="12" s="1"/>
  <c r="Q23" i="12"/>
  <c r="H90" i="14" s="1"/>
  <c r="R12" i="12"/>
  <c r="S12" i="12" s="1"/>
  <c r="T12" i="12"/>
  <c r="Q12" i="12"/>
  <c r="H18" i="14" s="1"/>
  <c r="T24" i="12"/>
  <c r="Q24" i="12"/>
  <c r="H91" i="14" s="1"/>
  <c r="R24" i="12"/>
  <c r="S24" i="12" s="1"/>
  <c r="T21" i="12"/>
  <c r="R21" i="12"/>
  <c r="S21" i="12" s="1"/>
  <c r="Q21" i="12"/>
  <c r="H88" i="14" s="1"/>
  <c r="R13" i="12"/>
  <c r="S13" i="12" s="1"/>
  <c r="Q13" i="12"/>
  <c r="H19" i="14" s="1"/>
  <c r="T13" i="12"/>
  <c r="T10" i="12"/>
  <c r="R10" i="12"/>
  <c r="S10" i="12" s="1"/>
  <c r="Q10" i="12"/>
  <c r="H16" i="14" s="1"/>
  <c r="F22" i="12"/>
  <c r="F20" i="12"/>
  <c r="F21" i="12"/>
  <c r="F7" i="12"/>
  <c r="F11" i="12"/>
  <c r="F12" i="12"/>
  <c r="F6" i="12"/>
  <c r="F13" i="12"/>
  <c r="F22" i="11"/>
  <c r="F20" i="11"/>
  <c r="F21" i="11"/>
  <c r="F6" i="11"/>
  <c r="F7" i="11"/>
  <c r="F8" i="11"/>
  <c r="F9" i="11"/>
  <c r="F10" i="11"/>
  <c r="F13" i="11"/>
  <c r="F11" i="11"/>
  <c r="F12" i="11"/>
  <c r="T24" i="11"/>
  <c r="R24" i="11"/>
  <c r="S24" i="11" s="1"/>
  <c r="Q24" i="11"/>
  <c r="H91" i="13" s="1"/>
  <c r="T23" i="11"/>
  <c r="R23" i="11"/>
  <c r="S23" i="11" s="1"/>
  <c r="Q23" i="11"/>
  <c r="H90" i="13" s="1"/>
  <c r="R22" i="11"/>
  <c r="S22" i="11" s="1"/>
  <c r="T22" i="11"/>
  <c r="Q22" i="11"/>
  <c r="H89" i="13" s="1"/>
  <c r="EB78" i="6"/>
  <c r="EB79" i="6"/>
  <c r="EB77" i="6"/>
  <c r="EB76" i="6"/>
  <c r="EB75" i="6"/>
  <c r="EB73" i="6"/>
  <c r="EB71" i="6"/>
  <c r="EB72" i="6"/>
  <c r="EB70" i="6"/>
  <c r="EB66" i="6"/>
  <c r="EB67" i="6"/>
  <c r="EB68" i="6"/>
  <c r="EB65" i="6"/>
  <c r="EB62" i="6"/>
  <c r="EB63" i="6"/>
  <c r="EB61" i="6"/>
  <c r="EB45" i="6"/>
  <c r="EB46" i="6"/>
  <c r="EB47" i="6"/>
  <c r="EB48" i="6"/>
  <c r="EB49" i="6"/>
  <c r="EB50" i="6"/>
  <c r="EB51" i="6"/>
  <c r="EB52" i="6"/>
  <c r="EB53" i="6"/>
  <c r="EB54" i="6"/>
  <c r="EB55" i="6"/>
  <c r="EB56" i="6"/>
  <c r="EB57" i="6"/>
  <c r="EB58" i="6"/>
  <c r="EB59" i="6"/>
  <c r="EB44" i="6"/>
  <c r="EB39" i="6"/>
  <c r="EB40" i="6"/>
  <c r="EB41" i="6"/>
  <c r="EB42" i="6"/>
  <c r="EB38" i="6"/>
  <c r="EB37" i="6"/>
  <c r="EB36" i="6"/>
  <c r="EB33" i="6"/>
  <c r="EB34" i="6"/>
  <c r="EB35" i="6"/>
  <c r="EB32" i="6"/>
  <c r="EB28" i="6"/>
  <c r="EB29" i="6"/>
  <c r="EB30" i="6"/>
  <c r="EB27" i="6"/>
  <c r="EB6" i="6"/>
  <c r="EB7" i="6"/>
  <c r="EB8" i="6"/>
  <c r="EB9" i="6"/>
  <c r="EB10" i="6"/>
  <c r="EB11" i="6"/>
  <c r="EB12" i="6"/>
  <c r="EB13" i="6"/>
  <c r="EB14" i="6"/>
  <c r="EB15" i="6"/>
  <c r="EB16" i="6"/>
  <c r="EB17" i="6"/>
  <c r="EB18" i="6"/>
  <c r="EB19" i="6"/>
  <c r="EB20" i="6"/>
  <c r="EB21" i="6"/>
  <c r="EB22" i="6"/>
  <c r="EB23" i="6"/>
  <c r="EB24" i="6"/>
  <c r="EB5" i="6"/>
  <c r="BK11" i="16" l="1"/>
  <c r="BK23" i="16" s="1"/>
  <c r="BK25" i="16" s="1"/>
  <c r="BG17" i="16"/>
  <c r="BG18" i="16" s="1"/>
  <c r="BK23" i="15"/>
  <c r="BK25" i="15" s="1"/>
  <c r="N36" i="12"/>
  <c r="N36" i="11"/>
  <c r="DM7" i="6"/>
  <c r="DM12" i="6"/>
  <c r="DM17" i="6"/>
  <c r="DM24" i="6"/>
  <c r="DM28" i="6"/>
  <c r="DM35" i="6"/>
  <c r="DM40" i="6"/>
  <c r="DO7" i="6"/>
  <c r="DO12" i="6"/>
  <c r="DO17" i="6"/>
  <c r="DO24" i="6"/>
  <c r="DO28" i="6"/>
  <c r="DO35" i="6"/>
  <c r="DO40" i="6"/>
  <c r="DN4" i="6"/>
  <c r="DN5" i="6"/>
  <c r="DN6" i="6"/>
  <c r="DN7" i="6"/>
  <c r="DN8" i="6"/>
  <c r="DN9" i="6"/>
  <c r="DN10" i="6"/>
  <c r="DN11" i="6"/>
  <c r="DN12" i="6"/>
  <c r="DN13" i="6"/>
  <c r="DN14" i="6"/>
  <c r="DN15" i="6"/>
  <c r="DN16" i="6"/>
  <c r="DN17" i="6"/>
  <c r="DN18" i="6"/>
  <c r="DN19" i="6"/>
  <c r="DN20" i="6"/>
  <c r="DN21" i="6"/>
  <c r="DN24" i="6"/>
  <c r="DN25" i="6"/>
  <c r="DN26" i="6"/>
  <c r="DN27" i="6"/>
  <c r="DN28" i="6"/>
  <c r="DN29" i="6"/>
  <c r="DN30" i="6"/>
  <c r="DN31" i="6"/>
  <c r="DN32" i="6"/>
  <c r="DN33" i="6"/>
  <c r="DN34" i="6"/>
  <c r="DN35" i="6"/>
  <c r="DN36" i="6"/>
  <c r="DN37" i="6"/>
  <c r="DN38" i="6"/>
  <c r="DN40" i="6"/>
  <c r="DN41" i="6"/>
  <c r="DN42" i="6"/>
  <c r="DN43" i="6"/>
  <c r="DN44" i="6"/>
  <c r="DN45" i="6"/>
  <c r="DN46" i="6"/>
  <c r="DN47" i="6"/>
  <c r="DN48" i="6"/>
  <c r="DN49" i="6"/>
  <c r="DN3" i="6"/>
  <c r="DH11" i="6" l="1"/>
  <c r="DJ11" i="6"/>
  <c r="DH12" i="6"/>
  <c r="DJ12" i="6"/>
  <c r="DH13" i="6"/>
  <c r="DJ13" i="6"/>
  <c r="DH14" i="6"/>
  <c r="DJ14" i="6"/>
  <c r="DH15" i="6"/>
  <c r="DJ15" i="6"/>
  <c r="DH17" i="6"/>
  <c r="DJ17" i="6"/>
  <c r="DH18" i="6"/>
  <c r="DJ18" i="6"/>
  <c r="DH19" i="6"/>
  <c r="DJ19" i="6"/>
  <c r="DH20" i="6"/>
  <c r="DJ20" i="6"/>
  <c r="DH21" i="6"/>
  <c r="DJ21" i="6"/>
  <c r="DH22" i="6"/>
  <c r="DJ22" i="6"/>
  <c r="DH23" i="6"/>
  <c r="DJ23" i="6"/>
  <c r="DH24" i="6"/>
  <c r="DJ24" i="6"/>
  <c r="DH25" i="6"/>
  <c r="DJ25" i="6"/>
  <c r="DH26" i="6"/>
  <c r="DJ26" i="6"/>
  <c r="DH31" i="6"/>
  <c r="DJ31" i="6"/>
  <c r="DH32" i="6"/>
  <c r="DJ32" i="6"/>
  <c r="DH33" i="6"/>
  <c r="DJ33" i="6"/>
  <c r="DH34" i="6"/>
  <c r="DJ34" i="6"/>
  <c r="DH35" i="6"/>
  <c r="DJ35" i="6"/>
  <c r="DH36" i="6"/>
  <c r="DJ36" i="6"/>
  <c r="DH37" i="6"/>
  <c r="DJ37" i="6"/>
  <c r="DH38" i="6"/>
  <c r="DJ38" i="6"/>
  <c r="DH39" i="6"/>
  <c r="DJ39" i="6"/>
  <c r="DH40" i="6"/>
  <c r="DJ40" i="6"/>
  <c r="DH41" i="6"/>
  <c r="DJ41" i="6"/>
  <c r="DH42" i="6"/>
  <c r="DJ42" i="6"/>
  <c r="DH43" i="6"/>
  <c r="DJ43" i="6"/>
  <c r="DH52" i="6"/>
  <c r="DJ52" i="6"/>
  <c r="DH53" i="6"/>
  <c r="DJ53" i="6"/>
  <c r="DH54" i="6"/>
  <c r="DJ54" i="6"/>
  <c r="DH55" i="6"/>
  <c r="DJ55" i="6"/>
  <c r="DH56" i="6"/>
  <c r="DJ56" i="6"/>
  <c r="DJ10" i="6"/>
  <c r="DH10" i="6"/>
  <c r="BZ50" i="6"/>
  <c r="DO49" i="6" s="1"/>
  <c r="BZ49" i="6"/>
  <c r="DO48" i="6" s="1"/>
  <c r="BZ48" i="6"/>
  <c r="DO47" i="6" s="1"/>
  <c r="BZ47" i="6"/>
  <c r="DO46" i="6" s="1"/>
  <c r="BZ46" i="6"/>
  <c r="DO45" i="6" s="1"/>
  <c r="BZ45" i="6"/>
  <c r="DO44" i="6" s="1"/>
  <c r="BZ44" i="6"/>
  <c r="DO43" i="6" s="1"/>
  <c r="BZ43" i="6"/>
  <c r="DO42" i="6" s="1"/>
  <c r="BZ42" i="6"/>
  <c r="DO41" i="6" s="1"/>
  <c r="AZ49" i="6"/>
  <c r="BZ40" i="6"/>
  <c r="DO39" i="6" s="1"/>
  <c r="BZ39" i="6"/>
  <c r="DO38" i="6" s="1"/>
  <c r="BZ38" i="6"/>
  <c r="DO37" i="6" s="1"/>
  <c r="BZ37" i="6"/>
  <c r="DO36" i="6" s="1"/>
  <c r="BZ35" i="6"/>
  <c r="DO34" i="6" s="1"/>
  <c r="BZ34" i="6"/>
  <c r="DO33" i="6" s="1"/>
  <c r="BZ33" i="6"/>
  <c r="DO32" i="6" s="1"/>
  <c r="BZ32" i="6"/>
  <c r="DO31" i="6" s="1"/>
  <c r="BZ31" i="6"/>
  <c r="DO30" i="6" s="1"/>
  <c r="BZ30" i="6"/>
  <c r="DO29" i="6" s="1"/>
  <c r="BZ27" i="6"/>
  <c r="DO26" i="6" s="1"/>
  <c r="BZ28" i="6"/>
  <c r="DO27" i="6" s="1"/>
  <c r="BZ26" i="6"/>
  <c r="DO25" i="6" s="1"/>
  <c r="AZ48" i="6" l="1"/>
  <c r="AZ46" i="6"/>
  <c r="AZ44" i="6"/>
  <c r="AZ42" i="6"/>
  <c r="BZ24" i="6"/>
  <c r="BZ23" i="6"/>
  <c r="BZ22" i="6"/>
  <c r="BZ21" i="6"/>
  <c r="BZ20" i="6"/>
  <c r="BZ19" i="6"/>
  <c r="BZ17" i="6"/>
  <c r="BZ16" i="6"/>
  <c r="BZ15" i="6"/>
  <c r="BZ14" i="6"/>
  <c r="BZ12" i="6"/>
  <c r="BZ11" i="6"/>
  <c r="BZ10" i="6"/>
  <c r="BZ9" i="6"/>
  <c r="BZ5" i="6"/>
  <c r="BZ6" i="6"/>
  <c r="BZ7" i="6"/>
  <c r="BZ4" i="6"/>
  <c r="AZ6" i="6" l="1"/>
  <c r="DO5" i="6"/>
  <c r="AZ11" i="6"/>
  <c r="DO10" i="6"/>
  <c r="AZ16" i="6"/>
  <c r="DO15" i="6"/>
  <c r="AZ21" i="6"/>
  <c r="DO20" i="6"/>
  <c r="AZ5" i="6"/>
  <c r="DO4" i="6"/>
  <c r="AZ12" i="6"/>
  <c r="DO11" i="6"/>
  <c r="AZ17" i="6"/>
  <c r="DO16" i="6"/>
  <c r="AZ22" i="6"/>
  <c r="DO21" i="6"/>
  <c r="AZ4" i="6"/>
  <c r="DO3" i="6"/>
  <c r="AZ9" i="6"/>
  <c r="DO8" i="6"/>
  <c r="AZ14" i="6"/>
  <c r="DO13" i="6"/>
  <c r="AZ19" i="6"/>
  <c r="DO18" i="6"/>
  <c r="AZ23" i="6"/>
  <c r="DO22" i="6"/>
  <c r="AZ7" i="6"/>
  <c r="DO6" i="6"/>
  <c r="AZ10" i="6"/>
  <c r="DO9" i="6"/>
  <c r="AZ15" i="6"/>
  <c r="DO14" i="6"/>
  <c r="AZ20" i="6"/>
  <c r="DO19" i="6"/>
  <c r="AZ24" i="6"/>
  <c r="DO23" i="6"/>
  <c r="BT26" i="6"/>
  <c r="AZ26" i="6" s="1"/>
  <c r="BT27" i="6"/>
  <c r="AZ27" i="6" s="1"/>
  <c r="BT28" i="6"/>
  <c r="AZ28" i="6" s="1"/>
  <c r="BT30" i="6"/>
  <c r="AZ30" i="6" s="1"/>
  <c r="BT31" i="6"/>
  <c r="AZ31" i="6" s="1"/>
  <c r="BT32" i="6"/>
  <c r="AZ32" i="6" s="1"/>
  <c r="BT33" i="6"/>
  <c r="AZ33" i="6" s="1"/>
  <c r="BT34" i="6"/>
  <c r="AZ34" i="6" s="1"/>
  <c r="BT35" i="6"/>
  <c r="AZ35" i="6" s="1"/>
  <c r="BT37" i="6"/>
  <c r="AZ37" i="6" s="1"/>
  <c r="BT38" i="6"/>
  <c r="AZ38" i="6" s="1"/>
  <c r="BT39" i="6"/>
  <c r="AZ39" i="6" s="1"/>
  <c r="BT42" i="6"/>
  <c r="BT43" i="6"/>
  <c r="BT44" i="6"/>
  <c r="BT45" i="6"/>
  <c r="AZ45" i="6" s="1"/>
  <c r="BT46" i="6"/>
  <c r="BT47" i="6"/>
  <c r="BT48" i="6"/>
  <c r="BT49" i="6"/>
  <c r="BT50" i="6"/>
  <c r="AZ50" i="6" s="1"/>
  <c r="BT22" i="6"/>
  <c r="BT14" i="6"/>
  <c r="BT15" i="6"/>
  <c r="BT16" i="6"/>
  <c r="BT17" i="6"/>
  <c r="BT9" i="6"/>
  <c r="BT10" i="6"/>
  <c r="BT11" i="6"/>
  <c r="BT12" i="6"/>
  <c r="BT8" i="6"/>
  <c r="BT5" i="6"/>
  <c r="BT6" i="6"/>
  <c r="BT7" i="6"/>
  <c r="BT4" i="6"/>
  <c r="BV40" i="6"/>
  <c r="DN39" i="6" s="1"/>
  <c r="BV24" i="6"/>
  <c r="DN23" i="6" s="1"/>
  <c r="BV23" i="6"/>
  <c r="DN22" i="6" s="1"/>
  <c r="BT56" i="6" l="1"/>
  <c r="BT57" i="6"/>
  <c r="AZ47" i="6"/>
  <c r="BT55" i="6"/>
  <c r="AZ43" i="6"/>
  <c r="BT54" i="6"/>
  <c r="AR40" i="6"/>
  <c r="BT40" i="6" s="1"/>
  <c r="AZ40" i="6" s="1"/>
  <c r="AR24" i="6"/>
  <c r="BT24" i="6" s="1"/>
  <c r="AR23" i="6"/>
  <c r="BT23" i="6" s="1"/>
  <c r="B10" i="10" l="1"/>
  <c r="B11" i="10" s="1"/>
  <c r="C32" i="10"/>
  <c r="C50" i="10" s="1"/>
  <c r="C19" i="10"/>
  <c r="C29" i="10" s="1"/>
  <c r="B32" i="10"/>
  <c r="B50" i="10" s="1"/>
  <c r="B19" i="10"/>
  <c r="B29" i="10" s="1"/>
  <c r="C10" i="10"/>
  <c r="B48" i="10"/>
  <c r="C47" i="10"/>
  <c r="B47" i="10"/>
  <c r="C46" i="10"/>
  <c r="B46" i="10"/>
  <c r="B35" i="10"/>
  <c r="B37" i="10" s="1"/>
  <c r="C28" i="10"/>
  <c r="C48" i="10" s="1"/>
  <c r="C35" i="10"/>
  <c r="C37" i="10" s="1"/>
  <c r="C16" i="10"/>
  <c r="C15" i="10"/>
  <c r="B15" i="10"/>
  <c r="C23" i="10" l="1"/>
  <c r="C30" i="10" s="1"/>
  <c r="C49" i="10"/>
  <c r="C11" i="10"/>
  <c r="B49" i="10"/>
  <c r="B23" i="10"/>
  <c r="B30" i="10" s="1"/>
  <c r="Q10" i="6"/>
  <c r="Q11" i="6"/>
  <c r="Q12" i="6"/>
  <c r="Q13" i="6"/>
  <c r="Q34" i="6" l="1"/>
  <c r="Q35" i="6" s="1"/>
  <c r="C22" i="7"/>
  <c r="D22" i="7"/>
  <c r="F22" i="7"/>
  <c r="Q21" i="6"/>
  <c r="Q22" i="6"/>
  <c r="Q23" i="6"/>
  <c r="Q24" i="6"/>
  <c r="AD50" i="6"/>
  <c r="B14" i="3"/>
  <c r="B10" i="3"/>
  <c r="B17" i="3" l="1"/>
  <c r="B7" i="11"/>
  <c r="B7" i="12"/>
  <c r="B776" i="7"/>
  <c r="B778" i="7" s="1"/>
  <c r="B777" i="7" s="1"/>
  <c r="B768" i="7"/>
  <c r="G768" i="7" s="1"/>
  <c r="B764" i="7"/>
  <c r="B761" i="7"/>
  <c r="J750" i="7"/>
  <c r="I750" i="7"/>
  <c r="F750" i="7"/>
  <c r="E750" i="7"/>
  <c r="D750" i="7"/>
  <c r="H750" i="7" s="1"/>
  <c r="C750" i="7"/>
  <c r="G750" i="7" s="1"/>
  <c r="K750" i="7" s="1"/>
  <c r="J749" i="7"/>
  <c r="I749" i="7"/>
  <c r="F749" i="7"/>
  <c r="E749" i="7"/>
  <c r="D749" i="7"/>
  <c r="H749" i="7" s="1"/>
  <c r="C749" i="7"/>
  <c r="G749" i="7" s="1"/>
  <c r="J748" i="7"/>
  <c r="I748" i="7"/>
  <c r="F748" i="7"/>
  <c r="E748" i="7"/>
  <c r="D748" i="7"/>
  <c r="H748" i="7" s="1"/>
  <c r="C748" i="7"/>
  <c r="G748" i="7" s="1"/>
  <c r="K748" i="7" s="1"/>
  <c r="J747" i="7"/>
  <c r="I747" i="7"/>
  <c r="F747" i="7"/>
  <c r="E747" i="7"/>
  <c r="D747" i="7"/>
  <c r="H747" i="7" s="1"/>
  <c r="C747" i="7"/>
  <c r="G747" i="7" s="1"/>
  <c r="J746" i="7"/>
  <c r="I746" i="7"/>
  <c r="F746" i="7"/>
  <c r="E746" i="7"/>
  <c r="D746" i="7"/>
  <c r="H746" i="7" s="1"/>
  <c r="C746" i="7"/>
  <c r="G746" i="7" s="1"/>
  <c r="K746" i="7" s="1"/>
  <c r="J745" i="7"/>
  <c r="I745" i="7"/>
  <c r="F745" i="7"/>
  <c r="E745" i="7"/>
  <c r="D745" i="7"/>
  <c r="H745" i="7" s="1"/>
  <c r="C745" i="7"/>
  <c r="G745" i="7" s="1"/>
  <c r="J744" i="7"/>
  <c r="I744" i="7"/>
  <c r="F744" i="7"/>
  <c r="E744" i="7"/>
  <c r="D744" i="7"/>
  <c r="H744" i="7" s="1"/>
  <c r="C744" i="7"/>
  <c r="G744" i="7" s="1"/>
  <c r="K744" i="7" s="1"/>
  <c r="J743" i="7"/>
  <c r="I743" i="7"/>
  <c r="F743" i="7"/>
  <c r="E743" i="7"/>
  <c r="D743" i="7"/>
  <c r="H743" i="7" s="1"/>
  <c r="C743" i="7"/>
  <c r="G743" i="7" s="1"/>
  <c r="J742" i="7"/>
  <c r="I742" i="7"/>
  <c r="F742" i="7"/>
  <c r="E742" i="7"/>
  <c r="D742" i="7"/>
  <c r="H742" i="7" s="1"/>
  <c r="C742" i="7"/>
  <c r="G742" i="7" s="1"/>
  <c r="K742" i="7" s="1"/>
  <c r="J741" i="7"/>
  <c r="I741" i="7"/>
  <c r="F741" i="7"/>
  <c r="E741" i="7"/>
  <c r="D741" i="7"/>
  <c r="H741" i="7" s="1"/>
  <c r="C741" i="7"/>
  <c r="G741" i="7" s="1"/>
  <c r="J740" i="7"/>
  <c r="I740" i="7"/>
  <c r="F740" i="7"/>
  <c r="E740" i="7"/>
  <c r="D740" i="7"/>
  <c r="H740" i="7" s="1"/>
  <c r="C740" i="7"/>
  <c r="G740" i="7" s="1"/>
  <c r="K740" i="7" s="1"/>
  <c r="J739" i="7"/>
  <c r="B752" i="7" s="1"/>
  <c r="I739" i="7"/>
  <c r="F739" i="7"/>
  <c r="E739" i="7"/>
  <c r="D739" i="7"/>
  <c r="H739" i="7" s="1"/>
  <c r="C739" i="7"/>
  <c r="G739" i="7" s="1"/>
  <c r="G731" i="7"/>
  <c r="F731" i="7"/>
  <c r="M731" i="7" s="1"/>
  <c r="N731" i="7" s="1"/>
  <c r="H731" i="7" s="1"/>
  <c r="E731" i="7"/>
  <c r="D731" i="7"/>
  <c r="C731" i="7"/>
  <c r="I731" i="7" s="1"/>
  <c r="L731" i="7" s="1"/>
  <c r="H717" i="7"/>
  <c r="G717" i="7"/>
  <c r="F717" i="7"/>
  <c r="E717" i="7"/>
  <c r="D717" i="7"/>
  <c r="C717" i="7"/>
  <c r="H716" i="7"/>
  <c r="G716" i="7"/>
  <c r="F716" i="7"/>
  <c r="E716" i="7"/>
  <c r="D716" i="7"/>
  <c r="C716" i="7"/>
  <c r="H715" i="7"/>
  <c r="G715" i="7"/>
  <c r="F715" i="7"/>
  <c r="E715" i="7"/>
  <c r="D715" i="7"/>
  <c r="C715" i="7"/>
  <c r="B697" i="7"/>
  <c r="B699" i="7" s="1"/>
  <c r="B698" i="7" s="1"/>
  <c r="B685" i="7"/>
  <c r="B682" i="7"/>
  <c r="B689" i="7" s="1"/>
  <c r="J661" i="7"/>
  <c r="I661" i="7"/>
  <c r="F661" i="7"/>
  <c r="E661" i="7"/>
  <c r="D661" i="7"/>
  <c r="H661" i="7" s="1"/>
  <c r="C661" i="7"/>
  <c r="G661" i="7" s="1"/>
  <c r="J660" i="7"/>
  <c r="I660" i="7"/>
  <c r="F660" i="7"/>
  <c r="E660" i="7"/>
  <c r="D660" i="7"/>
  <c r="H660" i="7" s="1"/>
  <c r="C660" i="7"/>
  <c r="G660" i="7" s="1"/>
  <c r="K660" i="7" s="1"/>
  <c r="M652" i="7"/>
  <c r="G652" i="7"/>
  <c r="F652" i="7"/>
  <c r="E652" i="7"/>
  <c r="D652" i="7"/>
  <c r="C652" i="7"/>
  <c r="I652" i="7" s="1"/>
  <c r="L652" i="7" s="1"/>
  <c r="N652" i="7" s="1"/>
  <c r="H652" i="7" s="1"/>
  <c r="H637" i="7"/>
  <c r="G637" i="7"/>
  <c r="F637" i="7"/>
  <c r="E637" i="7"/>
  <c r="D637" i="7"/>
  <c r="C637" i="7"/>
  <c r="H636" i="7"/>
  <c r="B673" i="7" s="1"/>
  <c r="G636" i="7"/>
  <c r="F636" i="7"/>
  <c r="E636" i="7"/>
  <c r="D636" i="7"/>
  <c r="C636" i="7"/>
  <c r="B620" i="7"/>
  <c r="B619" i="7"/>
  <c r="B618" i="7"/>
  <c r="B606" i="7"/>
  <c r="B607" i="7" s="1"/>
  <c r="B603" i="7"/>
  <c r="B610" i="7" s="1"/>
  <c r="J583" i="7"/>
  <c r="I583" i="7"/>
  <c r="F583" i="7"/>
  <c r="E583" i="7"/>
  <c r="D583" i="7"/>
  <c r="H583" i="7" s="1"/>
  <c r="C583" i="7"/>
  <c r="G583" i="7" s="1"/>
  <c r="K583" i="7" s="1"/>
  <c r="J582" i="7"/>
  <c r="I582" i="7"/>
  <c r="F582" i="7"/>
  <c r="E582" i="7"/>
  <c r="D582" i="7"/>
  <c r="H582" i="7" s="1"/>
  <c r="C582" i="7"/>
  <c r="G582" i="7" s="1"/>
  <c r="J581" i="7"/>
  <c r="I581" i="7"/>
  <c r="F581" i="7"/>
  <c r="E581" i="7"/>
  <c r="D581" i="7"/>
  <c r="H581" i="7" s="1"/>
  <c r="C581" i="7"/>
  <c r="G581" i="7" s="1"/>
  <c r="K581" i="7" s="1"/>
  <c r="G573" i="7"/>
  <c r="F573" i="7"/>
  <c r="M573" i="7" s="1"/>
  <c r="E573" i="7"/>
  <c r="D573" i="7"/>
  <c r="C573" i="7"/>
  <c r="I573" i="7" s="1"/>
  <c r="L573" i="7" s="1"/>
  <c r="H559" i="7"/>
  <c r="G559" i="7"/>
  <c r="F559" i="7"/>
  <c r="E559" i="7"/>
  <c r="D559" i="7"/>
  <c r="C559" i="7"/>
  <c r="H558" i="7"/>
  <c r="G558" i="7"/>
  <c r="F558" i="7"/>
  <c r="E558" i="7"/>
  <c r="D558" i="7"/>
  <c r="C558" i="7"/>
  <c r="H557" i="7"/>
  <c r="B594" i="7" s="1"/>
  <c r="G557" i="7"/>
  <c r="F557" i="7"/>
  <c r="E557" i="7"/>
  <c r="D557" i="7"/>
  <c r="C557" i="7"/>
  <c r="B541" i="7"/>
  <c r="B540" i="7" s="1"/>
  <c r="B539" i="7"/>
  <c r="B533" i="7"/>
  <c r="B534" i="7" s="1"/>
  <c r="B531" i="7"/>
  <c r="G531" i="7" s="1"/>
  <c r="B527" i="7"/>
  <c r="B528" i="7" s="1"/>
  <c r="B524" i="7"/>
  <c r="J504" i="7"/>
  <c r="I504" i="7"/>
  <c r="F504" i="7"/>
  <c r="E504" i="7"/>
  <c r="D504" i="7"/>
  <c r="H504" i="7" s="1"/>
  <c r="C504" i="7"/>
  <c r="G504" i="7" s="1"/>
  <c r="K504" i="7" s="1"/>
  <c r="J503" i="7"/>
  <c r="I503" i="7"/>
  <c r="F503" i="7"/>
  <c r="E503" i="7"/>
  <c r="D503" i="7"/>
  <c r="H503" i="7" s="1"/>
  <c r="C503" i="7"/>
  <c r="G503" i="7" s="1"/>
  <c r="J502" i="7"/>
  <c r="I502" i="7"/>
  <c r="F502" i="7"/>
  <c r="E502" i="7"/>
  <c r="D502" i="7"/>
  <c r="H502" i="7" s="1"/>
  <c r="C502" i="7"/>
  <c r="G502" i="7" s="1"/>
  <c r="K502" i="7" s="1"/>
  <c r="H483" i="7"/>
  <c r="G483" i="7"/>
  <c r="F483" i="7"/>
  <c r="E483" i="7"/>
  <c r="D483" i="7"/>
  <c r="C483" i="7"/>
  <c r="H482" i="7"/>
  <c r="G482" i="7"/>
  <c r="F482" i="7"/>
  <c r="E482" i="7"/>
  <c r="D482" i="7"/>
  <c r="C482" i="7"/>
  <c r="H481" i="7"/>
  <c r="G481" i="7"/>
  <c r="F481" i="7"/>
  <c r="E481" i="7"/>
  <c r="D481" i="7"/>
  <c r="C481" i="7"/>
  <c r="H480" i="7"/>
  <c r="G480" i="7"/>
  <c r="F480" i="7"/>
  <c r="E480" i="7"/>
  <c r="D480" i="7"/>
  <c r="C480" i="7"/>
  <c r="F479" i="7"/>
  <c r="D479" i="7"/>
  <c r="C479" i="7"/>
  <c r="F478" i="7"/>
  <c r="D478" i="7"/>
  <c r="C478" i="7"/>
  <c r="B461" i="7"/>
  <c r="B463" i="7" s="1"/>
  <c r="B462" i="7" s="1"/>
  <c r="B453" i="7"/>
  <c r="G453" i="7" s="1"/>
  <c r="B450" i="7"/>
  <c r="B449" i="7"/>
  <c r="B446" i="7"/>
  <c r="J428" i="7"/>
  <c r="I428" i="7"/>
  <c r="F428" i="7"/>
  <c r="E428" i="7"/>
  <c r="D428" i="7"/>
  <c r="H428" i="7" s="1"/>
  <c r="C428" i="7"/>
  <c r="G428" i="7" s="1"/>
  <c r="K428" i="7" s="1"/>
  <c r="J427" i="7"/>
  <c r="I427" i="7"/>
  <c r="F427" i="7"/>
  <c r="E427" i="7"/>
  <c r="D427" i="7"/>
  <c r="H427" i="7" s="1"/>
  <c r="C427" i="7"/>
  <c r="G427" i="7" s="1"/>
  <c r="J426" i="7"/>
  <c r="I426" i="7"/>
  <c r="F426" i="7"/>
  <c r="E426" i="7"/>
  <c r="D426" i="7"/>
  <c r="H426" i="7" s="1"/>
  <c r="C426" i="7"/>
  <c r="G426" i="7" s="1"/>
  <c r="K426" i="7" s="1"/>
  <c r="J425" i="7"/>
  <c r="I425" i="7"/>
  <c r="F425" i="7"/>
  <c r="E425" i="7"/>
  <c r="D425" i="7"/>
  <c r="H425" i="7" s="1"/>
  <c r="C425" i="7"/>
  <c r="G425" i="7" s="1"/>
  <c r="J424" i="7"/>
  <c r="I424" i="7"/>
  <c r="F424" i="7"/>
  <c r="E424" i="7"/>
  <c r="D424" i="7"/>
  <c r="H424" i="7" s="1"/>
  <c r="C424" i="7"/>
  <c r="G424" i="7" s="1"/>
  <c r="K424" i="7" s="1"/>
  <c r="F402" i="7"/>
  <c r="D402" i="7"/>
  <c r="C402" i="7"/>
  <c r="F401" i="7"/>
  <c r="D401" i="7"/>
  <c r="C401" i="7"/>
  <c r="F400" i="7"/>
  <c r="D400" i="7"/>
  <c r="C400" i="7"/>
  <c r="B385" i="7"/>
  <c r="B384" i="7"/>
  <c r="B383" i="7"/>
  <c r="B371" i="7"/>
  <c r="B372" i="7" s="1"/>
  <c r="B368" i="7"/>
  <c r="B375" i="7" s="1"/>
  <c r="J350" i="7"/>
  <c r="I350" i="7"/>
  <c r="F350" i="7"/>
  <c r="E350" i="7"/>
  <c r="D350" i="7"/>
  <c r="H350" i="7" s="1"/>
  <c r="C350" i="7"/>
  <c r="G350" i="7" s="1"/>
  <c r="K350" i="7" s="1"/>
  <c r="J349" i="7"/>
  <c r="I349" i="7"/>
  <c r="F349" i="7"/>
  <c r="E349" i="7"/>
  <c r="D349" i="7"/>
  <c r="H349" i="7" s="1"/>
  <c r="C349" i="7"/>
  <c r="G349" i="7" s="1"/>
  <c r="J348" i="7"/>
  <c r="I348" i="7"/>
  <c r="F348" i="7"/>
  <c r="E348" i="7"/>
  <c r="D348" i="7"/>
  <c r="H348" i="7" s="1"/>
  <c r="C348" i="7"/>
  <c r="G348" i="7" s="1"/>
  <c r="K348" i="7" s="1"/>
  <c r="J347" i="7"/>
  <c r="I347" i="7"/>
  <c r="F347" i="7"/>
  <c r="E347" i="7"/>
  <c r="D347" i="7"/>
  <c r="H347" i="7" s="1"/>
  <c r="C347" i="7"/>
  <c r="G347" i="7" s="1"/>
  <c r="J346" i="7"/>
  <c r="I346" i="7"/>
  <c r="F346" i="7"/>
  <c r="E346" i="7"/>
  <c r="D346" i="7"/>
  <c r="H346" i="7" s="1"/>
  <c r="C346" i="7"/>
  <c r="G346" i="7" s="1"/>
  <c r="K346" i="7" s="1"/>
  <c r="F325" i="7"/>
  <c r="D325" i="7"/>
  <c r="C325" i="7"/>
  <c r="F324" i="7"/>
  <c r="E324" i="7"/>
  <c r="D324" i="7"/>
  <c r="C324" i="7"/>
  <c r="F323" i="7"/>
  <c r="E323" i="7"/>
  <c r="D323" i="7"/>
  <c r="C323" i="7"/>
  <c r="F322" i="7"/>
  <c r="E322" i="7"/>
  <c r="D322" i="7"/>
  <c r="C322" i="7"/>
  <c r="B304" i="7"/>
  <c r="B306" i="7" s="1"/>
  <c r="B305" i="7" s="1"/>
  <c r="B296" i="7"/>
  <c r="G296" i="7" s="1"/>
  <c r="B292" i="7"/>
  <c r="B289" i="7"/>
  <c r="J270" i="7"/>
  <c r="I270" i="7"/>
  <c r="F270" i="7"/>
  <c r="E270" i="7"/>
  <c r="D270" i="7"/>
  <c r="H270" i="7" s="1"/>
  <c r="C270" i="7"/>
  <c r="G270" i="7" s="1"/>
  <c r="J269" i="7"/>
  <c r="I269" i="7"/>
  <c r="F269" i="7"/>
  <c r="E269" i="7"/>
  <c r="D269" i="7"/>
  <c r="H269" i="7" s="1"/>
  <c r="C269" i="7"/>
  <c r="G269" i="7" s="1"/>
  <c r="K269" i="7" s="1"/>
  <c r="J268" i="7"/>
  <c r="I268" i="7"/>
  <c r="F268" i="7"/>
  <c r="E268" i="7"/>
  <c r="D268" i="7"/>
  <c r="H268" i="7" s="1"/>
  <c r="C268" i="7"/>
  <c r="G268" i="7" s="1"/>
  <c r="J267" i="7"/>
  <c r="I267" i="7"/>
  <c r="F267" i="7"/>
  <c r="E267" i="7"/>
  <c r="D267" i="7"/>
  <c r="H267" i="7" s="1"/>
  <c r="C267" i="7"/>
  <c r="G267" i="7" s="1"/>
  <c r="K267" i="7" s="1"/>
  <c r="F246" i="7"/>
  <c r="D246" i="7"/>
  <c r="C246" i="7"/>
  <c r="F245" i="7"/>
  <c r="E245" i="7"/>
  <c r="D245" i="7"/>
  <c r="C245" i="7"/>
  <c r="F244" i="7"/>
  <c r="D244" i="7"/>
  <c r="C244" i="7"/>
  <c r="F243" i="7"/>
  <c r="E243" i="7"/>
  <c r="D243" i="7"/>
  <c r="C243" i="7"/>
  <c r="B225" i="7"/>
  <c r="B227" i="7" s="1"/>
  <c r="B226" i="7" s="1"/>
  <c r="B217" i="7"/>
  <c r="B219" i="7" s="1"/>
  <c r="B220" i="7" s="1"/>
  <c r="B213" i="7"/>
  <c r="B210" i="7"/>
  <c r="J190" i="7"/>
  <c r="I190" i="7"/>
  <c r="F190" i="7"/>
  <c r="E190" i="7"/>
  <c r="D190" i="7"/>
  <c r="H190" i="7" s="1"/>
  <c r="C190" i="7"/>
  <c r="G190" i="7" s="1"/>
  <c r="K190" i="7" s="1"/>
  <c r="J189" i="7"/>
  <c r="I189" i="7"/>
  <c r="F189" i="7"/>
  <c r="E189" i="7"/>
  <c r="D189" i="7"/>
  <c r="H189" i="7" s="1"/>
  <c r="C189" i="7"/>
  <c r="G189" i="7" s="1"/>
  <c r="J188" i="7"/>
  <c r="I188" i="7"/>
  <c r="F188" i="7"/>
  <c r="E188" i="7"/>
  <c r="D188" i="7"/>
  <c r="H188" i="7" s="1"/>
  <c r="C188" i="7"/>
  <c r="G188" i="7" s="1"/>
  <c r="K188" i="7" s="1"/>
  <c r="I180" i="7"/>
  <c r="L180" i="7" s="1"/>
  <c r="G180" i="7"/>
  <c r="F180" i="7"/>
  <c r="M180" i="7" s="1"/>
  <c r="E180" i="7"/>
  <c r="D180" i="7"/>
  <c r="C180" i="7"/>
  <c r="F165" i="7"/>
  <c r="D165" i="7"/>
  <c r="C165" i="7"/>
  <c r="F164" i="7"/>
  <c r="E164" i="7"/>
  <c r="D164" i="7"/>
  <c r="C164" i="7"/>
  <c r="E109" i="7"/>
  <c r="D109" i="7"/>
  <c r="H109" i="7" s="1"/>
  <c r="C109" i="7"/>
  <c r="G109" i="7" s="1"/>
  <c r="E108" i="7"/>
  <c r="D108" i="7"/>
  <c r="H108" i="7" s="1"/>
  <c r="C108" i="7"/>
  <c r="G108" i="7" s="1"/>
  <c r="F92" i="7"/>
  <c r="D92" i="7"/>
  <c r="C92" i="7"/>
  <c r="F91" i="7"/>
  <c r="D91" i="7"/>
  <c r="C91" i="7"/>
  <c r="F90" i="7"/>
  <c r="D90" i="7"/>
  <c r="C90" i="7"/>
  <c r="G89" i="7"/>
  <c r="F89" i="7"/>
  <c r="D89" i="7"/>
  <c r="C89" i="7"/>
  <c r="F88" i="7"/>
  <c r="D88" i="7"/>
  <c r="C88" i="7"/>
  <c r="F87" i="7"/>
  <c r="D87" i="7"/>
  <c r="C87" i="7"/>
  <c r="F86" i="7"/>
  <c r="D86" i="7"/>
  <c r="C86" i="7"/>
  <c r="F85" i="7"/>
  <c r="D85" i="7"/>
  <c r="C85" i="7"/>
  <c r="F84" i="7"/>
  <c r="D84" i="7"/>
  <c r="C84" i="7"/>
  <c r="E34" i="7"/>
  <c r="D34" i="7"/>
  <c r="H34" i="7" s="1"/>
  <c r="C34" i="7"/>
  <c r="G34" i="7" s="1"/>
  <c r="E33" i="7"/>
  <c r="D33" i="7"/>
  <c r="H33" i="7" s="1"/>
  <c r="C33" i="7"/>
  <c r="G33" i="7" s="1"/>
  <c r="K28" i="7"/>
  <c r="D28" i="7"/>
  <c r="C28" i="7"/>
  <c r="B21" i="7"/>
  <c r="E21" i="7" s="1"/>
  <c r="B19" i="7"/>
  <c r="F19" i="7" s="1"/>
  <c r="B18" i="7"/>
  <c r="F18" i="7" s="1"/>
  <c r="B17" i="7"/>
  <c r="C17" i="7" s="1"/>
  <c r="B16" i="7"/>
  <c r="C16" i="7" s="1"/>
  <c r="B15" i="7"/>
  <c r="C15" i="7" s="1"/>
  <c r="B14" i="7"/>
  <c r="D14" i="7" s="1"/>
  <c r="B13" i="7"/>
  <c r="C13" i="7" s="1"/>
  <c r="V12" i="7"/>
  <c r="B12" i="7"/>
  <c r="F12" i="7" s="1"/>
  <c r="V11" i="7"/>
  <c r="V10" i="7"/>
  <c r="V9" i="7"/>
  <c r="V8" i="7"/>
  <c r="V7" i="7"/>
  <c r="AG49" i="6"/>
  <c r="AE49" i="6"/>
  <c r="AE46" i="6"/>
  <c r="AD46" i="6"/>
  <c r="AE45" i="6"/>
  <c r="AD45" i="6"/>
  <c r="AE44" i="6"/>
  <c r="AD44" i="6"/>
  <c r="AE43" i="6"/>
  <c r="AD43" i="6"/>
  <c r="C42" i="6"/>
  <c r="AE42" i="6"/>
  <c r="AD42" i="6"/>
  <c r="G36" i="6"/>
  <c r="B36" i="6" s="1"/>
  <c r="AG35" i="6"/>
  <c r="AE35" i="6"/>
  <c r="AE32" i="6"/>
  <c r="AD32" i="6"/>
  <c r="AE31" i="6"/>
  <c r="AD31" i="6"/>
  <c r="AE30" i="6"/>
  <c r="AD30" i="6"/>
  <c r="AE29" i="6"/>
  <c r="AD29" i="6"/>
  <c r="B26" i="6"/>
  <c r="AE25" i="6"/>
  <c r="AD25" i="6"/>
  <c r="AE24" i="6"/>
  <c r="AD24" i="6"/>
  <c r="G91" i="7"/>
  <c r="AE23" i="6"/>
  <c r="AD23" i="6"/>
  <c r="G88" i="7"/>
  <c r="B19" i="6"/>
  <c r="AE19" i="6"/>
  <c r="AD19" i="6"/>
  <c r="AE18" i="6"/>
  <c r="AD18" i="6"/>
  <c r="AE17" i="6"/>
  <c r="AD17" i="6"/>
  <c r="Q16" i="6"/>
  <c r="G22" i="7" s="1"/>
  <c r="E22" i="7"/>
  <c r="AE15" i="6"/>
  <c r="AD15" i="6"/>
  <c r="AE10" i="6"/>
  <c r="AD10" i="6"/>
  <c r="AE9" i="6"/>
  <c r="AD9" i="6"/>
  <c r="AE8" i="6"/>
  <c r="B7" i="6"/>
  <c r="AE7" i="6"/>
  <c r="AD7" i="6"/>
  <c r="B6" i="6"/>
  <c r="B23" i="6" s="1"/>
  <c r="B4" i="6"/>
  <c r="O39" i="6" s="1"/>
  <c r="B778" i="5"/>
  <c r="B777" i="5" s="1"/>
  <c r="B776" i="5"/>
  <c r="B764" i="5"/>
  <c r="B761" i="5"/>
  <c r="B768" i="5" s="1"/>
  <c r="J750" i="5"/>
  <c r="I750" i="5"/>
  <c r="F750" i="5"/>
  <c r="E750" i="5"/>
  <c r="D750" i="5"/>
  <c r="H750" i="5" s="1"/>
  <c r="C750" i="5"/>
  <c r="G750" i="5" s="1"/>
  <c r="K750" i="5" s="1"/>
  <c r="J749" i="5"/>
  <c r="I749" i="5"/>
  <c r="F749" i="5"/>
  <c r="E749" i="5"/>
  <c r="D749" i="5"/>
  <c r="H749" i="5" s="1"/>
  <c r="C749" i="5"/>
  <c r="G749" i="5" s="1"/>
  <c r="J748" i="5"/>
  <c r="I748" i="5"/>
  <c r="F748" i="5"/>
  <c r="E748" i="5"/>
  <c r="D748" i="5"/>
  <c r="H748" i="5" s="1"/>
  <c r="C748" i="5"/>
  <c r="G748" i="5" s="1"/>
  <c r="K748" i="5" s="1"/>
  <c r="J747" i="5"/>
  <c r="I747" i="5"/>
  <c r="F747" i="5"/>
  <c r="E747" i="5"/>
  <c r="D747" i="5"/>
  <c r="H747" i="5" s="1"/>
  <c r="C747" i="5"/>
  <c r="G747" i="5" s="1"/>
  <c r="J746" i="5"/>
  <c r="I746" i="5"/>
  <c r="F746" i="5"/>
  <c r="E746" i="5"/>
  <c r="D746" i="5"/>
  <c r="H746" i="5" s="1"/>
  <c r="C746" i="5"/>
  <c r="G746" i="5" s="1"/>
  <c r="K746" i="5" s="1"/>
  <c r="J745" i="5"/>
  <c r="I745" i="5"/>
  <c r="F745" i="5"/>
  <c r="E745" i="5"/>
  <c r="D745" i="5"/>
  <c r="H745" i="5" s="1"/>
  <c r="C745" i="5"/>
  <c r="G745" i="5" s="1"/>
  <c r="J744" i="5"/>
  <c r="I744" i="5"/>
  <c r="F744" i="5"/>
  <c r="E744" i="5"/>
  <c r="D744" i="5"/>
  <c r="H744" i="5" s="1"/>
  <c r="C744" i="5"/>
  <c r="G744" i="5" s="1"/>
  <c r="K744" i="5" s="1"/>
  <c r="J743" i="5"/>
  <c r="I743" i="5"/>
  <c r="F743" i="5"/>
  <c r="E743" i="5"/>
  <c r="D743" i="5"/>
  <c r="H743" i="5" s="1"/>
  <c r="C743" i="5"/>
  <c r="G743" i="5" s="1"/>
  <c r="J742" i="5"/>
  <c r="I742" i="5"/>
  <c r="F742" i="5"/>
  <c r="E742" i="5"/>
  <c r="D742" i="5"/>
  <c r="H742" i="5" s="1"/>
  <c r="C742" i="5"/>
  <c r="G742" i="5" s="1"/>
  <c r="K742" i="5" s="1"/>
  <c r="J741" i="5"/>
  <c r="I741" i="5"/>
  <c r="H741" i="5"/>
  <c r="F741" i="5"/>
  <c r="E741" i="5"/>
  <c r="D741" i="5"/>
  <c r="C741" i="5"/>
  <c r="G741" i="5" s="1"/>
  <c r="K741" i="5" s="1"/>
  <c r="J740" i="5"/>
  <c r="I740" i="5"/>
  <c r="F740" i="5"/>
  <c r="E740" i="5"/>
  <c r="D740" i="5"/>
  <c r="H740" i="5" s="1"/>
  <c r="C740" i="5"/>
  <c r="G740" i="5" s="1"/>
  <c r="J739" i="5"/>
  <c r="B752" i="5" s="1"/>
  <c r="I739" i="5"/>
  <c r="F739" i="5"/>
  <c r="E739" i="5"/>
  <c r="D739" i="5"/>
  <c r="H739" i="5" s="1"/>
  <c r="C739" i="5"/>
  <c r="G739" i="5" s="1"/>
  <c r="K739" i="5" s="1"/>
  <c r="M731" i="5"/>
  <c r="G731" i="5"/>
  <c r="F731" i="5"/>
  <c r="E731" i="5"/>
  <c r="D731" i="5"/>
  <c r="C731" i="5"/>
  <c r="I731" i="5" s="1"/>
  <c r="L731" i="5" s="1"/>
  <c r="N731" i="5" s="1"/>
  <c r="H731" i="5" s="1"/>
  <c r="H717" i="5"/>
  <c r="G717" i="5"/>
  <c r="F717" i="5"/>
  <c r="E717" i="5"/>
  <c r="D717" i="5"/>
  <c r="C717" i="5"/>
  <c r="H716" i="5"/>
  <c r="G716" i="5"/>
  <c r="F716" i="5"/>
  <c r="E716" i="5"/>
  <c r="D716" i="5"/>
  <c r="C716" i="5"/>
  <c r="H715" i="5"/>
  <c r="G715" i="5"/>
  <c r="F715" i="5"/>
  <c r="E715" i="5"/>
  <c r="D715" i="5"/>
  <c r="C715" i="5"/>
  <c r="B697" i="5"/>
  <c r="B699" i="5" s="1"/>
  <c r="B698" i="5" s="1"/>
  <c r="B689" i="5"/>
  <c r="B685" i="5"/>
  <c r="B682" i="5"/>
  <c r="B673" i="5"/>
  <c r="J661" i="5"/>
  <c r="I661" i="5"/>
  <c r="H661" i="5"/>
  <c r="F661" i="5"/>
  <c r="E661" i="5"/>
  <c r="D661" i="5"/>
  <c r="C661" i="5"/>
  <c r="G661" i="5" s="1"/>
  <c r="K661" i="5" s="1"/>
  <c r="J660" i="5"/>
  <c r="I660" i="5"/>
  <c r="F660" i="5"/>
  <c r="E660" i="5"/>
  <c r="D660" i="5"/>
  <c r="H660" i="5" s="1"/>
  <c r="C660" i="5"/>
  <c r="G660" i="5" s="1"/>
  <c r="M652" i="5"/>
  <c r="G652" i="5"/>
  <c r="F652" i="5"/>
  <c r="E652" i="5"/>
  <c r="D652" i="5"/>
  <c r="C652" i="5"/>
  <c r="I652" i="5" s="1"/>
  <c r="L652" i="5" s="1"/>
  <c r="H637" i="5"/>
  <c r="G637" i="5"/>
  <c r="F637" i="5"/>
  <c r="E637" i="5"/>
  <c r="D637" i="5"/>
  <c r="C637" i="5"/>
  <c r="H636" i="5"/>
  <c r="G636" i="5"/>
  <c r="F636" i="5"/>
  <c r="E636" i="5"/>
  <c r="D636" i="5"/>
  <c r="C636" i="5"/>
  <c r="B620" i="5"/>
  <c r="B619" i="5"/>
  <c r="B618" i="5"/>
  <c r="G610" i="5"/>
  <c r="B606" i="5"/>
  <c r="B607" i="5" s="1"/>
  <c r="B603" i="5"/>
  <c r="B610" i="5" s="1"/>
  <c r="B612" i="5" s="1"/>
  <c r="B613" i="5" s="1"/>
  <c r="J583" i="5"/>
  <c r="I583" i="5"/>
  <c r="F583" i="5"/>
  <c r="E583" i="5"/>
  <c r="D583" i="5"/>
  <c r="H583" i="5" s="1"/>
  <c r="C583" i="5"/>
  <c r="G583" i="5" s="1"/>
  <c r="K583" i="5" s="1"/>
  <c r="K582" i="5"/>
  <c r="J582" i="5"/>
  <c r="I582" i="5"/>
  <c r="F582" i="5"/>
  <c r="E582" i="5"/>
  <c r="D582" i="5"/>
  <c r="H582" i="5" s="1"/>
  <c r="C582" i="5"/>
  <c r="G582" i="5" s="1"/>
  <c r="J581" i="5"/>
  <c r="I581" i="5"/>
  <c r="F581" i="5"/>
  <c r="E581" i="5"/>
  <c r="D581" i="5"/>
  <c r="H581" i="5" s="1"/>
  <c r="C581" i="5"/>
  <c r="G581" i="5" s="1"/>
  <c r="G573" i="5"/>
  <c r="F573" i="5"/>
  <c r="M573" i="5" s="1"/>
  <c r="E573" i="5"/>
  <c r="D573" i="5"/>
  <c r="C573" i="5"/>
  <c r="I573" i="5" s="1"/>
  <c r="L573" i="5" s="1"/>
  <c r="H559" i="5"/>
  <c r="G559" i="5"/>
  <c r="F559" i="5"/>
  <c r="E559" i="5"/>
  <c r="D559" i="5"/>
  <c r="C559" i="5"/>
  <c r="H558" i="5"/>
  <c r="G558" i="5"/>
  <c r="F558" i="5"/>
  <c r="E558" i="5"/>
  <c r="D558" i="5"/>
  <c r="C558" i="5"/>
  <c r="H557" i="5"/>
  <c r="B594" i="5" s="1"/>
  <c r="G557" i="5"/>
  <c r="F557" i="5"/>
  <c r="E557" i="5"/>
  <c r="D557" i="5"/>
  <c r="C557" i="5"/>
  <c r="B541" i="5"/>
  <c r="B540" i="5" s="1"/>
  <c r="B539" i="5"/>
  <c r="B527" i="5"/>
  <c r="B528" i="5" s="1"/>
  <c r="B524" i="5"/>
  <c r="B531" i="5" s="1"/>
  <c r="G531" i="5" s="1"/>
  <c r="K504" i="5"/>
  <c r="J504" i="5"/>
  <c r="I504" i="5"/>
  <c r="F504" i="5"/>
  <c r="E504" i="5"/>
  <c r="D504" i="5"/>
  <c r="H504" i="5" s="1"/>
  <c r="C504" i="5"/>
  <c r="G504" i="5" s="1"/>
  <c r="J503" i="5"/>
  <c r="I503" i="5"/>
  <c r="F503" i="5"/>
  <c r="E503" i="5"/>
  <c r="D503" i="5"/>
  <c r="H503" i="5" s="1"/>
  <c r="C503" i="5"/>
  <c r="G503" i="5" s="1"/>
  <c r="J502" i="5"/>
  <c r="I502" i="5"/>
  <c r="F502" i="5"/>
  <c r="E502" i="5"/>
  <c r="D502" i="5"/>
  <c r="H502" i="5" s="1"/>
  <c r="C502" i="5"/>
  <c r="G502" i="5" s="1"/>
  <c r="K502" i="5" s="1"/>
  <c r="H483" i="5"/>
  <c r="G483" i="5"/>
  <c r="F483" i="5"/>
  <c r="E483" i="5"/>
  <c r="D483" i="5"/>
  <c r="C483" i="5"/>
  <c r="H482" i="5"/>
  <c r="G482" i="5"/>
  <c r="F482" i="5"/>
  <c r="E482" i="5"/>
  <c r="D482" i="5"/>
  <c r="C482" i="5"/>
  <c r="H481" i="5"/>
  <c r="G481" i="5"/>
  <c r="F481" i="5"/>
  <c r="E481" i="5"/>
  <c r="D481" i="5"/>
  <c r="C481" i="5"/>
  <c r="H480" i="5"/>
  <c r="G480" i="5"/>
  <c r="F480" i="5"/>
  <c r="E480" i="5"/>
  <c r="D480" i="5"/>
  <c r="C480" i="5"/>
  <c r="F479" i="5"/>
  <c r="D479" i="5"/>
  <c r="C479" i="5"/>
  <c r="F478" i="5"/>
  <c r="D478" i="5"/>
  <c r="C478" i="5"/>
  <c r="B461" i="5"/>
  <c r="B463" i="5" s="1"/>
  <c r="B462" i="5" s="1"/>
  <c r="B453" i="5"/>
  <c r="G453" i="5" s="1"/>
  <c r="B450" i="5"/>
  <c r="B449" i="5"/>
  <c r="B446" i="5"/>
  <c r="J428" i="5"/>
  <c r="I428" i="5"/>
  <c r="H428" i="5"/>
  <c r="F428" i="5"/>
  <c r="E428" i="5"/>
  <c r="D428" i="5"/>
  <c r="C428" i="5"/>
  <c r="G428" i="5" s="1"/>
  <c r="K428" i="5" s="1"/>
  <c r="J427" i="5"/>
  <c r="I427" i="5"/>
  <c r="F427" i="5"/>
  <c r="E427" i="5"/>
  <c r="D427" i="5"/>
  <c r="H427" i="5" s="1"/>
  <c r="C427" i="5"/>
  <c r="G427" i="5" s="1"/>
  <c r="J426" i="5"/>
  <c r="I426" i="5"/>
  <c r="F426" i="5"/>
  <c r="E426" i="5"/>
  <c r="D426" i="5"/>
  <c r="H426" i="5" s="1"/>
  <c r="C426" i="5"/>
  <c r="G426" i="5" s="1"/>
  <c r="K426" i="5" s="1"/>
  <c r="J425" i="5"/>
  <c r="I425" i="5"/>
  <c r="F425" i="5"/>
  <c r="E425" i="5"/>
  <c r="D425" i="5"/>
  <c r="H425" i="5" s="1"/>
  <c r="C425" i="5"/>
  <c r="G425" i="5" s="1"/>
  <c r="K425" i="5" s="1"/>
  <c r="J424" i="5"/>
  <c r="I424" i="5"/>
  <c r="F424" i="5"/>
  <c r="E424" i="5"/>
  <c r="D424" i="5"/>
  <c r="H424" i="5" s="1"/>
  <c r="C424" i="5"/>
  <c r="G424" i="5" s="1"/>
  <c r="F402" i="5"/>
  <c r="D402" i="5"/>
  <c r="C402" i="5"/>
  <c r="F401" i="5"/>
  <c r="D401" i="5"/>
  <c r="C401" i="5"/>
  <c r="F400" i="5"/>
  <c r="D400" i="5"/>
  <c r="C400" i="5"/>
  <c r="B383" i="5"/>
  <c r="B385" i="5" s="1"/>
  <c r="B384" i="5" s="1"/>
  <c r="B375" i="5"/>
  <c r="B371" i="5"/>
  <c r="B372" i="5" s="1"/>
  <c r="B368" i="5"/>
  <c r="J350" i="5"/>
  <c r="I350" i="5"/>
  <c r="F350" i="5"/>
  <c r="E350" i="5"/>
  <c r="D350" i="5"/>
  <c r="H350" i="5" s="1"/>
  <c r="C350" i="5"/>
  <c r="G350" i="5" s="1"/>
  <c r="K350" i="5" s="1"/>
  <c r="J349" i="5"/>
  <c r="I349" i="5"/>
  <c r="F349" i="5"/>
  <c r="E349" i="5"/>
  <c r="D349" i="5"/>
  <c r="H349" i="5" s="1"/>
  <c r="C349" i="5"/>
  <c r="G349" i="5" s="1"/>
  <c r="J348" i="5"/>
  <c r="I348" i="5"/>
  <c r="F348" i="5"/>
  <c r="E348" i="5"/>
  <c r="D348" i="5"/>
  <c r="H348" i="5" s="1"/>
  <c r="C348" i="5"/>
  <c r="G348" i="5" s="1"/>
  <c r="K348" i="5" s="1"/>
  <c r="J347" i="5"/>
  <c r="I347" i="5"/>
  <c r="F347" i="5"/>
  <c r="E347" i="5"/>
  <c r="D347" i="5"/>
  <c r="H347" i="5" s="1"/>
  <c r="C347" i="5"/>
  <c r="G347" i="5" s="1"/>
  <c r="J346" i="5"/>
  <c r="I346" i="5"/>
  <c r="F346" i="5"/>
  <c r="E346" i="5"/>
  <c r="D346" i="5"/>
  <c r="H346" i="5" s="1"/>
  <c r="C346" i="5"/>
  <c r="G346" i="5" s="1"/>
  <c r="K346" i="5" s="1"/>
  <c r="F325" i="5"/>
  <c r="D325" i="5"/>
  <c r="C325" i="5"/>
  <c r="F324" i="5"/>
  <c r="E324" i="5"/>
  <c r="D324" i="5"/>
  <c r="C324" i="5"/>
  <c r="F323" i="5"/>
  <c r="E323" i="5"/>
  <c r="D323" i="5"/>
  <c r="C323" i="5"/>
  <c r="F322" i="5"/>
  <c r="E322" i="5"/>
  <c r="D322" i="5"/>
  <c r="C322" i="5"/>
  <c r="B304" i="5"/>
  <c r="B306" i="5" s="1"/>
  <c r="B305" i="5" s="1"/>
  <c r="B296" i="5"/>
  <c r="G296" i="5" s="1"/>
  <c r="B292" i="5"/>
  <c r="B289" i="5"/>
  <c r="J270" i="5"/>
  <c r="I270" i="5"/>
  <c r="F270" i="5"/>
  <c r="E270" i="5"/>
  <c r="D270" i="5"/>
  <c r="H270" i="5" s="1"/>
  <c r="C270" i="5"/>
  <c r="G270" i="5" s="1"/>
  <c r="K270" i="5" s="1"/>
  <c r="J269" i="5"/>
  <c r="I269" i="5"/>
  <c r="F269" i="5"/>
  <c r="E269" i="5"/>
  <c r="D269" i="5"/>
  <c r="H269" i="5" s="1"/>
  <c r="C269" i="5"/>
  <c r="G269" i="5" s="1"/>
  <c r="J268" i="5"/>
  <c r="I268" i="5"/>
  <c r="F268" i="5"/>
  <c r="E268" i="5"/>
  <c r="D268" i="5"/>
  <c r="H268" i="5" s="1"/>
  <c r="C268" i="5"/>
  <c r="G268" i="5" s="1"/>
  <c r="K268" i="5" s="1"/>
  <c r="J267" i="5"/>
  <c r="I267" i="5"/>
  <c r="F267" i="5"/>
  <c r="E267" i="5"/>
  <c r="D267" i="5"/>
  <c r="H267" i="5" s="1"/>
  <c r="C267" i="5"/>
  <c r="G267" i="5" s="1"/>
  <c r="F246" i="5"/>
  <c r="D246" i="5"/>
  <c r="C246" i="5"/>
  <c r="F245" i="5"/>
  <c r="E245" i="5"/>
  <c r="D245" i="5"/>
  <c r="C245" i="5"/>
  <c r="F244" i="5"/>
  <c r="D244" i="5"/>
  <c r="C244" i="5"/>
  <c r="F243" i="5"/>
  <c r="E243" i="5"/>
  <c r="D243" i="5"/>
  <c r="C243" i="5"/>
  <c r="B225" i="5"/>
  <c r="B227" i="5" s="1"/>
  <c r="B226" i="5" s="1"/>
  <c r="B217" i="5"/>
  <c r="B219" i="5" s="1"/>
  <c r="B220" i="5" s="1"/>
  <c r="B213" i="5"/>
  <c r="B210" i="5"/>
  <c r="J190" i="5"/>
  <c r="I190" i="5"/>
  <c r="H190" i="5"/>
  <c r="F190" i="5"/>
  <c r="E190" i="5"/>
  <c r="D190" i="5"/>
  <c r="C190" i="5"/>
  <c r="G190" i="5" s="1"/>
  <c r="K190" i="5" s="1"/>
  <c r="J189" i="5"/>
  <c r="I189" i="5"/>
  <c r="F189" i="5"/>
  <c r="E189" i="5"/>
  <c r="D189" i="5"/>
  <c r="H189" i="5" s="1"/>
  <c r="C189" i="5"/>
  <c r="G189" i="5" s="1"/>
  <c r="J188" i="5"/>
  <c r="I188" i="5"/>
  <c r="F188" i="5"/>
  <c r="E188" i="5"/>
  <c r="D188" i="5"/>
  <c r="H188" i="5" s="1"/>
  <c r="C188" i="5"/>
  <c r="G188" i="5" s="1"/>
  <c r="M180" i="5"/>
  <c r="N180" i="5" s="1"/>
  <c r="H180" i="5" s="1"/>
  <c r="G180" i="5"/>
  <c r="F180" i="5"/>
  <c r="E180" i="5"/>
  <c r="D180" i="5"/>
  <c r="C180" i="5"/>
  <c r="I180" i="5" s="1"/>
  <c r="L180" i="5" s="1"/>
  <c r="F165" i="5"/>
  <c r="D165" i="5"/>
  <c r="C165" i="5"/>
  <c r="F164" i="5"/>
  <c r="E164" i="5"/>
  <c r="D164" i="5"/>
  <c r="C164" i="5"/>
  <c r="B147" i="5"/>
  <c r="B146" i="5"/>
  <c r="B145" i="5"/>
  <c r="B133" i="5"/>
  <c r="B130" i="5"/>
  <c r="B137" i="5" s="1"/>
  <c r="B139" i="5" s="1"/>
  <c r="B140" i="5" s="1"/>
  <c r="J112" i="5"/>
  <c r="I112" i="5"/>
  <c r="F112" i="5"/>
  <c r="E112" i="5"/>
  <c r="D112" i="5"/>
  <c r="H112" i="5" s="1"/>
  <c r="C112" i="5"/>
  <c r="G112" i="5" s="1"/>
  <c r="J111" i="5"/>
  <c r="I111" i="5"/>
  <c r="F111" i="5"/>
  <c r="E111" i="5"/>
  <c r="D111" i="5"/>
  <c r="H111" i="5" s="1"/>
  <c r="C111" i="5"/>
  <c r="G111" i="5" s="1"/>
  <c r="J110" i="5"/>
  <c r="I110" i="5"/>
  <c r="F110" i="5"/>
  <c r="E110" i="5"/>
  <c r="D110" i="5"/>
  <c r="H110" i="5" s="1"/>
  <c r="C110" i="5"/>
  <c r="G110" i="5" s="1"/>
  <c r="K110" i="5" s="1"/>
  <c r="J109" i="5"/>
  <c r="I109" i="5"/>
  <c r="H109" i="5"/>
  <c r="F109" i="5"/>
  <c r="E109" i="5"/>
  <c r="D109" i="5"/>
  <c r="C109" i="5"/>
  <c r="G109" i="5" s="1"/>
  <c r="K109" i="5" s="1"/>
  <c r="J108" i="5"/>
  <c r="I108" i="5"/>
  <c r="F108" i="5"/>
  <c r="E108" i="5"/>
  <c r="D108" i="5"/>
  <c r="H108" i="5" s="1"/>
  <c r="C108" i="5"/>
  <c r="G108" i="5" s="1"/>
  <c r="M100" i="5"/>
  <c r="G100" i="5"/>
  <c r="F100" i="5"/>
  <c r="E100" i="5"/>
  <c r="D100" i="5"/>
  <c r="C100" i="5"/>
  <c r="I100" i="5" s="1"/>
  <c r="L100" i="5" s="1"/>
  <c r="F86" i="5"/>
  <c r="D86" i="5"/>
  <c r="C86" i="5"/>
  <c r="F85" i="5"/>
  <c r="E85" i="5"/>
  <c r="D85" i="5"/>
  <c r="C85" i="5"/>
  <c r="F84" i="5"/>
  <c r="E84" i="5"/>
  <c r="D84" i="5"/>
  <c r="C84" i="5"/>
  <c r="B66" i="5"/>
  <c r="B68" i="5" s="1"/>
  <c r="B67" i="5" s="1"/>
  <c r="B55" i="5"/>
  <c r="B58" i="5" s="1"/>
  <c r="B51" i="5"/>
  <c r="D28" i="5"/>
  <c r="C28" i="5"/>
  <c r="B21" i="5"/>
  <c r="D19" i="5"/>
  <c r="C19" i="5"/>
  <c r="B19" i="5"/>
  <c r="F19" i="5" s="1"/>
  <c r="D18" i="5"/>
  <c r="C18" i="5"/>
  <c r="B18" i="5"/>
  <c r="F18" i="5" s="1"/>
  <c r="D17" i="5"/>
  <c r="C17" i="5"/>
  <c r="B17" i="5"/>
  <c r="E17" i="5" s="1"/>
  <c r="D16" i="5"/>
  <c r="C16" i="5"/>
  <c r="B16" i="5"/>
  <c r="D15" i="5"/>
  <c r="C15" i="5"/>
  <c r="B15" i="5"/>
  <c r="D14" i="5"/>
  <c r="C14" i="5"/>
  <c r="B14" i="5"/>
  <c r="D13" i="5"/>
  <c r="C13" i="5"/>
  <c r="B13" i="5"/>
  <c r="V12" i="5"/>
  <c r="D12" i="5"/>
  <c r="C12" i="5"/>
  <c r="B12" i="5"/>
  <c r="F12" i="5" s="1"/>
  <c r="V11" i="5"/>
  <c r="V10" i="5"/>
  <c r="V9" i="5"/>
  <c r="V8" i="5"/>
  <c r="V7" i="5"/>
  <c r="B778" i="4"/>
  <c r="B777" i="4"/>
  <c r="B776" i="4"/>
  <c r="G768" i="4"/>
  <c r="B764" i="4"/>
  <c r="B761" i="4"/>
  <c r="B768" i="4" s="1"/>
  <c r="B770" i="4" s="1"/>
  <c r="B771" i="4" s="1"/>
  <c r="J750" i="4"/>
  <c r="I750" i="4"/>
  <c r="F750" i="4"/>
  <c r="E750" i="4"/>
  <c r="D750" i="4"/>
  <c r="H750" i="4" s="1"/>
  <c r="C750" i="4"/>
  <c r="G750" i="4" s="1"/>
  <c r="J749" i="4"/>
  <c r="I749" i="4"/>
  <c r="F749" i="4"/>
  <c r="E749" i="4"/>
  <c r="D749" i="4"/>
  <c r="H749" i="4" s="1"/>
  <c r="C749" i="4"/>
  <c r="G749" i="4" s="1"/>
  <c r="J748" i="4"/>
  <c r="I748" i="4"/>
  <c r="F748" i="4"/>
  <c r="E748" i="4"/>
  <c r="D748" i="4"/>
  <c r="H748" i="4" s="1"/>
  <c r="C748" i="4"/>
  <c r="G748" i="4" s="1"/>
  <c r="K748" i="4" s="1"/>
  <c r="J747" i="4"/>
  <c r="I747" i="4"/>
  <c r="F747" i="4"/>
  <c r="E747" i="4"/>
  <c r="D747" i="4"/>
  <c r="H747" i="4" s="1"/>
  <c r="C747" i="4"/>
  <c r="G747" i="4" s="1"/>
  <c r="J746" i="4"/>
  <c r="I746" i="4"/>
  <c r="F746" i="4"/>
  <c r="E746" i="4"/>
  <c r="D746" i="4"/>
  <c r="H746" i="4" s="1"/>
  <c r="C746" i="4"/>
  <c r="G746" i="4" s="1"/>
  <c r="K746" i="4" s="1"/>
  <c r="J745" i="4"/>
  <c r="I745" i="4"/>
  <c r="F745" i="4"/>
  <c r="E745" i="4"/>
  <c r="D745" i="4"/>
  <c r="H745" i="4" s="1"/>
  <c r="C745" i="4"/>
  <c r="G745" i="4" s="1"/>
  <c r="J744" i="4"/>
  <c r="I744" i="4"/>
  <c r="F744" i="4"/>
  <c r="E744" i="4"/>
  <c r="D744" i="4"/>
  <c r="H744" i="4" s="1"/>
  <c r="C744" i="4"/>
  <c r="G744" i="4" s="1"/>
  <c r="K744" i="4" s="1"/>
  <c r="J743" i="4"/>
  <c r="I743" i="4"/>
  <c r="F743" i="4"/>
  <c r="E743" i="4"/>
  <c r="D743" i="4"/>
  <c r="H743" i="4" s="1"/>
  <c r="C743" i="4"/>
  <c r="G743" i="4" s="1"/>
  <c r="J742" i="4"/>
  <c r="I742" i="4"/>
  <c r="F742" i="4"/>
  <c r="E742" i="4"/>
  <c r="D742" i="4"/>
  <c r="H742" i="4" s="1"/>
  <c r="C742" i="4"/>
  <c r="G742" i="4" s="1"/>
  <c r="J741" i="4"/>
  <c r="I741" i="4"/>
  <c r="F741" i="4"/>
  <c r="E741" i="4"/>
  <c r="D741" i="4"/>
  <c r="H741" i="4" s="1"/>
  <c r="C741" i="4"/>
  <c r="G741" i="4" s="1"/>
  <c r="J740" i="4"/>
  <c r="I740" i="4"/>
  <c r="F740" i="4"/>
  <c r="E740" i="4"/>
  <c r="D740" i="4"/>
  <c r="H740" i="4" s="1"/>
  <c r="C740" i="4"/>
  <c r="G740" i="4" s="1"/>
  <c r="K740" i="4" s="1"/>
  <c r="J739" i="4"/>
  <c r="I739" i="4"/>
  <c r="H739" i="4"/>
  <c r="F739" i="4"/>
  <c r="E739" i="4"/>
  <c r="D739" i="4"/>
  <c r="C739" i="4"/>
  <c r="G739" i="4" s="1"/>
  <c r="K739" i="4" s="1"/>
  <c r="B752" i="4" s="1"/>
  <c r="B782" i="4" s="1"/>
  <c r="L731" i="4"/>
  <c r="G731" i="4"/>
  <c r="F731" i="4"/>
  <c r="M731" i="4" s="1"/>
  <c r="E731" i="4"/>
  <c r="D731" i="4"/>
  <c r="C731" i="4"/>
  <c r="I731" i="4" s="1"/>
  <c r="H717" i="4"/>
  <c r="G717" i="4"/>
  <c r="F717" i="4"/>
  <c r="E717" i="4"/>
  <c r="D717" i="4"/>
  <c r="C717" i="4"/>
  <c r="H716" i="4"/>
  <c r="G716" i="4"/>
  <c r="F716" i="4"/>
  <c r="E716" i="4"/>
  <c r="D716" i="4"/>
  <c r="C716" i="4"/>
  <c r="H715" i="4"/>
  <c r="G715" i="4"/>
  <c r="F715" i="4"/>
  <c r="E715" i="4"/>
  <c r="D715" i="4"/>
  <c r="C715" i="4"/>
  <c r="B699" i="4"/>
  <c r="B698" i="4" s="1"/>
  <c r="B697" i="4"/>
  <c r="B685" i="4"/>
  <c r="B682" i="4"/>
  <c r="B689" i="4" s="1"/>
  <c r="G689" i="4" s="1"/>
  <c r="J661" i="4"/>
  <c r="I661" i="4"/>
  <c r="F661" i="4"/>
  <c r="E661" i="4"/>
  <c r="D661" i="4"/>
  <c r="H661" i="4" s="1"/>
  <c r="C661" i="4"/>
  <c r="G661" i="4" s="1"/>
  <c r="K661" i="4" s="1"/>
  <c r="J660" i="4"/>
  <c r="I660" i="4"/>
  <c r="F660" i="4"/>
  <c r="E660" i="4"/>
  <c r="D660" i="4"/>
  <c r="H660" i="4" s="1"/>
  <c r="C660" i="4"/>
  <c r="G660" i="4" s="1"/>
  <c r="K660" i="4" s="1"/>
  <c r="I652" i="4"/>
  <c r="L652" i="4" s="1"/>
  <c r="G652" i="4"/>
  <c r="F652" i="4"/>
  <c r="M652" i="4" s="1"/>
  <c r="E652" i="4"/>
  <c r="D652" i="4"/>
  <c r="C652" i="4"/>
  <c r="H637" i="4"/>
  <c r="G637" i="4"/>
  <c r="F637" i="4"/>
  <c r="E637" i="4"/>
  <c r="D637" i="4"/>
  <c r="C637" i="4"/>
  <c r="H636" i="4"/>
  <c r="B673" i="4" s="1"/>
  <c r="G636" i="4"/>
  <c r="F636" i="4"/>
  <c r="E636" i="4"/>
  <c r="D636" i="4"/>
  <c r="C636" i="4"/>
  <c r="B618" i="4"/>
  <c r="B620" i="4" s="1"/>
  <c r="B619" i="4" s="1"/>
  <c r="B610" i="4"/>
  <c r="G610" i="4" s="1"/>
  <c r="B607" i="4"/>
  <c r="B606" i="4"/>
  <c r="B603" i="4"/>
  <c r="J583" i="4"/>
  <c r="I583" i="4"/>
  <c r="H583" i="4"/>
  <c r="F583" i="4"/>
  <c r="E583" i="4"/>
  <c r="D583" i="4"/>
  <c r="C583" i="4"/>
  <c r="G583" i="4" s="1"/>
  <c r="K583" i="4" s="1"/>
  <c r="J582" i="4"/>
  <c r="I582" i="4"/>
  <c r="F582" i="4"/>
  <c r="E582" i="4"/>
  <c r="D582" i="4"/>
  <c r="H582" i="4" s="1"/>
  <c r="C582" i="4"/>
  <c r="G582" i="4" s="1"/>
  <c r="J581" i="4"/>
  <c r="B594" i="4" s="1"/>
  <c r="I581" i="4"/>
  <c r="F581" i="4"/>
  <c r="E581" i="4"/>
  <c r="D581" i="4"/>
  <c r="H581" i="4" s="1"/>
  <c r="C581" i="4"/>
  <c r="G581" i="4" s="1"/>
  <c r="K581" i="4" s="1"/>
  <c r="M573" i="4"/>
  <c r="I573" i="4"/>
  <c r="L573" i="4" s="1"/>
  <c r="N573" i="4" s="1"/>
  <c r="H573" i="4" s="1"/>
  <c r="G573" i="4"/>
  <c r="F573" i="4"/>
  <c r="E573" i="4"/>
  <c r="D573" i="4"/>
  <c r="C573" i="4"/>
  <c r="H559" i="4"/>
  <c r="G559" i="4"/>
  <c r="F559" i="4"/>
  <c r="E559" i="4"/>
  <c r="D559" i="4"/>
  <c r="C559" i="4"/>
  <c r="H558" i="4"/>
  <c r="G558" i="4"/>
  <c r="F558" i="4"/>
  <c r="E558" i="4"/>
  <c r="D558" i="4"/>
  <c r="C558" i="4"/>
  <c r="H557" i="4"/>
  <c r="G557" i="4"/>
  <c r="F557" i="4"/>
  <c r="E557" i="4"/>
  <c r="D557" i="4"/>
  <c r="C557" i="4"/>
  <c r="B539" i="4"/>
  <c r="B541" i="4" s="1"/>
  <c r="B540" i="4" s="1"/>
  <c r="B531" i="4"/>
  <c r="B528" i="4"/>
  <c r="B527" i="4"/>
  <c r="B524" i="4"/>
  <c r="J504" i="4"/>
  <c r="I504" i="4"/>
  <c r="F504" i="4"/>
  <c r="E504" i="4"/>
  <c r="D504" i="4"/>
  <c r="H504" i="4" s="1"/>
  <c r="C504" i="4"/>
  <c r="G504" i="4" s="1"/>
  <c r="K504" i="4" s="1"/>
  <c r="J503" i="4"/>
  <c r="I503" i="4"/>
  <c r="F503" i="4"/>
  <c r="E503" i="4"/>
  <c r="D503" i="4"/>
  <c r="H503" i="4" s="1"/>
  <c r="C503" i="4"/>
  <c r="G503" i="4" s="1"/>
  <c r="J502" i="4"/>
  <c r="I502" i="4"/>
  <c r="F502" i="4"/>
  <c r="E502" i="4"/>
  <c r="D502" i="4"/>
  <c r="H502" i="4" s="1"/>
  <c r="C502" i="4"/>
  <c r="G502" i="4" s="1"/>
  <c r="K502" i="4" s="1"/>
  <c r="H483" i="4"/>
  <c r="G483" i="4"/>
  <c r="F483" i="4"/>
  <c r="E483" i="4"/>
  <c r="D483" i="4"/>
  <c r="C483" i="4"/>
  <c r="H482" i="4"/>
  <c r="G482" i="4"/>
  <c r="F482" i="4"/>
  <c r="E482" i="4"/>
  <c r="D482" i="4"/>
  <c r="C482" i="4"/>
  <c r="H481" i="4"/>
  <c r="G481" i="4"/>
  <c r="F481" i="4"/>
  <c r="E481" i="4"/>
  <c r="D481" i="4"/>
  <c r="C481" i="4"/>
  <c r="H480" i="4"/>
  <c r="G480" i="4"/>
  <c r="F480" i="4"/>
  <c r="E480" i="4"/>
  <c r="D480" i="4"/>
  <c r="C480" i="4"/>
  <c r="F479" i="4"/>
  <c r="E479" i="4"/>
  <c r="D479" i="4"/>
  <c r="C479" i="4"/>
  <c r="F478" i="4"/>
  <c r="D478" i="4"/>
  <c r="C478" i="4"/>
  <c r="B463" i="4"/>
  <c r="B462" i="4"/>
  <c r="B461" i="4"/>
  <c r="B449" i="4"/>
  <c r="B450" i="4" s="1"/>
  <c r="B446" i="4"/>
  <c r="B453" i="4" s="1"/>
  <c r="B455" i="4" s="1"/>
  <c r="B456" i="4" s="1"/>
  <c r="J428" i="4"/>
  <c r="I428" i="4"/>
  <c r="F428" i="4"/>
  <c r="E428" i="4"/>
  <c r="D428" i="4"/>
  <c r="H428" i="4" s="1"/>
  <c r="C428" i="4"/>
  <c r="G428" i="4" s="1"/>
  <c r="J427" i="4"/>
  <c r="I427" i="4"/>
  <c r="F427" i="4"/>
  <c r="E427" i="4"/>
  <c r="D427" i="4"/>
  <c r="H427" i="4" s="1"/>
  <c r="C427" i="4"/>
  <c r="G427" i="4" s="1"/>
  <c r="K427" i="4" s="1"/>
  <c r="J426" i="4"/>
  <c r="I426" i="4"/>
  <c r="F426" i="4"/>
  <c r="E426" i="4"/>
  <c r="D426" i="4"/>
  <c r="H426" i="4" s="1"/>
  <c r="C426" i="4"/>
  <c r="G426" i="4" s="1"/>
  <c r="J425" i="4"/>
  <c r="I425" i="4"/>
  <c r="F425" i="4"/>
  <c r="E425" i="4"/>
  <c r="D425" i="4"/>
  <c r="H425" i="4" s="1"/>
  <c r="C425" i="4"/>
  <c r="G425" i="4" s="1"/>
  <c r="K425" i="4" s="1"/>
  <c r="J424" i="4"/>
  <c r="I424" i="4"/>
  <c r="F424" i="4"/>
  <c r="E424" i="4"/>
  <c r="D424" i="4"/>
  <c r="H424" i="4" s="1"/>
  <c r="C424" i="4"/>
  <c r="G424" i="4" s="1"/>
  <c r="F402" i="4"/>
  <c r="D402" i="4"/>
  <c r="C402" i="4"/>
  <c r="F401" i="4"/>
  <c r="D401" i="4"/>
  <c r="C401" i="4"/>
  <c r="F400" i="4"/>
  <c r="D400" i="4"/>
  <c r="C400" i="4"/>
  <c r="B385" i="4"/>
  <c r="B384" i="4" s="1"/>
  <c r="B383" i="4"/>
  <c r="B377" i="4"/>
  <c r="B378" i="4" s="1"/>
  <c r="B371" i="4"/>
  <c r="B372" i="4" s="1"/>
  <c r="B368" i="4"/>
  <c r="B375" i="4" s="1"/>
  <c r="G375" i="4" s="1"/>
  <c r="J350" i="4"/>
  <c r="I350" i="4"/>
  <c r="F350" i="4"/>
  <c r="E350" i="4"/>
  <c r="D350" i="4"/>
  <c r="H350" i="4" s="1"/>
  <c r="C350" i="4"/>
  <c r="G350" i="4" s="1"/>
  <c r="K350" i="4" s="1"/>
  <c r="J349" i="4"/>
  <c r="I349" i="4"/>
  <c r="H349" i="4"/>
  <c r="F349" i="4"/>
  <c r="E349" i="4"/>
  <c r="D349" i="4"/>
  <c r="C349" i="4"/>
  <c r="G349" i="4" s="1"/>
  <c r="K349" i="4" s="1"/>
  <c r="J348" i="4"/>
  <c r="I348" i="4"/>
  <c r="F348" i="4"/>
  <c r="E348" i="4"/>
  <c r="D348" i="4"/>
  <c r="H348" i="4" s="1"/>
  <c r="C348" i="4"/>
  <c r="G348" i="4" s="1"/>
  <c r="J347" i="4"/>
  <c r="I347" i="4"/>
  <c r="F347" i="4"/>
  <c r="E347" i="4"/>
  <c r="D347" i="4"/>
  <c r="H347" i="4" s="1"/>
  <c r="C347" i="4"/>
  <c r="G347" i="4" s="1"/>
  <c r="K347" i="4" s="1"/>
  <c r="J346" i="4"/>
  <c r="I346" i="4"/>
  <c r="F346" i="4"/>
  <c r="E346" i="4"/>
  <c r="D346" i="4"/>
  <c r="H346" i="4" s="1"/>
  <c r="C346" i="4"/>
  <c r="G346" i="4" s="1"/>
  <c r="K346" i="4" s="1"/>
  <c r="F325" i="4"/>
  <c r="D325" i="4"/>
  <c r="C325" i="4"/>
  <c r="F324" i="4"/>
  <c r="E324" i="4"/>
  <c r="D324" i="4"/>
  <c r="C324" i="4"/>
  <c r="F323" i="4"/>
  <c r="E323" i="4"/>
  <c r="D323" i="4"/>
  <c r="C323" i="4"/>
  <c r="F322" i="4"/>
  <c r="E322" i="4"/>
  <c r="D322" i="4"/>
  <c r="C322" i="4"/>
  <c r="B306" i="4"/>
  <c r="B305" i="4"/>
  <c r="B304" i="4"/>
  <c r="B292" i="4"/>
  <c r="B289" i="4"/>
  <c r="B296" i="4" s="1"/>
  <c r="B298" i="4" s="1"/>
  <c r="B299" i="4" s="1"/>
  <c r="J270" i="4"/>
  <c r="I270" i="4"/>
  <c r="F270" i="4"/>
  <c r="E270" i="4"/>
  <c r="D270" i="4"/>
  <c r="H270" i="4" s="1"/>
  <c r="C270" i="4"/>
  <c r="G270" i="4" s="1"/>
  <c r="K270" i="4" s="1"/>
  <c r="J269" i="4"/>
  <c r="I269" i="4"/>
  <c r="F269" i="4"/>
  <c r="E269" i="4"/>
  <c r="D269" i="4"/>
  <c r="H269" i="4" s="1"/>
  <c r="C269" i="4"/>
  <c r="G269" i="4" s="1"/>
  <c r="J268" i="4"/>
  <c r="I268" i="4"/>
  <c r="F268" i="4"/>
  <c r="E268" i="4"/>
  <c r="D268" i="4"/>
  <c r="H268" i="4" s="1"/>
  <c r="C268" i="4"/>
  <c r="G268" i="4" s="1"/>
  <c r="K268" i="4" s="1"/>
  <c r="J267" i="4"/>
  <c r="I267" i="4"/>
  <c r="H267" i="4"/>
  <c r="F267" i="4"/>
  <c r="E267" i="4"/>
  <c r="D267" i="4"/>
  <c r="C267" i="4"/>
  <c r="G267" i="4" s="1"/>
  <c r="K267" i="4" s="1"/>
  <c r="F246" i="4"/>
  <c r="D246" i="4"/>
  <c r="C246" i="4"/>
  <c r="F245" i="4"/>
  <c r="E245" i="4"/>
  <c r="D245" i="4"/>
  <c r="C245" i="4"/>
  <c r="F244" i="4"/>
  <c r="D244" i="4"/>
  <c r="C244" i="4"/>
  <c r="F243" i="4"/>
  <c r="E243" i="4"/>
  <c r="D243" i="4"/>
  <c r="C243" i="4"/>
  <c r="B227" i="4"/>
  <c r="B226" i="4" s="1"/>
  <c r="B225" i="4"/>
  <c r="B213" i="4"/>
  <c r="B210" i="4"/>
  <c r="B217" i="4" s="1"/>
  <c r="J190" i="4"/>
  <c r="I190" i="4"/>
  <c r="F190" i="4"/>
  <c r="E190" i="4"/>
  <c r="D190" i="4"/>
  <c r="H190" i="4" s="1"/>
  <c r="C190" i="4"/>
  <c r="G190" i="4" s="1"/>
  <c r="K190" i="4" s="1"/>
  <c r="J189" i="4"/>
  <c r="I189" i="4"/>
  <c r="F189" i="4"/>
  <c r="E189" i="4"/>
  <c r="D189" i="4"/>
  <c r="H189" i="4" s="1"/>
  <c r="C189" i="4"/>
  <c r="G189" i="4" s="1"/>
  <c r="K189" i="4" s="1"/>
  <c r="J188" i="4"/>
  <c r="I188" i="4"/>
  <c r="F188" i="4"/>
  <c r="E188" i="4"/>
  <c r="D188" i="4"/>
  <c r="H188" i="4" s="1"/>
  <c r="C188" i="4"/>
  <c r="G188" i="4" s="1"/>
  <c r="G180" i="4"/>
  <c r="F180" i="4"/>
  <c r="M180" i="4" s="1"/>
  <c r="E180" i="4"/>
  <c r="D180" i="4"/>
  <c r="C180" i="4"/>
  <c r="I180" i="4" s="1"/>
  <c r="L180" i="4" s="1"/>
  <c r="F165" i="4"/>
  <c r="D165" i="4"/>
  <c r="C165" i="4"/>
  <c r="F164" i="4"/>
  <c r="E164" i="4"/>
  <c r="D164" i="4"/>
  <c r="C164" i="4"/>
  <c r="B145" i="4"/>
  <c r="B147" i="4" s="1"/>
  <c r="B146" i="4" s="1"/>
  <c r="B137" i="4"/>
  <c r="B133" i="4"/>
  <c r="B130" i="4"/>
  <c r="J112" i="4"/>
  <c r="I112" i="4"/>
  <c r="F112" i="4"/>
  <c r="E112" i="4"/>
  <c r="D112" i="4"/>
  <c r="H112" i="4" s="1"/>
  <c r="C112" i="4"/>
  <c r="G112" i="4" s="1"/>
  <c r="J111" i="4"/>
  <c r="I111" i="4"/>
  <c r="F111" i="4"/>
  <c r="E111" i="4"/>
  <c r="D111" i="4"/>
  <c r="H111" i="4" s="1"/>
  <c r="C111" i="4"/>
  <c r="G111" i="4" s="1"/>
  <c r="K111" i="4" s="1"/>
  <c r="J110" i="4"/>
  <c r="I110" i="4"/>
  <c r="F110" i="4"/>
  <c r="E110" i="4"/>
  <c r="D110" i="4"/>
  <c r="H110" i="4" s="1"/>
  <c r="C110" i="4"/>
  <c r="G110" i="4" s="1"/>
  <c r="J109" i="4"/>
  <c r="I109" i="4"/>
  <c r="F109" i="4"/>
  <c r="E109" i="4"/>
  <c r="D109" i="4"/>
  <c r="H109" i="4" s="1"/>
  <c r="C109" i="4"/>
  <c r="G109" i="4" s="1"/>
  <c r="K109" i="4" s="1"/>
  <c r="J108" i="4"/>
  <c r="I108" i="4"/>
  <c r="H108" i="4"/>
  <c r="F108" i="4"/>
  <c r="E108" i="4"/>
  <c r="D108" i="4"/>
  <c r="C108" i="4"/>
  <c r="G108" i="4" s="1"/>
  <c r="K108" i="4" s="1"/>
  <c r="L100" i="4"/>
  <c r="G100" i="4"/>
  <c r="F100" i="4"/>
  <c r="M100" i="4" s="1"/>
  <c r="E100" i="4"/>
  <c r="D100" i="4"/>
  <c r="C100" i="4"/>
  <c r="I100" i="4" s="1"/>
  <c r="F86" i="4"/>
  <c r="D86" i="4"/>
  <c r="C86" i="4"/>
  <c r="F85" i="4"/>
  <c r="E85" i="4"/>
  <c r="D85" i="4"/>
  <c r="C85" i="4"/>
  <c r="F84" i="4"/>
  <c r="E84" i="4"/>
  <c r="D84" i="4"/>
  <c r="C84" i="4"/>
  <c r="B68" i="4"/>
  <c r="B67" i="4" s="1"/>
  <c r="F55" i="4"/>
  <c r="B51" i="4"/>
  <c r="L28" i="4"/>
  <c r="E28" i="4"/>
  <c r="D28" i="4"/>
  <c r="C28" i="4"/>
  <c r="F21" i="4"/>
  <c r="C21" i="4"/>
  <c r="B21" i="4"/>
  <c r="E19" i="4"/>
  <c r="B19" i="4"/>
  <c r="E18" i="4"/>
  <c r="B18" i="4"/>
  <c r="E17" i="4"/>
  <c r="D17" i="4"/>
  <c r="C17" i="4"/>
  <c r="B17" i="4"/>
  <c r="F17" i="4" s="1"/>
  <c r="E16" i="4"/>
  <c r="D16" i="4"/>
  <c r="C16" i="4"/>
  <c r="B16" i="4"/>
  <c r="F16" i="4" s="1"/>
  <c r="D15" i="4"/>
  <c r="C15" i="4"/>
  <c r="B15" i="4"/>
  <c r="F15" i="4" s="1"/>
  <c r="E14" i="4"/>
  <c r="D14" i="4"/>
  <c r="C14" i="4"/>
  <c r="B14" i="4"/>
  <c r="F14" i="4" s="1"/>
  <c r="D13" i="4"/>
  <c r="C13" i="4"/>
  <c r="B13" i="4"/>
  <c r="F13" i="4" s="1"/>
  <c r="V12" i="4"/>
  <c r="D12" i="4"/>
  <c r="B12" i="4"/>
  <c r="V11" i="4"/>
  <c r="V10" i="4"/>
  <c r="V9" i="4"/>
  <c r="V8" i="4"/>
  <c r="V7" i="4"/>
  <c r="B32" i="3"/>
  <c r="B31" i="3"/>
  <c r="B30" i="3"/>
  <c r="B29" i="3"/>
  <c r="B28" i="3"/>
  <c r="B27" i="3"/>
  <c r="B26" i="3"/>
  <c r="AF49" i="2"/>
  <c r="AD49" i="2"/>
  <c r="AD46" i="2"/>
  <c r="AC46" i="2"/>
  <c r="AD45" i="2"/>
  <c r="AC45" i="2"/>
  <c r="AD44" i="2"/>
  <c r="AC44" i="2"/>
  <c r="AD43" i="2"/>
  <c r="AC43" i="2"/>
  <c r="AD42" i="2"/>
  <c r="AC42" i="2"/>
  <c r="AF40" i="2"/>
  <c r="Z40" i="2"/>
  <c r="B36" i="2"/>
  <c r="AF35" i="2"/>
  <c r="T21" i="2" s="1"/>
  <c r="AD35" i="2"/>
  <c r="AD32" i="2"/>
  <c r="AC32" i="2"/>
  <c r="AD31" i="2"/>
  <c r="AC31" i="2"/>
  <c r="AD30" i="2"/>
  <c r="AD27" i="2" s="1"/>
  <c r="R26" i="2" s="1"/>
  <c r="S26" i="2" s="1"/>
  <c r="AC30" i="2"/>
  <c r="AD29" i="2"/>
  <c r="AF27" i="2" s="1"/>
  <c r="T26" i="2" s="1"/>
  <c r="AC29" i="2"/>
  <c r="N28" i="2"/>
  <c r="Z27" i="2"/>
  <c r="P26" i="2" s="1"/>
  <c r="N27" i="2"/>
  <c r="N26" i="2"/>
  <c r="E401" i="4" s="1"/>
  <c r="AD25" i="2"/>
  <c r="AC25" i="2"/>
  <c r="Z21" i="2" s="1"/>
  <c r="N25" i="2"/>
  <c r="AD24" i="2"/>
  <c r="AF21" i="2" s="1"/>
  <c r="T28" i="2" s="1"/>
  <c r="AC24" i="2"/>
  <c r="R24" i="2"/>
  <c r="S24" i="2" s="1"/>
  <c r="Q24" i="2"/>
  <c r="P24" i="2"/>
  <c r="N24" i="2"/>
  <c r="B24" i="2"/>
  <c r="B39" i="3" s="1"/>
  <c r="AD23" i="2"/>
  <c r="AC23" i="2"/>
  <c r="T23" i="2"/>
  <c r="S23" i="2"/>
  <c r="R23" i="2"/>
  <c r="P23" i="2"/>
  <c r="G324" i="4" s="1"/>
  <c r="T22" i="2"/>
  <c r="R22" i="2"/>
  <c r="S22" i="2" s="1"/>
  <c r="Q22" i="2"/>
  <c r="P22" i="2"/>
  <c r="AD21" i="2"/>
  <c r="R28" i="2" s="1"/>
  <c r="S28" i="2" s="1"/>
  <c r="R21" i="2"/>
  <c r="S21" i="2" s="1"/>
  <c r="Q21" i="2"/>
  <c r="P21" i="2"/>
  <c r="N20" i="2"/>
  <c r="AD19" i="2"/>
  <c r="AC19" i="2"/>
  <c r="B19" i="2"/>
  <c r="AD18" i="2"/>
  <c r="AD14" i="2" s="1"/>
  <c r="AC18" i="2"/>
  <c r="Z14" i="2" s="1"/>
  <c r="N18" i="2"/>
  <c r="B18" i="2"/>
  <c r="G37" i="2" s="1"/>
  <c r="B37" i="2" s="1"/>
  <c r="AD17" i="2"/>
  <c r="AC17" i="2"/>
  <c r="R16" i="2"/>
  <c r="S16" i="2" s="1"/>
  <c r="Q16" i="2"/>
  <c r="P16" i="2"/>
  <c r="N16" i="2"/>
  <c r="T14" i="2"/>
  <c r="P14" i="2"/>
  <c r="N14" i="2"/>
  <c r="E86" i="4" s="1"/>
  <c r="T13" i="2"/>
  <c r="S13" i="2"/>
  <c r="R13" i="2"/>
  <c r="P13" i="2"/>
  <c r="G85" i="4" s="1"/>
  <c r="H13" i="2"/>
  <c r="T12" i="2"/>
  <c r="S12" i="2"/>
  <c r="R12" i="2"/>
  <c r="P12" i="2"/>
  <c r="H12" i="2"/>
  <c r="AD11" i="2"/>
  <c r="AC11" i="2"/>
  <c r="T11" i="2"/>
  <c r="S11" i="2"/>
  <c r="R11" i="2"/>
  <c r="P11" i="2"/>
  <c r="G17" i="4" s="1"/>
  <c r="H11" i="2"/>
  <c r="AD10" i="2"/>
  <c r="AC10" i="2"/>
  <c r="T10" i="2"/>
  <c r="R10" i="2"/>
  <c r="S10" i="2" s="1"/>
  <c r="Q10" i="2"/>
  <c r="H16" i="4" s="1"/>
  <c r="P10" i="2"/>
  <c r="G16" i="4" s="1"/>
  <c r="H10" i="2"/>
  <c r="AD9" i="2"/>
  <c r="AD5" i="2" s="1"/>
  <c r="R15" i="2" s="1"/>
  <c r="S15" i="2" s="1"/>
  <c r="AC9" i="2"/>
  <c r="Z5" i="2" s="1"/>
  <c r="N9" i="2"/>
  <c r="H9" i="2"/>
  <c r="B9" i="2"/>
  <c r="G36" i="2" s="1"/>
  <c r="AD8" i="2"/>
  <c r="N8" i="2"/>
  <c r="R8" i="2" s="1"/>
  <c r="S8" i="2" s="1"/>
  <c r="H8" i="2"/>
  <c r="B8" i="2"/>
  <c r="G35" i="2" s="1"/>
  <c r="B54" i="4" s="1"/>
  <c r="AD7" i="2"/>
  <c r="AC7" i="2"/>
  <c r="N7" i="2"/>
  <c r="E13" i="4" s="1"/>
  <c r="H7" i="2"/>
  <c r="B7" i="2"/>
  <c r="B44" i="3" s="1"/>
  <c r="AO6" i="2"/>
  <c r="N6" i="2"/>
  <c r="AF5" i="2"/>
  <c r="T15" i="2" s="1"/>
  <c r="B5" i="2"/>
  <c r="AF49" i="1"/>
  <c r="AD49" i="1"/>
  <c r="AD46" i="1"/>
  <c r="AC46" i="1"/>
  <c r="AD45" i="1"/>
  <c r="AC45" i="1"/>
  <c r="AD44" i="1"/>
  <c r="AC44" i="1"/>
  <c r="AD43" i="1"/>
  <c r="AC43" i="1"/>
  <c r="AD42" i="1"/>
  <c r="AD40" i="1" s="1"/>
  <c r="AC42" i="1"/>
  <c r="Z40" i="1" s="1"/>
  <c r="P14" i="1" s="1"/>
  <c r="AF40" i="1"/>
  <c r="N39" i="1"/>
  <c r="G37" i="1"/>
  <c r="B37" i="1" s="1"/>
  <c r="AF35" i="1"/>
  <c r="T21" i="1" s="1"/>
  <c r="AD35" i="1"/>
  <c r="AD32" i="1"/>
  <c r="AC32" i="1"/>
  <c r="AD31" i="1"/>
  <c r="AD27" i="1" s="1"/>
  <c r="AC31" i="1"/>
  <c r="AD30" i="1"/>
  <c r="AC30" i="1"/>
  <c r="Z27" i="1" s="1"/>
  <c r="P26" i="1" s="1"/>
  <c r="AD29" i="1"/>
  <c r="AC29" i="1"/>
  <c r="AF27" i="1"/>
  <c r="N26" i="1"/>
  <c r="AD25" i="1"/>
  <c r="AC25" i="1"/>
  <c r="Z21" i="1" s="1"/>
  <c r="AD24" i="1"/>
  <c r="AC24" i="1"/>
  <c r="R24" i="1"/>
  <c r="S24" i="1" s="1"/>
  <c r="Q24" i="1"/>
  <c r="P24" i="1"/>
  <c r="N24" i="1"/>
  <c r="T24" i="1" s="1"/>
  <c r="B24" i="1"/>
  <c r="B25" i="1" s="1"/>
  <c r="AD23" i="1"/>
  <c r="AF21" i="1" s="1"/>
  <c r="T28" i="1" s="1"/>
  <c r="AC23" i="1"/>
  <c r="T23" i="1"/>
  <c r="S23" i="1"/>
  <c r="R23" i="1"/>
  <c r="P23" i="1"/>
  <c r="Q23" i="1" s="1"/>
  <c r="F23" i="1"/>
  <c r="T22" i="1"/>
  <c r="R22" i="1"/>
  <c r="S22" i="1" s="1"/>
  <c r="Q22" i="1"/>
  <c r="P22" i="1"/>
  <c r="AD21" i="1"/>
  <c r="R28" i="1" s="1"/>
  <c r="S28" i="1" s="1"/>
  <c r="R21" i="1"/>
  <c r="S21" i="1" s="1"/>
  <c r="Q21" i="1"/>
  <c r="P21" i="1"/>
  <c r="T20" i="1"/>
  <c r="B20" i="1"/>
  <c r="AD19" i="1"/>
  <c r="AC19" i="1"/>
  <c r="T19" i="1"/>
  <c r="F19" i="1"/>
  <c r="AD18" i="1"/>
  <c r="AC18" i="1"/>
  <c r="T18" i="1"/>
  <c r="AD17" i="1"/>
  <c r="AC17" i="1"/>
  <c r="T17" i="1"/>
  <c r="F17" i="1"/>
  <c r="P16" i="1"/>
  <c r="N16" i="1"/>
  <c r="T16" i="1" s="1"/>
  <c r="N15" i="1"/>
  <c r="R15" i="1" s="1"/>
  <c r="S15" i="1" s="1"/>
  <c r="AF14" i="1"/>
  <c r="AD14" i="1"/>
  <c r="R20" i="1" s="1"/>
  <c r="S20" i="1" s="1"/>
  <c r="Z14" i="1"/>
  <c r="P6" i="1" s="1"/>
  <c r="N14" i="1"/>
  <c r="T14" i="1" s="1"/>
  <c r="P42" i="1" s="1"/>
  <c r="H14" i="1"/>
  <c r="F14" i="1"/>
  <c r="T13" i="1"/>
  <c r="R13" i="1"/>
  <c r="S13" i="1" s="1"/>
  <c r="Q13" i="1"/>
  <c r="H19" i="5" s="1"/>
  <c r="P13" i="1"/>
  <c r="G19" i="5" s="1"/>
  <c r="N13" i="1"/>
  <c r="E19" i="5" s="1"/>
  <c r="H13" i="1"/>
  <c r="F13" i="1"/>
  <c r="T12" i="1"/>
  <c r="R12" i="1"/>
  <c r="S12" i="1" s="1"/>
  <c r="Q12" i="1"/>
  <c r="H18" i="5" s="1"/>
  <c r="P12" i="1"/>
  <c r="G18" i="5" s="1"/>
  <c r="N12" i="1"/>
  <c r="E18" i="5" s="1"/>
  <c r="AD11" i="1"/>
  <c r="AC11" i="1"/>
  <c r="T11" i="1"/>
  <c r="R11" i="1"/>
  <c r="S11" i="1" s="1"/>
  <c r="Q11" i="1"/>
  <c r="H17" i="5" s="1"/>
  <c r="P11" i="1"/>
  <c r="G17" i="5" s="1"/>
  <c r="H11" i="1"/>
  <c r="F11" i="1"/>
  <c r="AD10" i="1"/>
  <c r="AC10" i="1"/>
  <c r="P10" i="1"/>
  <c r="Q10" i="1" s="1"/>
  <c r="N10" i="1"/>
  <c r="T10" i="1" s="1"/>
  <c r="F10" i="1"/>
  <c r="AD9" i="1"/>
  <c r="AC9" i="1"/>
  <c r="Z5" i="1" s="1"/>
  <c r="P9" i="1"/>
  <c r="G15" i="5" s="1"/>
  <c r="B9" i="1"/>
  <c r="F25" i="1" s="1"/>
  <c r="AD8" i="1"/>
  <c r="AD5" i="1" s="1"/>
  <c r="R25" i="1" s="1"/>
  <c r="S25" i="1" s="1"/>
  <c r="B8" i="1"/>
  <c r="G35" i="1" s="1"/>
  <c r="AD7" i="1"/>
  <c r="AC7" i="1"/>
  <c r="N7" i="1"/>
  <c r="T7" i="1" s="1"/>
  <c r="F7" i="1"/>
  <c r="N6" i="1"/>
  <c r="E12" i="5" s="1"/>
  <c r="AF5" i="1"/>
  <c r="T25" i="1" s="1"/>
  <c r="G5" i="1"/>
  <c r="F22" i="1" s="1"/>
  <c r="B7" i="10" l="1"/>
  <c r="B51" i="10" s="1"/>
  <c r="O14" i="6"/>
  <c r="C43" i="6"/>
  <c r="B66" i="14"/>
  <c r="B68" i="14" s="1"/>
  <c r="B67" i="14" s="1"/>
  <c r="G34" i="12"/>
  <c r="B54" i="14" s="1"/>
  <c r="B8" i="12"/>
  <c r="B34" i="12"/>
  <c r="B66" i="13"/>
  <c r="B68" i="13" s="1"/>
  <c r="B67" i="13" s="1"/>
  <c r="G34" i="11"/>
  <c r="B54" i="13" s="1"/>
  <c r="B34" i="11"/>
  <c r="B8" i="11"/>
  <c r="F108" i="14"/>
  <c r="F33" i="14"/>
  <c r="Q26" i="12"/>
  <c r="AO48" i="12"/>
  <c r="BX24" i="12"/>
  <c r="T26" i="12"/>
  <c r="R26" i="12"/>
  <c r="S26" i="12" s="1"/>
  <c r="F108" i="13"/>
  <c r="F33" i="13"/>
  <c r="AO48" i="11"/>
  <c r="R26" i="11"/>
  <c r="S26" i="11" s="1"/>
  <c r="T26" i="11"/>
  <c r="BX24" i="11"/>
  <c r="Q26" i="11"/>
  <c r="B18" i="3"/>
  <c r="B19" i="3"/>
  <c r="B20" i="3" s="1"/>
  <c r="R20" i="11"/>
  <c r="S20" i="11" s="1"/>
  <c r="T20" i="11"/>
  <c r="E87" i="13"/>
  <c r="Q20" i="11"/>
  <c r="H87" i="13" s="1"/>
  <c r="T8" i="11"/>
  <c r="E14" i="13"/>
  <c r="R8" i="11"/>
  <c r="S8" i="11" s="1"/>
  <c r="Q8" i="11"/>
  <c r="H14" i="13" s="1"/>
  <c r="T7" i="12"/>
  <c r="E13" i="14"/>
  <c r="R7" i="12"/>
  <c r="S7" i="12" s="1"/>
  <c r="Q7" i="12"/>
  <c r="H13" i="14" s="1"/>
  <c r="E85" i="13"/>
  <c r="R18" i="11"/>
  <c r="S18" i="11" s="1"/>
  <c r="T18" i="11"/>
  <c r="Q18" i="11"/>
  <c r="H85" i="13" s="1"/>
  <c r="E85" i="14"/>
  <c r="T18" i="12"/>
  <c r="R18" i="12"/>
  <c r="S18" i="12" s="1"/>
  <c r="Q18" i="12"/>
  <c r="H85" i="14" s="1"/>
  <c r="E15" i="14"/>
  <c r="T9" i="12"/>
  <c r="R9" i="12"/>
  <c r="S9" i="12" s="1"/>
  <c r="Q9" i="12"/>
  <c r="H15" i="14" s="1"/>
  <c r="AO23" i="11"/>
  <c r="DL22" i="11" s="1"/>
  <c r="R9" i="11"/>
  <c r="S9" i="11" s="1"/>
  <c r="T9" i="11"/>
  <c r="E15" i="13"/>
  <c r="Q9" i="11"/>
  <c r="H15" i="13" s="1"/>
  <c r="E12" i="13"/>
  <c r="T6" i="11"/>
  <c r="AO6" i="11"/>
  <c r="AO19" i="11"/>
  <c r="R6" i="11"/>
  <c r="BS19" i="11"/>
  <c r="BX20" i="11"/>
  <c r="BX21" i="11"/>
  <c r="B27" i="11"/>
  <c r="Q6" i="11"/>
  <c r="E14" i="14"/>
  <c r="T8" i="12"/>
  <c r="R8" i="12"/>
  <c r="S8" i="12" s="1"/>
  <c r="Q8" i="12"/>
  <c r="H14" i="14" s="1"/>
  <c r="E86" i="14"/>
  <c r="R19" i="12"/>
  <c r="S19" i="12" s="1"/>
  <c r="T19" i="12"/>
  <c r="Q19" i="12"/>
  <c r="H86" i="14" s="1"/>
  <c r="E87" i="14"/>
  <c r="R20" i="12"/>
  <c r="S20" i="12" s="1"/>
  <c r="T20" i="12"/>
  <c r="Q20" i="12"/>
  <c r="H87" i="14" s="1"/>
  <c r="T7" i="11"/>
  <c r="E13" i="13"/>
  <c r="R7" i="11"/>
  <c r="S7" i="11" s="1"/>
  <c r="Q7" i="11"/>
  <c r="H13" i="13" s="1"/>
  <c r="E86" i="13"/>
  <c r="T19" i="11"/>
  <c r="R19" i="11"/>
  <c r="S19" i="11" s="1"/>
  <c r="Q19" i="11"/>
  <c r="H86" i="13" s="1"/>
  <c r="E84" i="13"/>
  <c r="T17" i="11"/>
  <c r="R17" i="11"/>
  <c r="S17" i="11" s="1"/>
  <c r="Q17" i="11"/>
  <c r="H84" i="13" s="1"/>
  <c r="AO37" i="11"/>
  <c r="AO40" i="11"/>
  <c r="DL39" i="11" s="1"/>
  <c r="AO28" i="11"/>
  <c r="AO43" i="11"/>
  <c r="AO26" i="11"/>
  <c r="E84" i="14"/>
  <c r="AO37" i="12"/>
  <c r="T17" i="12"/>
  <c r="AO43" i="12"/>
  <c r="R17" i="12"/>
  <c r="S17" i="12" s="1"/>
  <c r="AO40" i="12"/>
  <c r="DL39" i="12" s="1"/>
  <c r="Q17" i="12"/>
  <c r="H84" i="14" s="1"/>
  <c r="AO28" i="12"/>
  <c r="T6" i="12"/>
  <c r="AO19" i="12"/>
  <c r="BX20" i="12"/>
  <c r="E12" i="14"/>
  <c r="BX21" i="12"/>
  <c r="BS19" i="12"/>
  <c r="BX19" i="12"/>
  <c r="AO23" i="12"/>
  <c r="DL22" i="12" s="1"/>
  <c r="R6" i="12"/>
  <c r="AO42" i="12"/>
  <c r="Q6" i="12"/>
  <c r="B27" i="12"/>
  <c r="AA21" i="6"/>
  <c r="Q28" i="6" s="1"/>
  <c r="I109" i="7" s="1"/>
  <c r="C20" i="10"/>
  <c r="C21" i="10" s="1"/>
  <c r="C52" i="10" s="1"/>
  <c r="B33" i="10"/>
  <c r="AE13" i="6"/>
  <c r="AE21" i="6"/>
  <c r="AA5" i="6"/>
  <c r="Q25" i="6" s="1"/>
  <c r="G17" i="7"/>
  <c r="AG13" i="6"/>
  <c r="AA13" i="6"/>
  <c r="Q6" i="6" s="1"/>
  <c r="AG5" i="6"/>
  <c r="U25" i="6" s="1"/>
  <c r="E87" i="7"/>
  <c r="E15" i="7"/>
  <c r="AG21" i="6"/>
  <c r="AA27" i="6"/>
  <c r="Q26" i="6" s="1"/>
  <c r="I108" i="7" s="1"/>
  <c r="C33" i="10"/>
  <c r="B20" i="10"/>
  <c r="B22" i="10" s="1"/>
  <c r="C19" i="7"/>
  <c r="D15" i="7"/>
  <c r="D16" i="7"/>
  <c r="D19" i="7"/>
  <c r="F108" i="7"/>
  <c r="G18" i="7"/>
  <c r="F18" i="6"/>
  <c r="C12" i="7"/>
  <c r="C14" i="7"/>
  <c r="D13" i="7"/>
  <c r="D17" i="7"/>
  <c r="E92" i="7"/>
  <c r="C18" i="7"/>
  <c r="D12" i="7"/>
  <c r="D18" i="7"/>
  <c r="AG27" i="6"/>
  <c r="U26" i="6" s="1"/>
  <c r="AE27" i="6"/>
  <c r="S26" i="6" s="1"/>
  <c r="R16" i="6"/>
  <c r="AA40" i="6"/>
  <c r="Q14" i="6" s="1"/>
  <c r="F28" i="7" s="1"/>
  <c r="M28" i="7" s="1"/>
  <c r="K108" i="7"/>
  <c r="R26" i="1"/>
  <c r="R14" i="1"/>
  <c r="S14" i="1" s="1"/>
  <c r="S16" i="6"/>
  <c r="T16" i="6" s="1"/>
  <c r="R16" i="1"/>
  <c r="S16" i="1" s="1"/>
  <c r="Q26" i="1"/>
  <c r="Q16" i="1"/>
  <c r="T26" i="1"/>
  <c r="U16" i="6"/>
  <c r="R6" i="1"/>
  <c r="S6" i="1" s="1"/>
  <c r="K33" i="7"/>
  <c r="K109" i="7"/>
  <c r="R17" i="2"/>
  <c r="S17" i="2" s="1"/>
  <c r="R19" i="2"/>
  <c r="S19" i="2" s="1"/>
  <c r="R9" i="2"/>
  <c r="S9" i="2" s="1"/>
  <c r="R6" i="2"/>
  <c r="S6" i="2" s="1"/>
  <c r="R18" i="2"/>
  <c r="S18" i="2" s="1"/>
  <c r="P28" i="1"/>
  <c r="Q28" i="1" s="1"/>
  <c r="P27" i="1"/>
  <c r="G217" i="7"/>
  <c r="G217" i="5"/>
  <c r="G12" i="5"/>
  <c r="Q6" i="1"/>
  <c r="S26" i="1"/>
  <c r="Q14" i="1"/>
  <c r="G28" i="5" s="1"/>
  <c r="F28" i="5"/>
  <c r="M28" i="5" s="1"/>
  <c r="P15" i="2"/>
  <c r="P25" i="2"/>
  <c r="B595" i="4"/>
  <c r="B625" i="4" s="1"/>
  <c r="W14" i="4" s="1"/>
  <c r="B624" i="4"/>
  <c r="B54" i="5"/>
  <c r="B35" i="1"/>
  <c r="P15" i="1"/>
  <c r="Q15" i="1" s="1"/>
  <c r="H21" i="5" s="1"/>
  <c r="P25" i="1"/>
  <c r="Q25" i="1" s="1"/>
  <c r="H16" i="5"/>
  <c r="N36" i="1"/>
  <c r="N42" i="1"/>
  <c r="P18" i="2"/>
  <c r="P9" i="2"/>
  <c r="P6" i="2"/>
  <c r="Q6" i="2" s="1"/>
  <c r="P17" i="2"/>
  <c r="P7" i="2"/>
  <c r="P20" i="2"/>
  <c r="P8" i="2"/>
  <c r="P19" i="2"/>
  <c r="P27" i="2"/>
  <c r="P28" i="2"/>
  <c r="G401" i="7"/>
  <c r="G401" i="5"/>
  <c r="G401" i="4"/>
  <c r="Q26" i="2"/>
  <c r="T15" i="1"/>
  <c r="P18" i="1"/>
  <c r="Q18" i="1" s="1"/>
  <c r="D10" i="3"/>
  <c r="B58" i="4"/>
  <c r="R7" i="1"/>
  <c r="S7" i="1" s="1"/>
  <c r="P8" i="1"/>
  <c r="N9" i="1"/>
  <c r="E15" i="5" s="1"/>
  <c r="R10" i="1"/>
  <c r="S10" i="1" s="1"/>
  <c r="F18" i="1"/>
  <c r="AN6" i="2"/>
  <c r="R7" i="2"/>
  <c r="S7" i="2" s="1"/>
  <c r="AF14" i="2"/>
  <c r="T6" i="2" s="1"/>
  <c r="H165" i="7"/>
  <c r="H165" i="5"/>
  <c r="E246" i="7"/>
  <c r="E246" i="5"/>
  <c r="E246" i="4"/>
  <c r="H322" i="7"/>
  <c r="H322" i="5"/>
  <c r="H322" i="4"/>
  <c r="G323" i="7"/>
  <c r="G323" i="4"/>
  <c r="H325" i="7"/>
  <c r="H325" i="5"/>
  <c r="H325" i="4"/>
  <c r="E400" i="7"/>
  <c r="E400" i="5"/>
  <c r="E400" i="4"/>
  <c r="T25" i="2"/>
  <c r="B27" i="2"/>
  <c r="D7" i="3"/>
  <c r="B42" i="3"/>
  <c r="G12" i="4"/>
  <c r="C12" i="4"/>
  <c r="H12" i="4"/>
  <c r="E15" i="4"/>
  <c r="G18" i="4"/>
  <c r="C18" i="4"/>
  <c r="D18" i="4"/>
  <c r="G19" i="4"/>
  <c r="C19" i="4"/>
  <c r="D19" i="4"/>
  <c r="K110" i="4"/>
  <c r="K112" i="4"/>
  <c r="H165" i="4"/>
  <c r="N180" i="4"/>
  <c r="H180" i="4" s="1"/>
  <c r="G217" i="4"/>
  <c r="K269" i="4"/>
  <c r="K424" i="4"/>
  <c r="K426" i="4"/>
  <c r="K741" i="4"/>
  <c r="K743" i="4"/>
  <c r="K750" i="4"/>
  <c r="E21" i="5"/>
  <c r="B60" i="5"/>
  <c r="G85" i="5"/>
  <c r="K111" i="5"/>
  <c r="K189" i="5"/>
  <c r="AE40" i="6"/>
  <c r="AG40" i="6"/>
  <c r="H13" i="6"/>
  <c r="O24" i="6" s="1"/>
  <c r="H12" i="6"/>
  <c r="O23" i="6" s="1"/>
  <c r="H10" i="6"/>
  <c r="O21" i="6" s="1"/>
  <c r="H8" i="6"/>
  <c r="O12" i="6" s="1"/>
  <c r="H9" i="6"/>
  <c r="O13" i="6" s="1"/>
  <c r="H7" i="6"/>
  <c r="O11" i="6" s="1"/>
  <c r="H6" i="6"/>
  <c r="O10" i="6" s="1"/>
  <c r="H11" i="6"/>
  <c r="O22" i="6" s="1"/>
  <c r="P17" i="1"/>
  <c r="Q17" i="1" s="1"/>
  <c r="P19" i="1"/>
  <c r="Q19" i="1" s="1"/>
  <c r="P20" i="1"/>
  <c r="Q20" i="1" s="1"/>
  <c r="B43" i="3"/>
  <c r="B703" i="4"/>
  <c r="B674" i="4"/>
  <c r="B704" i="4" s="1"/>
  <c r="W15" i="4" s="1"/>
  <c r="B674" i="5"/>
  <c r="B704" i="5" s="1"/>
  <c r="W15" i="5" s="1"/>
  <c r="B703" i="5"/>
  <c r="B674" i="7"/>
  <c r="B704" i="7" s="1"/>
  <c r="B703" i="7"/>
  <c r="B753" i="7"/>
  <c r="B783" i="7" s="1"/>
  <c r="B782" i="7"/>
  <c r="B40" i="3"/>
  <c r="B55" i="4"/>
  <c r="G86" i="5"/>
  <c r="F28" i="4"/>
  <c r="M28" i="4" s="1"/>
  <c r="N28" i="4" s="1"/>
  <c r="H28" i="4" s="1"/>
  <c r="G86" i="4"/>
  <c r="H323" i="7"/>
  <c r="H323" i="5"/>
  <c r="H323" i="4"/>
  <c r="P7" i="1"/>
  <c r="F8" i="1"/>
  <c r="F12" i="1"/>
  <c r="F21" i="1"/>
  <c r="G36" i="1"/>
  <c r="B36" i="1" s="1"/>
  <c r="T7" i="2"/>
  <c r="Q11" i="2"/>
  <c r="H17" i="4" s="1"/>
  <c r="G84" i="5"/>
  <c r="G84" i="4"/>
  <c r="Q13" i="2"/>
  <c r="Q14" i="2"/>
  <c r="E165" i="7"/>
  <c r="D21" i="3"/>
  <c r="E165" i="4"/>
  <c r="E244" i="7"/>
  <c r="E244" i="5"/>
  <c r="E244" i="4"/>
  <c r="G324" i="7"/>
  <c r="G324" i="5"/>
  <c r="E325" i="7"/>
  <c r="E325" i="5"/>
  <c r="B25" i="2"/>
  <c r="B35" i="2"/>
  <c r="G58" i="5" s="1"/>
  <c r="D4" i="3"/>
  <c r="D14" i="3"/>
  <c r="B45" i="3"/>
  <c r="E12" i="4"/>
  <c r="F18" i="4"/>
  <c r="F19" i="4"/>
  <c r="N100" i="4"/>
  <c r="H100" i="4" s="1"/>
  <c r="B139" i="4"/>
  <c r="B140" i="4" s="1"/>
  <c r="G137" i="4"/>
  <c r="B219" i="4"/>
  <c r="B220" i="4" s="1"/>
  <c r="B691" i="4"/>
  <c r="B692" i="4" s="1"/>
  <c r="N731" i="4"/>
  <c r="H731" i="4" s="1"/>
  <c r="K742" i="4"/>
  <c r="K749" i="4"/>
  <c r="B753" i="4"/>
  <c r="B783" i="4" s="1"/>
  <c r="W16" i="4" s="1"/>
  <c r="G16" i="5"/>
  <c r="N100" i="5"/>
  <c r="H100" i="5" s="1"/>
  <c r="K112" i="5"/>
  <c r="E165" i="5"/>
  <c r="K188" i="5"/>
  <c r="E402" i="7"/>
  <c r="E402" i="5"/>
  <c r="T27" i="2"/>
  <c r="E402" i="4"/>
  <c r="T6" i="1"/>
  <c r="N8" i="1"/>
  <c r="E14" i="5" s="1"/>
  <c r="F9" i="1"/>
  <c r="I28" i="5"/>
  <c r="L28" i="5" s="1"/>
  <c r="E28" i="5"/>
  <c r="R17" i="1"/>
  <c r="S17" i="1" s="1"/>
  <c r="R18" i="1"/>
  <c r="S18" i="1" s="1"/>
  <c r="R19" i="1"/>
  <c r="S19" i="1" s="1"/>
  <c r="Q12" i="2"/>
  <c r="H14" i="2"/>
  <c r="R14" i="2"/>
  <c r="S14" i="2" s="1"/>
  <c r="G165" i="7"/>
  <c r="G165" i="5"/>
  <c r="G165" i="4"/>
  <c r="T16" i="2"/>
  <c r="T18" i="2"/>
  <c r="B20" i="2"/>
  <c r="R20" i="2"/>
  <c r="S20" i="2" s="1"/>
  <c r="G322" i="7"/>
  <c r="G322" i="5"/>
  <c r="Q23" i="2"/>
  <c r="G325" i="7"/>
  <c r="G325" i="4"/>
  <c r="T24" i="2"/>
  <c r="F25" i="2"/>
  <c r="R25" i="2"/>
  <c r="S25" i="2" s="1"/>
  <c r="R27" i="2"/>
  <c r="S27" i="2" s="1"/>
  <c r="AD40" i="2"/>
  <c r="D5" i="3"/>
  <c r="F12" i="4"/>
  <c r="D21" i="4"/>
  <c r="E21" i="4"/>
  <c r="K188" i="4"/>
  <c r="G296" i="4"/>
  <c r="G322" i="4"/>
  <c r="E325" i="4"/>
  <c r="K348" i="4"/>
  <c r="K428" i="4"/>
  <c r="G453" i="4"/>
  <c r="K503" i="4"/>
  <c r="B533" i="4"/>
  <c r="B534" i="4" s="1"/>
  <c r="G531" i="4"/>
  <c r="K582" i="4"/>
  <c r="N652" i="4"/>
  <c r="H652" i="4" s="1"/>
  <c r="K745" i="4"/>
  <c r="K747" i="4"/>
  <c r="E13" i="5"/>
  <c r="E16" i="5"/>
  <c r="G21" i="5"/>
  <c r="E86" i="5"/>
  <c r="K108" i="5"/>
  <c r="G137" i="5"/>
  <c r="G323" i="5"/>
  <c r="G325" i="5"/>
  <c r="B612" i="4"/>
  <c r="B613" i="4" s="1"/>
  <c r="F13" i="5"/>
  <c r="F14" i="5"/>
  <c r="F15" i="5"/>
  <c r="F16" i="5"/>
  <c r="F17" i="5"/>
  <c r="D21" i="5"/>
  <c r="K267" i="5"/>
  <c r="K269" i="5"/>
  <c r="K347" i="5"/>
  <c r="K427" i="5"/>
  <c r="B533" i="5"/>
  <c r="B534" i="5" s="1"/>
  <c r="B624" i="5"/>
  <c r="B595" i="5"/>
  <c r="B625" i="5" s="1"/>
  <c r="W14" i="5" s="1"/>
  <c r="N573" i="5"/>
  <c r="H573" i="5" s="1"/>
  <c r="K660" i="5"/>
  <c r="B691" i="5"/>
  <c r="B692" i="5" s="1"/>
  <c r="G689" i="5"/>
  <c r="K743" i="5"/>
  <c r="K745" i="5"/>
  <c r="F21" i="5"/>
  <c r="B377" i="5"/>
  <c r="B378" i="5" s="1"/>
  <c r="G375" i="5"/>
  <c r="B753" i="5"/>
  <c r="B783" i="5" s="1"/>
  <c r="W16" i="5" s="1"/>
  <c r="G768" i="5"/>
  <c r="B770" i="5"/>
  <c r="B771" i="5" s="1"/>
  <c r="E401" i="7"/>
  <c r="E401" i="5"/>
  <c r="E479" i="7"/>
  <c r="E478" i="7"/>
  <c r="E479" i="5"/>
  <c r="E478" i="4"/>
  <c r="C21" i="5"/>
  <c r="K349" i="5"/>
  <c r="K424" i="5"/>
  <c r="E478" i="5"/>
  <c r="K503" i="5"/>
  <c r="K581" i="5"/>
  <c r="N652" i="5"/>
  <c r="H652" i="5" s="1"/>
  <c r="K740" i="5"/>
  <c r="K747" i="5"/>
  <c r="K749" i="5"/>
  <c r="B782" i="5"/>
  <c r="B66" i="7"/>
  <c r="B68" i="7" s="1"/>
  <c r="B67" i="7" s="1"/>
  <c r="B34" i="6"/>
  <c r="G34" i="6"/>
  <c r="B54" i="7" s="1"/>
  <c r="BY24" i="6"/>
  <c r="B8" i="6"/>
  <c r="F17" i="6"/>
  <c r="B24" i="6"/>
  <c r="K34" i="7"/>
  <c r="B298" i="5"/>
  <c r="B299" i="5" s="1"/>
  <c r="B455" i="5"/>
  <c r="B456" i="5" s="1"/>
  <c r="AE5" i="6"/>
  <c r="S15" i="6" s="1"/>
  <c r="T15" i="6" s="1"/>
  <c r="G90" i="7"/>
  <c r="F16" i="6"/>
  <c r="G16" i="7"/>
  <c r="F13" i="7"/>
  <c r="F14" i="7"/>
  <c r="F15" i="7"/>
  <c r="F16" i="7"/>
  <c r="F17" i="7"/>
  <c r="G19" i="7"/>
  <c r="D21" i="7"/>
  <c r="K189" i="7"/>
  <c r="K268" i="7"/>
  <c r="K270" i="7"/>
  <c r="K503" i="7"/>
  <c r="K661" i="7"/>
  <c r="K739" i="7"/>
  <c r="K741" i="7"/>
  <c r="K743" i="7"/>
  <c r="K745" i="7"/>
  <c r="K747" i="7"/>
  <c r="K749" i="7"/>
  <c r="F21" i="7"/>
  <c r="F33" i="7"/>
  <c r="B691" i="7"/>
  <c r="B692" i="7" s="1"/>
  <c r="G689" i="7"/>
  <c r="C21" i="7"/>
  <c r="N180" i="7"/>
  <c r="H180" i="7" s="1"/>
  <c r="K347" i="7"/>
  <c r="K349" i="7"/>
  <c r="B377" i="7"/>
  <c r="B378" i="7" s="1"/>
  <c r="G375" i="7"/>
  <c r="K425" i="7"/>
  <c r="K427" i="7"/>
  <c r="B624" i="7"/>
  <c r="B595" i="7"/>
  <c r="B625" i="7" s="1"/>
  <c r="N573" i="7"/>
  <c r="H573" i="7" s="1"/>
  <c r="K582" i="7"/>
  <c r="B612" i="7"/>
  <c r="B613" i="7" s="1"/>
  <c r="G610" i="7"/>
  <c r="B298" i="7"/>
  <c r="B299" i="7" s="1"/>
  <c r="B455" i="7"/>
  <c r="B456" i="7" s="1"/>
  <c r="B770" i="7"/>
  <c r="B771" i="7" s="1"/>
  <c r="AP45" i="6" l="1"/>
  <c r="EH76" i="6" s="1"/>
  <c r="AP44" i="6"/>
  <c r="EH75" i="6" s="1"/>
  <c r="H22" i="7"/>
  <c r="AP22" i="6"/>
  <c r="EH35" i="6" s="1"/>
  <c r="B38" i="10"/>
  <c r="O6" i="6"/>
  <c r="O17" i="6"/>
  <c r="S17" i="6" s="1"/>
  <c r="T17" i="6" s="1"/>
  <c r="O18" i="6"/>
  <c r="O31" i="6" s="1"/>
  <c r="O7" i="6"/>
  <c r="O30" i="6" s="1"/>
  <c r="C7" i="10"/>
  <c r="O29" i="6"/>
  <c r="J108" i="13"/>
  <c r="J33" i="13"/>
  <c r="AO50" i="11"/>
  <c r="DL47" i="11"/>
  <c r="AO45" i="12"/>
  <c r="DL44" i="12" s="1"/>
  <c r="AO44" i="12"/>
  <c r="G35" i="12"/>
  <c r="B133" i="14" s="1"/>
  <c r="B145" i="14" s="1"/>
  <c r="B147" i="14" s="1"/>
  <c r="B146" i="14" s="1"/>
  <c r="F24" i="12"/>
  <c r="I28" i="13"/>
  <c r="J28" i="13" s="1"/>
  <c r="L28" i="13" s="1"/>
  <c r="N28" i="13" s="1"/>
  <c r="H28" i="13" s="1"/>
  <c r="R14" i="11"/>
  <c r="T14" i="11"/>
  <c r="E28" i="13"/>
  <c r="Q14" i="11"/>
  <c r="G28" i="13" s="1"/>
  <c r="AO20" i="11"/>
  <c r="AO24" i="11"/>
  <c r="DL23" i="11" s="1"/>
  <c r="BS20" i="11"/>
  <c r="AO45" i="11"/>
  <c r="DL44" i="11" s="1"/>
  <c r="AO44" i="11"/>
  <c r="AO50" i="12"/>
  <c r="DL47" i="12"/>
  <c r="G35" i="11"/>
  <c r="B133" i="13" s="1"/>
  <c r="B145" i="13" s="1"/>
  <c r="B147" i="13" s="1"/>
  <c r="B146" i="13" s="1"/>
  <c r="F24" i="11"/>
  <c r="J108" i="14"/>
  <c r="J33" i="14"/>
  <c r="B35" i="11"/>
  <c r="AO9" i="11"/>
  <c r="B51" i="13"/>
  <c r="B58" i="13" s="1"/>
  <c r="B35" i="12"/>
  <c r="AO9" i="12"/>
  <c r="B55" i="14"/>
  <c r="B51" i="14"/>
  <c r="AO20" i="12"/>
  <c r="I28" i="14"/>
  <c r="J28" i="14" s="1"/>
  <c r="L28" i="14" s="1"/>
  <c r="N28" i="14" s="1"/>
  <c r="H28" i="14" s="1"/>
  <c r="E28" i="14"/>
  <c r="BS20" i="12"/>
  <c r="T14" i="12"/>
  <c r="R14" i="12"/>
  <c r="AO24" i="12"/>
  <c r="DL23" i="12" s="1"/>
  <c r="Q14" i="12"/>
  <c r="G28" i="14" s="1"/>
  <c r="AO42" i="11"/>
  <c r="DL41" i="11" s="1"/>
  <c r="AO10" i="12"/>
  <c r="DL9" i="12" s="1"/>
  <c r="AO26" i="12"/>
  <c r="AO33" i="12" s="1"/>
  <c r="DL32" i="12" s="1"/>
  <c r="AO7" i="12"/>
  <c r="DL6" i="12" s="1"/>
  <c r="AO4" i="12"/>
  <c r="AO14" i="12" s="1"/>
  <c r="DL13" i="12" s="1"/>
  <c r="AO47" i="12"/>
  <c r="DL42" i="12"/>
  <c r="DL36" i="12"/>
  <c r="BF24" i="12"/>
  <c r="BJ5" i="12" s="1"/>
  <c r="DL27" i="11"/>
  <c r="AO35" i="11"/>
  <c r="DL34" i="11" s="1"/>
  <c r="H12" i="13"/>
  <c r="N35" i="11"/>
  <c r="DL5" i="11"/>
  <c r="AO16" i="11"/>
  <c r="DL15" i="11" s="1"/>
  <c r="AO21" i="11"/>
  <c r="R27" i="11"/>
  <c r="F34" i="13"/>
  <c r="T27" i="11"/>
  <c r="BX22" i="11"/>
  <c r="BS21" i="11"/>
  <c r="BX23" i="11"/>
  <c r="Q27" i="11"/>
  <c r="J34" i="13" s="1"/>
  <c r="AO5" i="11"/>
  <c r="DL41" i="12"/>
  <c r="AO46" i="12"/>
  <c r="F34" i="14"/>
  <c r="R27" i="12"/>
  <c r="T27" i="12"/>
  <c r="BX23" i="12"/>
  <c r="Q27" i="12"/>
  <c r="J34" i="14" s="1"/>
  <c r="BS21" i="12"/>
  <c r="BX22" i="12"/>
  <c r="AO21" i="12"/>
  <c r="AO5" i="12"/>
  <c r="DL27" i="12"/>
  <c r="AO35" i="12"/>
  <c r="DL34" i="12" s="1"/>
  <c r="AO4" i="11"/>
  <c r="P40" i="11"/>
  <c r="AO10" i="11"/>
  <c r="AO6" i="12"/>
  <c r="N40" i="12"/>
  <c r="S6" i="12"/>
  <c r="DL18" i="12"/>
  <c r="BF4" i="12"/>
  <c r="BJ4" i="12" s="1"/>
  <c r="BJ32" i="12" s="1"/>
  <c r="F109" i="14"/>
  <c r="R28" i="12"/>
  <c r="S28" i="12" s="1"/>
  <c r="AO38" i="12"/>
  <c r="T28" i="12"/>
  <c r="AO32" i="12" s="1"/>
  <c r="DL31" i="12" s="1"/>
  <c r="Q28" i="12"/>
  <c r="J109" i="14" s="1"/>
  <c r="AO27" i="12"/>
  <c r="AO33" i="11"/>
  <c r="DL32" i="11" s="1"/>
  <c r="DL25" i="11"/>
  <c r="DL36" i="11"/>
  <c r="BF24" i="11"/>
  <c r="BJ5" i="11" s="1"/>
  <c r="AO31" i="11"/>
  <c r="P40" i="12"/>
  <c r="AO7" i="11"/>
  <c r="S6" i="11"/>
  <c r="N40" i="11"/>
  <c r="AO46" i="11"/>
  <c r="H12" i="14"/>
  <c r="N35" i="12"/>
  <c r="Q32" i="12"/>
  <c r="AO31" i="12"/>
  <c r="AO47" i="11"/>
  <c r="DL42" i="11"/>
  <c r="F109" i="13"/>
  <c r="AO27" i="11"/>
  <c r="R28" i="11"/>
  <c r="S28" i="11" s="1"/>
  <c r="T28" i="11"/>
  <c r="AO32" i="11" s="1"/>
  <c r="DL31" i="11" s="1"/>
  <c r="AO38" i="11"/>
  <c r="Q28" i="11"/>
  <c r="J109" i="13" s="1"/>
  <c r="B121" i="13" s="1"/>
  <c r="BX19" i="11"/>
  <c r="DL18" i="11"/>
  <c r="BF4" i="11"/>
  <c r="BJ4" i="11" s="1"/>
  <c r="U15" i="6"/>
  <c r="BG7" i="6"/>
  <c r="BK20" i="6" s="1"/>
  <c r="DM8" i="6"/>
  <c r="C22" i="10"/>
  <c r="Q15" i="6"/>
  <c r="R15" i="6" s="1"/>
  <c r="H21" i="7" s="1"/>
  <c r="Q27" i="6"/>
  <c r="I34" i="7" s="1"/>
  <c r="S7" i="6"/>
  <c r="T7" i="6" s="1"/>
  <c r="B21" i="10"/>
  <c r="B52" i="10" s="1"/>
  <c r="Q7" i="6"/>
  <c r="R7" i="6" s="1"/>
  <c r="U20" i="6"/>
  <c r="G12" i="7"/>
  <c r="Q20" i="6"/>
  <c r="R20" i="6" s="1"/>
  <c r="H87" i="7" s="1"/>
  <c r="Q19" i="6"/>
  <c r="Q9" i="6"/>
  <c r="G15" i="7" s="1"/>
  <c r="Q17" i="6"/>
  <c r="G84" i="7" s="1"/>
  <c r="Q8" i="6"/>
  <c r="G14" i="7" s="1"/>
  <c r="S20" i="6"/>
  <c r="T20" i="6" s="1"/>
  <c r="Q18" i="6"/>
  <c r="E13" i="7"/>
  <c r="I33" i="7"/>
  <c r="BT20" i="6"/>
  <c r="DM19" i="6"/>
  <c r="DM23" i="6"/>
  <c r="R26" i="6"/>
  <c r="J33" i="7" s="1"/>
  <c r="E85" i="7"/>
  <c r="D33" i="9"/>
  <c r="D20" i="9"/>
  <c r="C51" i="10"/>
  <c r="C38" i="10"/>
  <c r="S25" i="6"/>
  <c r="T25" i="6" s="1"/>
  <c r="Q9" i="1"/>
  <c r="H15" i="5" s="1"/>
  <c r="B51" i="7"/>
  <c r="H86" i="5"/>
  <c r="G28" i="4"/>
  <c r="H86" i="4"/>
  <c r="Q7" i="1"/>
  <c r="H13" i="5" s="1"/>
  <c r="G13" i="5"/>
  <c r="G4" i="6"/>
  <c r="O37" i="6"/>
  <c r="N37" i="1"/>
  <c r="B61" i="5"/>
  <c r="B60" i="4"/>
  <c r="B61" i="4" s="1"/>
  <c r="G58" i="4"/>
  <c r="G402" i="7"/>
  <c r="G402" i="5"/>
  <c r="G402" i="4"/>
  <c r="Q27" i="2"/>
  <c r="G13" i="4"/>
  <c r="Q7" i="2"/>
  <c r="H13" i="4" s="1"/>
  <c r="G244" i="7"/>
  <c r="G244" i="5"/>
  <c r="G244" i="4"/>
  <c r="Q18" i="2"/>
  <c r="G400" i="7"/>
  <c r="G400" i="5"/>
  <c r="G400" i="4"/>
  <c r="Q25" i="2"/>
  <c r="F24" i="6"/>
  <c r="G35" i="6"/>
  <c r="B133" i="7" s="1"/>
  <c r="B145" i="7" s="1"/>
  <c r="B147" i="7" s="1"/>
  <c r="B146" i="7" s="1"/>
  <c r="F14" i="2"/>
  <c r="R8" i="1"/>
  <c r="T8" i="1"/>
  <c r="H85" i="4"/>
  <c r="H85" i="5"/>
  <c r="D6" i="3"/>
  <c r="B41" i="3"/>
  <c r="F19" i="2"/>
  <c r="F18" i="2"/>
  <c r="R9" i="1"/>
  <c r="S9" i="1" s="1"/>
  <c r="T9" i="1"/>
  <c r="G245" i="7"/>
  <c r="G245" i="5"/>
  <c r="G245" i="4"/>
  <c r="Q19" i="2"/>
  <c r="G243" i="7"/>
  <c r="G243" i="4"/>
  <c r="Q17" i="2"/>
  <c r="G243" i="5"/>
  <c r="G164" i="7"/>
  <c r="G164" i="4"/>
  <c r="G164" i="5"/>
  <c r="G21" i="4"/>
  <c r="Q15" i="2"/>
  <c r="T9" i="2"/>
  <c r="U9" i="6"/>
  <c r="S9" i="6"/>
  <c r="T9" i="6" s="1"/>
  <c r="U14" i="6"/>
  <c r="I28" i="7"/>
  <c r="E28" i="7"/>
  <c r="S14" i="6"/>
  <c r="R14" i="6"/>
  <c r="H324" i="7"/>
  <c r="B359" i="7" s="1"/>
  <c r="H324" i="5"/>
  <c r="B359" i="5" s="1"/>
  <c r="H324" i="4"/>
  <c r="H84" i="5"/>
  <c r="B121" i="5" s="1"/>
  <c r="H84" i="4"/>
  <c r="B121" i="4" s="1"/>
  <c r="G5" i="2"/>
  <c r="G92" i="7"/>
  <c r="R25" i="6"/>
  <c r="G14" i="5"/>
  <c r="Q8" i="1"/>
  <c r="H14" i="5" s="1"/>
  <c r="N27" i="1"/>
  <c r="G14" i="4"/>
  <c r="Q8" i="2"/>
  <c r="H14" i="4" s="1"/>
  <c r="F17" i="2"/>
  <c r="B12" i="9"/>
  <c r="D12" i="9" s="1"/>
  <c r="B20" i="9"/>
  <c r="T26" i="6"/>
  <c r="B35" i="6"/>
  <c r="H19" i="4"/>
  <c r="H18" i="4"/>
  <c r="B359" i="4"/>
  <c r="T20" i="2"/>
  <c r="T8" i="2"/>
  <c r="T17" i="2"/>
  <c r="T19" i="2"/>
  <c r="H401" i="7"/>
  <c r="H401" i="5"/>
  <c r="H401" i="4"/>
  <c r="G478" i="7"/>
  <c r="G479" i="7"/>
  <c r="G478" i="5"/>
  <c r="G479" i="4"/>
  <c r="G479" i="5"/>
  <c r="G478" i="4"/>
  <c r="Q28" i="2"/>
  <c r="G246" i="7"/>
  <c r="G246" i="5"/>
  <c r="G246" i="4"/>
  <c r="Q20" i="2"/>
  <c r="G15" i="4"/>
  <c r="Q9" i="2"/>
  <c r="H15" i="4" s="1"/>
  <c r="N28" i="5"/>
  <c r="H28" i="5" s="1"/>
  <c r="H12" i="5"/>
  <c r="E84" i="7" l="1"/>
  <c r="DM43" i="6"/>
  <c r="DM44" i="6"/>
  <c r="U7" i="6"/>
  <c r="B6" i="9"/>
  <c r="U17" i="6"/>
  <c r="S6" i="6"/>
  <c r="T6" i="6" s="1"/>
  <c r="R6" i="6"/>
  <c r="H12" i="7" s="1"/>
  <c r="U6" i="6"/>
  <c r="BF5" i="12"/>
  <c r="BJ9" i="12" s="1"/>
  <c r="U31" i="6"/>
  <c r="S31" i="6"/>
  <c r="T31" i="6" s="1"/>
  <c r="R31" i="6"/>
  <c r="S18" i="6"/>
  <c r="T18" i="6" s="1"/>
  <c r="S29" i="6"/>
  <c r="T29" i="6" s="1"/>
  <c r="R29" i="6"/>
  <c r="U29" i="6"/>
  <c r="O19" i="6"/>
  <c r="AP37" i="6" s="1"/>
  <c r="EH70" i="6" s="1"/>
  <c r="U18" i="6"/>
  <c r="O8" i="6"/>
  <c r="R8" i="6" s="1"/>
  <c r="H14" i="7" s="1"/>
  <c r="E12" i="7"/>
  <c r="R18" i="6"/>
  <c r="H85" i="7" s="1"/>
  <c r="U30" i="6"/>
  <c r="S30" i="6"/>
  <c r="T30" i="6" s="1"/>
  <c r="R30" i="6"/>
  <c r="F13" i="6"/>
  <c r="R33" i="6"/>
  <c r="H13" i="7"/>
  <c r="B121" i="14"/>
  <c r="B122" i="14" s="1"/>
  <c r="DL25" i="12"/>
  <c r="DL3" i="12"/>
  <c r="BF7" i="11"/>
  <c r="BJ20" i="11" s="1"/>
  <c r="DL8" i="11"/>
  <c r="AO49" i="12"/>
  <c r="DL49" i="12"/>
  <c r="AO12" i="11"/>
  <c r="P42" i="11"/>
  <c r="AO17" i="12"/>
  <c r="DL16" i="12" s="1"/>
  <c r="Q32" i="11"/>
  <c r="S14" i="12"/>
  <c r="N42" i="12"/>
  <c r="BF7" i="12"/>
  <c r="BJ20" i="12" s="1"/>
  <c r="DL8" i="12"/>
  <c r="AO30" i="11"/>
  <c r="B130" i="13"/>
  <c r="B137" i="13" s="1"/>
  <c r="BF12" i="11"/>
  <c r="BJ18" i="11" s="1"/>
  <c r="DL43" i="11"/>
  <c r="BF14" i="11"/>
  <c r="DL19" i="11"/>
  <c r="S14" i="11"/>
  <c r="N42" i="11"/>
  <c r="DL43" i="12"/>
  <c r="BF12" i="12"/>
  <c r="BJ18" i="12" s="1"/>
  <c r="DL49" i="11"/>
  <c r="AO49" i="11"/>
  <c r="AO12" i="12"/>
  <c r="P42" i="12"/>
  <c r="DL19" i="12"/>
  <c r="BF14" i="12"/>
  <c r="B134" i="14"/>
  <c r="B130" i="14"/>
  <c r="AO30" i="12"/>
  <c r="AO54" i="12"/>
  <c r="B58" i="14"/>
  <c r="B60" i="13"/>
  <c r="B61" i="13" s="1"/>
  <c r="G58" i="13"/>
  <c r="P40" i="1"/>
  <c r="B42" i="14"/>
  <c r="B43" i="14" s="1"/>
  <c r="B122" i="13"/>
  <c r="DL26" i="11"/>
  <c r="AO34" i="11"/>
  <c r="DL33" i="11" s="1"/>
  <c r="DL46" i="11"/>
  <c r="DL45" i="11"/>
  <c r="DL3" i="11"/>
  <c r="AO14" i="11"/>
  <c r="DL13" i="11" s="1"/>
  <c r="BF9" i="12"/>
  <c r="BJ14" i="12" s="1"/>
  <c r="DL20" i="12"/>
  <c r="DL45" i="12"/>
  <c r="AO11" i="11"/>
  <c r="P41" i="11"/>
  <c r="B42" i="13"/>
  <c r="BJ32" i="11"/>
  <c r="DL37" i="11"/>
  <c r="BJ15" i="11"/>
  <c r="BF26" i="12"/>
  <c r="DL30" i="12"/>
  <c r="DL30" i="11"/>
  <c r="BF26" i="11"/>
  <c r="BJ15" i="12"/>
  <c r="DL37" i="12"/>
  <c r="AO16" i="12"/>
  <c r="DL15" i="12" s="1"/>
  <c r="DL5" i="12"/>
  <c r="AO11" i="12"/>
  <c r="P41" i="12"/>
  <c r="AO55" i="11"/>
  <c r="AO34" i="12"/>
  <c r="DL33" i="12" s="1"/>
  <c r="DL26" i="12"/>
  <c r="BF5" i="11"/>
  <c r="DL9" i="11"/>
  <c r="S27" i="12"/>
  <c r="N41" i="12"/>
  <c r="S27" i="11"/>
  <c r="N41" i="11"/>
  <c r="AO55" i="12"/>
  <c r="AO54" i="11"/>
  <c r="AO17" i="11"/>
  <c r="DL16" i="11" s="1"/>
  <c r="DL6" i="11"/>
  <c r="AO15" i="12"/>
  <c r="DL14" i="12" s="1"/>
  <c r="DL4" i="12"/>
  <c r="AO15" i="11"/>
  <c r="DL14" i="11" s="1"/>
  <c r="DL4" i="11"/>
  <c r="BF9" i="11"/>
  <c r="BJ14" i="11" s="1"/>
  <c r="DL20" i="11"/>
  <c r="DL46" i="12"/>
  <c r="R9" i="6"/>
  <c r="H15" i="7" s="1"/>
  <c r="BG27" i="6"/>
  <c r="BK21" i="6" s="1"/>
  <c r="BK24" i="6" s="1"/>
  <c r="DM29" i="6"/>
  <c r="DM49" i="6"/>
  <c r="DM47" i="6"/>
  <c r="BG15" i="6"/>
  <c r="DM11" i="6"/>
  <c r="G21" i="7"/>
  <c r="G87" i="7"/>
  <c r="G13" i="7"/>
  <c r="G85" i="7"/>
  <c r="R17" i="6"/>
  <c r="G86" i="7"/>
  <c r="J108" i="7"/>
  <c r="BG12" i="6"/>
  <c r="BG14" i="6"/>
  <c r="B19" i="9"/>
  <c r="B33" i="9"/>
  <c r="F11" i="6"/>
  <c r="F9" i="6"/>
  <c r="B130" i="7"/>
  <c r="F7" i="6"/>
  <c r="F6" i="6"/>
  <c r="F12" i="6"/>
  <c r="F8" i="6"/>
  <c r="B42" i="5"/>
  <c r="B72" i="5" s="1"/>
  <c r="B389" i="5"/>
  <c r="B360" i="5"/>
  <c r="B390" i="5" s="1"/>
  <c r="W11" i="5" s="1"/>
  <c r="B360" i="7"/>
  <c r="B390" i="7" s="1"/>
  <c r="B389" i="7"/>
  <c r="H246" i="7"/>
  <c r="H246" i="5"/>
  <c r="H246" i="4"/>
  <c r="H479" i="7"/>
  <c r="H478" i="7"/>
  <c r="H479" i="5"/>
  <c r="H478" i="5"/>
  <c r="B515" i="5" s="1"/>
  <c r="H478" i="4"/>
  <c r="B515" i="4" s="1"/>
  <c r="H479" i="4"/>
  <c r="E89" i="7"/>
  <c r="U22" i="6"/>
  <c r="R22" i="6"/>
  <c r="H89" i="7" s="1"/>
  <c r="S22" i="6"/>
  <c r="T22" i="6" s="1"/>
  <c r="D27" i="3"/>
  <c r="B47" i="3"/>
  <c r="T27" i="1"/>
  <c r="P41" i="1" s="1"/>
  <c r="R27" i="1"/>
  <c r="U24" i="6"/>
  <c r="R24" i="6"/>
  <c r="H91" i="7" s="1"/>
  <c r="E91" i="7"/>
  <c r="S24" i="6"/>
  <c r="T24" i="6" s="1"/>
  <c r="D14" i="9"/>
  <c r="Q42" i="6"/>
  <c r="H164" i="7"/>
  <c r="B201" i="7" s="1"/>
  <c r="H164" i="4"/>
  <c r="B201" i="4" s="1"/>
  <c r="H164" i="5"/>
  <c r="B201" i="5" s="1"/>
  <c r="H21" i="4"/>
  <c r="B42" i="4" s="1"/>
  <c r="D28" i="3"/>
  <c r="B48" i="3"/>
  <c r="H402" i="7"/>
  <c r="H402" i="5"/>
  <c r="H402" i="4"/>
  <c r="Q31" i="2"/>
  <c r="B46" i="3"/>
  <c r="F22" i="2"/>
  <c r="F23" i="2"/>
  <c r="F21" i="2"/>
  <c r="F10" i="2"/>
  <c r="F8" i="2"/>
  <c r="D26" i="3"/>
  <c r="F12" i="2"/>
  <c r="F7" i="2"/>
  <c r="F11" i="2"/>
  <c r="F9" i="2"/>
  <c r="F13" i="2"/>
  <c r="B14" i="9"/>
  <c r="O42" i="6"/>
  <c r="T14" i="6"/>
  <c r="H245" i="7"/>
  <c r="H245" i="5"/>
  <c r="H245" i="4"/>
  <c r="D29" i="3"/>
  <c r="B49" i="3"/>
  <c r="E90" i="7"/>
  <c r="S23" i="6"/>
  <c r="T23" i="6" s="1"/>
  <c r="U23" i="6"/>
  <c r="R23" i="6"/>
  <c r="H90" i="7" s="1"/>
  <c r="F20" i="6"/>
  <c r="F22" i="6"/>
  <c r="F21" i="6"/>
  <c r="B360" i="4"/>
  <c r="B390" i="4" s="1"/>
  <c r="W11" i="4" s="1"/>
  <c r="B389" i="4"/>
  <c r="E18" i="7"/>
  <c r="R12" i="6"/>
  <c r="H18" i="7" s="1"/>
  <c r="S12" i="6"/>
  <c r="T12" i="6" s="1"/>
  <c r="U12" i="6"/>
  <c r="B31" i="9"/>
  <c r="D31" i="9" s="1"/>
  <c r="B58" i="7"/>
  <c r="B60" i="7" s="1"/>
  <c r="E19" i="7"/>
  <c r="U13" i="6"/>
  <c r="S13" i="6"/>
  <c r="T13" i="6" s="1"/>
  <c r="R13" i="6"/>
  <c r="H19" i="7" s="1"/>
  <c r="H243" i="7"/>
  <c r="B280" i="7" s="1"/>
  <c r="H243" i="5"/>
  <c r="H243" i="4"/>
  <c r="H400" i="7"/>
  <c r="B437" i="7" s="1"/>
  <c r="H400" i="5"/>
  <c r="B437" i="5" s="1"/>
  <c r="H400" i="4"/>
  <c r="B437" i="4" s="1"/>
  <c r="H244" i="7"/>
  <c r="H244" i="4"/>
  <c r="H244" i="5"/>
  <c r="F10" i="6"/>
  <c r="U10" i="6"/>
  <c r="S10" i="6"/>
  <c r="T10" i="6" s="1"/>
  <c r="R10" i="6"/>
  <c r="E16" i="7"/>
  <c r="B151" i="5"/>
  <c r="B122" i="5"/>
  <c r="B152" i="5" s="1"/>
  <c r="W8" i="5" s="1"/>
  <c r="B7" i="9"/>
  <c r="G28" i="7"/>
  <c r="N35" i="1"/>
  <c r="Q27" i="1"/>
  <c r="Q31" i="1" s="1"/>
  <c r="H92" i="7"/>
  <c r="B26" i="9"/>
  <c r="B122" i="4"/>
  <c r="B152" i="4" s="1"/>
  <c r="W8" i="4" s="1"/>
  <c r="B151" i="4"/>
  <c r="J28" i="7"/>
  <c r="L28" i="7" s="1"/>
  <c r="N28" i="7" s="1"/>
  <c r="H28" i="7" s="1"/>
  <c r="U11" i="6"/>
  <c r="S11" i="6"/>
  <c r="T11" i="6" s="1"/>
  <c r="R11" i="6"/>
  <c r="H17" i="7" s="1"/>
  <c r="E17" i="7"/>
  <c r="S8" i="1"/>
  <c r="N40" i="1"/>
  <c r="S21" i="6"/>
  <c r="T21" i="6" s="1"/>
  <c r="E88" i="7"/>
  <c r="R21" i="6"/>
  <c r="U21" i="6"/>
  <c r="AP23" i="6" l="1"/>
  <c r="DM22" i="6" s="1"/>
  <c r="B25" i="9"/>
  <c r="AP19" i="6"/>
  <c r="EH32" i="6" s="1"/>
  <c r="AP40" i="6"/>
  <c r="EH73" i="6" s="1"/>
  <c r="O28" i="6"/>
  <c r="DM39" i="6"/>
  <c r="DM36" i="6"/>
  <c r="B32" i="9"/>
  <c r="D32" i="9" s="1"/>
  <c r="E14" i="7"/>
  <c r="U8" i="6"/>
  <c r="AP10" i="6" s="1"/>
  <c r="EH29" i="6" s="1"/>
  <c r="BT19" i="6"/>
  <c r="S8" i="6"/>
  <c r="BY21" i="6"/>
  <c r="BY20" i="6"/>
  <c r="B13" i="9"/>
  <c r="D13" i="9" s="1"/>
  <c r="B27" i="6"/>
  <c r="E86" i="7"/>
  <c r="S19" i="6"/>
  <c r="U19" i="6"/>
  <c r="AP31" i="6" s="1"/>
  <c r="EH62" i="6" s="1"/>
  <c r="R19" i="6"/>
  <c r="H86" i="7" s="1"/>
  <c r="O27" i="6"/>
  <c r="BF27" i="12"/>
  <c r="BJ21" i="12" s="1"/>
  <c r="BJ24" i="12" s="1"/>
  <c r="DL29" i="12"/>
  <c r="DL48" i="12"/>
  <c r="BF11" i="12"/>
  <c r="BJ17" i="12" s="1"/>
  <c r="B137" i="14"/>
  <c r="G137" i="13"/>
  <c r="G58" i="14"/>
  <c r="B60" i="14"/>
  <c r="B61" i="14" s="1"/>
  <c r="B73" i="14" s="1"/>
  <c r="W7" i="14" s="1"/>
  <c r="DL11" i="12"/>
  <c r="BF15" i="12"/>
  <c r="BF27" i="11"/>
  <c r="BJ21" i="11" s="1"/>
  <c r="BJ24" i="11" s="1"/>
  <c r="DL29" i="11"/>
  <c r="BF15" i="11"/>
  <c r="DL11" i="11"/>
  <c r="DL48" i="11"/>
  <c r="BF11" i="11"/>
  <c r="BJ17" i="11" s="1"/>
  <c r="BJ35" i="12"/>
  <c r="BJ9" i="11"/>
  <c r="BJ35" i="11"/>
  <c r="DL10" i="12"/>
  <c r="BF10" i="12"/>
  <c r="DL10" i="11"/>
  <c r="BF10" i="11"/>
  <c r="BJ11" i="11" s="1"/>
  <c r="BJ12" i="11"/>
  <c r="BJ10" i="11"/>
  <c r="AO56" i="12"/>
  <c r="AO56" i="11"/>
  <c r="AO57" i="12"/>
  <c r="BJ12" i="12"/>
  <c r="BJ10" i="12"/>
  <c r="BJ34" i="12" s="1"/>
  <c r="B43" i="13"/>
  <c r="B73" i="13" s="1"/>
  <c r="W7" i="13" s="1"/>
  <c r="B72" i="13"/>
  <c r="AO57" i="11"/>
  <c r="AO22" i="11"/>
  <c r="AO22" i="12"/>
  <c r="BG11" i="6"/>
  <c r="BK17" i="6" s="1"/>
  <c r="H84" i="7"/>
  <c r="B4" i="9"/>
  <c r="BK18" i="6"/>
  <c r="B137" i="7"/>
  <c r="B61" i="7"/>
  <c r="B43" i="5"/>
  <c r="B73" i="5" s="1"/>
  <c r="W7" i="5" s="1"/>
  <c r="W21" i="5" s="1"/>
  <c r="B43" i="4"/>
  <c r="B73" i="4" s="1"/>
  <c r="W7" i="4" s="1"/>
  <c r="W18" i="4" s="1"/>
  <c r="V31" i="4" s="1"/>
  <c r="B72" i="4"/>
  <c r="I24" i="9"/>
  <c r="H88" i="7"/>
  <c r="B281" i="7"/>
  <c r="B311" i="7" s="1"/>
  <c r="B310" i="7"/>
  <c r="B545" i="4"/>
  <c r="B516" i="4"/>
  <c r="B546" i="4" s="1"/>
  <c r="W13" i="4" s="1"/>
  <c r="B438" i="7"/>
  <c r="B468" i="7" s="1"/>
  <c r="B467" i="7"/>
  <c r="G58" i="7"/>
  <c r="D31" i="3"/>
  <c r="B51" i="3"/>
  <c r="B231" i="5"/>
  <c r="B202" i="5"/>
  <c r="B232" i="5" s="1"/>
  <c r="W9" i="5" s="1"/>
  <c r="S27" i="1"/>
  <c r="N41" i="1"/>
  <c r="B516" i="5"/>
  <c r="B546" i="5" s="1"/>
  <c r="W13" i="5" s="1"/>
  <c r="B545" i="5"/>
  <c r="I5" i="9"/>
  <c r="O36" i="6"/>
  <c r="H16" i="7"/>
  <c r="B280" i="4"/>
  <c r="D30" i="3"/>
  <c r="B50" i="3"/>
  <c r="B231" i="4"/>
  <c r="B202" i="4"/>
  <c r="B232" i="4" s="1"/>
  <c r="W9" i="4" s="1"/>
  <c r="B438" i="5"/>
  <c r="B468" i="5" s="1"/>
  <c r="W12" i="5" s="1"/>
  <c r="B467" i="5"/>
  <c r="B467" i="4"/>
  <c r="B438" i="4"/>
  <c r="B468" i="4" s="1"/>
  <c r="W12" i="4" s="1"/>
  <c r="B280" i="5"/>
  <c r="D32" i="3"/>
  <c r="B52" i="3"/>
  <c r="B202" i="7"/>
  <c r="B232" i="7" s="1"/>
  <c r="B231" i="7"/>
  <c r="B515" i="7"/>
  <c r="BG24" i="6" l="1"/>
  <c r="BK5" i="6" s="1"/>
  <c r="AP5" i="6"/>
  <c r="AP15" i="6" s="1"/>
  <c r="AP7" i="6"/>
  <c r="AP17" i="6" s="1"/>
  <c r="AP42" i="6"/>
  <c r="AP46" i="6" s="1"/>
  <c r="AP4" i="6"/>
  <c r="AP14" i="6" s="1"/>
  <c r="AP21" i="6"/>
  <c r="AP6" i="6"/>
  <c r="AP16" i="6" s="1"/>
  <c r="EH37" i="6"/>
  <c r="AP43" i="6"/>
  <c r="EH58" i="6" s="1"/>
  <c r="AP26" i="6"/>
  <c r="AP33" i="6" s="1"/>
  <c r="EH65" i="6" s="1"/>
  <c r="AP28" i="6"/>
  <c r="EH52" i="6" s="1"/>
  <c r="AP38" i="6"/>
  <c r="EH71" i="6" s="1"/>
  <c r="AP27" i="6"/>
  <c r="AP34" i="6" s="1"/>
  <c r="EH66" i="6" s="1"/>
  <c r="F109" i="7"/>
  <c r="U28" i="6"/>
  <c r="AP32" i="6" s="1"/>
  <c r="S28" i="6"/>
  <c r="T28" i="6" s="1"/>
  <c r="R28" i="6"/>
  <c r="J109" i="7" s="1"/>
  <c r="B121" i="7" s="1"/>
  <c r="B122" i="7" s="1"/>
  <c r="EH34" i="6"/>
  <c r="DM5" i="6"/>
  <c r="EH47" i="6"/>
  <c r="B23" i="9"/>
  <c r="EH55" i="6"/>
  <c r="EH50" i="6"/>
  <c r="O35" i="6"/>
  <c r="R32" i="6"/>
  <c r="EH56" i="6"/>
  <c r="O40" i="6"/>
  <c r="B11" i="9"/>
  <c r="T8" i="6"/>
  <c r="DM25" i="6"/>
  <c r="D11" i="9"/>
  <c r="Q40" i="6"/>
  <c r="T19" i="6"/>
  <c r="B30" i="9"/>
  <c r="DM3" i="6"/>
  <c r="BT21" i="6"/>
  <c r="S27" i="6"/>
  <c r="U27" i="6"/>
  <c r="BY22" i="6"/>
  <c r="BY23" i="6"/>
  <c r="R27" i="6"/>
  <c r="J34" i="7" s="1"/>
  <c r="B42" i="7" s="1"/>
  <c r="F34" i="7"/>
  <c r="BY19" i="6"/>
  <c r="D30" i="9"/>
  <c r="DM18" i="6"/>
  <c r="BG4" i="6"/>
  <c r="BK4" i="6" s="1"/>
  <c r="BK32" i="6" s="1"/>
  <c r="DM33" i="6"/>
  <c r="BJ34" i="11"/>
  <c r="B72" i="14"/>
  <c r="BF28" i="11"/>
  <c r="W21" i="14"/>
  <c r="Z7" i="14"/>
  <c r="B140" i="13"/>
  <c r="B152" i="13" s="1"/>
  <c r="W8" i="13" s="1"/>
  <c r="Z8" i="13" s="1"/>
  <c r="B151" i="13"/>
  <c r="BF28" i="12"/>
  <c r="B139" i="14"/>
  <c r="G137" i="14"/>
  <c r="BF17" i="11"/>
  <c r="BF18" i="11" s="1"/>
  <c r="Z7" i="13"/>
  <c r="W21" i="13"/>
  <c r="BJ11" i="12"/>
  <c r="BJ23" i="12" s="1"/>
  <c r="BJ25" i="12" s="1"/>
  <c r="BF17" i="12"/>
  <c r="BF18" i="12" s="1"/>
  <c r="BJ23" i="11"/>
  <c r="BJ25" i="11" s="1"/>
  <c r="DL21" i="12"/>
  <c r="BF6" i="12"/>
  <c r="DL21" i="11"/>
  <c r="BF6" i="11"/>
  <c r="DM48" i="6"/>
  <c r="BG6" i="6"/>
  <c r="DM21" i="6"/>
  <c r="W18" i="5"/>
  <c r="V31" i="5" s="1"/>
  <c r="B516" i="7"/>
  <c r="B546" i="7" s="1"/>
  <c r="B545" i="7"/>
  <c r="B281" i="5"/>
  <c r="B311" i="5" s="1"/>
  <c r="W10" i="5" s="1"/>
  <c r="B310" i="5"/>
  <c r="G137" i="7"/>
  <c r="B310" i="4"/>
  <c r="B281" i="4"/>
  <c r="B311" i="4" s="1"/>
  <c r="W10" i="4" s="1"/>
  <c r="F5" i="9"/>
  <c r="B5" i="9" s="1"/>
  <c r="B8" i="9" s="1"/>
  <c r="EH45" i="6" l="1"/>
  <c r="DM37" i="6"/>
  <c r="EH46" i="6"/>
  <c r="DM32" i="6"/>
  <c r="EH44" i="6"/>
  <c r="EH53" i="6"/>
  <c r="EH54" i="6"/>
  <c r="DM42" i="6"/>
  <c r="EH57" i="6"/>
  <c r="EH51" i="6"/>
  <c r="BK15" i="6"/>
  <c r="EH48" i="6"/>
  <c r="EH63" i="6"/>
  <c r="DM31" i="6"/>
  <c r="AP35" i="6"/>
  <c r="DM27" i="6"/>
  <c r="AP47" i="6"/>
  <c r="AP55" i="6"/>
  <c r="AP11" i="6"/>
  <c r="EH30" i="6" s="1"/>
  <c r="DM26" i="6"/>
  <c r="EH59" i="6"/>
  <c r="EH49" i="6"/>
  <c r="B72" i="7"/>
  <c r="B43" i="7"/>
  <c r="EH42" i="6"/>
  <c r="EH21" i="6"/>
  <c r="EH24" i="6"/>
  <c r="EH22" i="6"/>
  <c r="EH23" i="6"/>
  <c r="EH5" i="6"/>
  <c r="EH8" i="6"/>
  <c r="EH6" i="6"/>
  <c r="EH7" i="6"/>
  <c r="EH13" i="6"/>
  <c r="EH16" i="6"/>
  <c r="EH14" i="6"/>
  <c r="EH15" i="6"/>
  <c r="EH39" i="6"/>
  <c r="EH9" i="6"/>
  <c r="EH12" i="6"/>
  <c r="EH11" i="6"/>
  <c r="EH10" i="6"/>
  <c r="EH41" i="6"/>
  <c r="EH17" i="6"/>
  <c r="EH20" i="6"/>
  <c r="EH19" i="6"/>
  <c r="EH18" i="6"/>
  <c r="BG19" i="6"/>
  <c r="DM6" i="6"/>
  <c r="DM41" i="6"/>
  <c r="AP54" i="6"/>
  <c r="BG9" i="6"/>
  <c r="BK14" i="6" s="1"/>
  <c r="DM20" i="6"/>
  <c r="DM30" i="6"/>
  <c r="BG26" i="6"/>
  <c r="Q41" i="6"/>
  <c r="DM14" i="6"/>
  <c r="DM4" i="6"/>
  <c r="AP57" i="6"/>
  <c r="D35" i="9"/>
  <c r="D36" i="9"/>
  <c r="O41" i="6"/>
  <c r="T27" i="6"/>
  <c r="B35" i="9"/>
  <c r="B36" i="9"/>
  <c r="DM9" i="6"/>
  <c r="BG5" i="6"/>
  <c r="BK9" i="6" s="1"/>
  <c r="D16" i="9"/>
  <c r="D17" i="9"/>
  <c r="B17" i="9"/>
  <c r="B16" i="9"/>
  <c r="W18" i="13"/>
  <c r="V31" i="13" s="1"/>
  <c r="B140" i="14"/>
  <c r="B152" i="14" s="1"/>
  <c r="W8" i="14" s="1"/>
  <c r="B151" i="14"/>
  <c r="BJ6" i="11"/>
  <c r="BF19" i="11"/>
  <c r="BG25" i="6"/>
  <c r="BK7" i="6" s="1"/>
  <c r="AO39" i="12"/>
  <c r="AO39" i="11"/>
  <c r="BJ6" i="12"/>
  <c r="BF19" i="12"/>
  <c r="BK6" i="6"/>
  <c r="B151" i="7"/>
  <c r="B73" i="7"/>
  <c r="W7" i="7" s="1"/>
  <c r="B4" i="10" s="1"/>
  <c r="F24" i="9"/>
  <c r="B24" i="9" s="1"/>
  <c r="B27" i="9" s="1"/>
  <c r="B140" i="7"/>
  <c r="B152" i="7" s="1"/>
  <c r="W8" i="7" s="1"/>
  <c r="C4" i="10" s="1"/>
  <c r="C5" i="10" s="1"/>
  <c r="C8" i="10" s="1"/>
  <c r="EH67" i="6" l="1"/>
  <c r="DM34" i="6"/>
  <c r="BK35" i="6"/>
  <c r="EH68" i="6"/>
  <c r="DM46" i="6"/>
  <c r="DM16" i="6"/>
  <c r="EH38" i="6"/>
  <c r="DM13" i="6"/>
  <c r="EH40" i="6"/>
  <c r="DM15" i="6"/>
  <c r="DM45" i="6"/>
  <c r="AP56" i="6"/>
  <c r="BG10" i="6"/>
  <c r="BK11" i="6" s="1"/>
  <c r="DM10" i="6"/>
  <c r="BG28" i="6"/>
  <c r="BK10" i="6"/>
  <c r="BK12" i="6"/>
  <c r="DM38" i="6"/>
  <c r="Z8" i="14"/>
  <c r="W18" i="14"/>
  <c r="V31" i="14" s="1"/>
  <c r="DL38" i="12"/>
  <c r="BF25" i="12"/>
  <c r="BF25" i="11"/>
  <c r="DL38" i="11"/>
  <c r="BK33" i="6"/>
  <c r="BK36" i="6" s="1"/>
  <c r="BG29" i="6"/>
  <c r="C12" i="10"/>
  <c r="C13" i="10" s="1"/>
  <c r="C14" i="10" s="1"/>
  <c r="C24" i="10"/>
  <c r="C39" i="10"/>
  <c r="C31" i="10"/>
  <c r="Z7" i="7"/>
  <c r="W21" i="7"/>
  <c r="Z8" i="7"/>
  <c r="W18" i="7"/>
  <c r="V31" i="7" s="1"/>
  <c r="BG17" i="6" l="1"/>
  <c r="BG18" i="6" s="1"/>
  <c r="BK34" i="6"/>
  <c r="BK23" i="6"/>
  <c r="BK25" i="6" s="1"/>
  <c r="BF29" i="11"/>
  <c r="BJ7" i="11"/>
  <c r="BJ33" i="11" s="1"/>
  <c r="BJ36" i="11" s="1"/>
  <c r="BJ7" i="12"/>
  <c r="BJ33" i="12" s="1"/>
  <c r="BJ36" i="12" s="1"/>
  <c r="BF29" i="12"/>
  <c r="C55" i="10"/>
  <c r="C56" i="10" s="1"/>
  <c r="C40" i="10"/>
  <c r="C41" i="10" s="1"/>
  <c r="Q15" i="10"/>
  <c r="B5" i="10"/>
  <c r="B8" i="10" s="1"/>
  <c r="B39" i="10" l="1"/>
  <c r="B31" i="10"/>
  <c r="B24" i="10"/>
  <c r="B12" i="10"/>
  <c r="B13" i="10" s="1"/>
  <c r="B14" i="10" s="1"/>
  <c r="B55" i="10" l="1"/>
  <c r="B56" i="10" s="1"/>
  <c r="B40" i="10"/>
  <c r="B41" i="10" s="1"/>
</calcChain>
</file>

<file path=xl/comments1.xml><?xml version="1.0" encoding="utf-8"?>
<comments xmlns="http://schemas.openxmlformats.org/spreadsheetml/2006/main">
  <authors>
    <author/>
  </authors>
  <commentList>
    <comment ref="W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N2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 </t>
        </r>
        <r>
          <rPr>
            <sz val="9"/>
            <color rgb="FF000000"/>
            <rFont val="Tahoma"/>
            <family val="2"/>
            <charset val="1"/>
          </rPr>
          <t>Volgens karen 76 m² (= horizontaal oppervlak)
dit is schuin oppervlak</t>
        </r>
      </text>
    </comment>
    <comment ref="W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Z3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E4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b_u INSULATED ROOF Tabel D.4 = 0.7
</t>
        </r>
      </text>
    </comment>
    <comment ref="Z4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D4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W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N2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 </t>
        </r>
        <r>
          <rPr>
            <sz val="9"/>
            <color rgb="FF000000"/>
            <rFont val="Tahoma"/>
            <family val="2"/>
            <charset val="1"/>
          </rPr>
          <t>Volgens karen 76 m² (= horizontaal oppervlak)
dit is schuin oppervlak</t>
        </r>
      </text>
    </comment>
    <comment ref="W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Z3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E4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b_u INSULATED ROOF Tabel D.4 = 0.7
</t>
        </r>
      </text>
    </comment>
    <comment ref="Z4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D4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</commentList>
</comments>
</file>

<file path=xl/comments3.xml><?xml version="1.0" encoding="utf-8"?>
<comments xmlns="http://schemas.openxmlformats.org/spreadsheetml/2006/main">
  <authors>
    <author>Glenn Reynders</author>
    <author/>
  </authors>
  <commentList>
    <comment ref="AR3" authorId="0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based on : SFH_D4_2zone_PRBS_elec_24032014
</t>
        </r>
      </text>
    </comment>
    <comment ref="BV3" authorId="0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based on : SFH_D4_2zone_PRBS_elec_24032014
</t>
        </r>
      </text>
    </comment>
    <comment ref="X21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7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AA35" authorId="1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6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49" authorId="1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49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X52" authorId="0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comments4.xml><?xml version="1.0" encoding="utf-8"?>
<comments xmlns="http://schemas.openxmlformats.org/spreadsheetml/2006/main">
  <authors>
    <author>Glenn Reynders</author>
    <author/>
  </authors>
  <commentList>
    <comment ref="AQ3" authorId="0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based on : SFH_D4_2zone_PRBS_elec_24032014
</t>
        </r>
      </text>
    </comment>
    <comment ref="BU3" authorId="0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based on : SFH_D4_2zone_PRBS_elec_24032014
</t>
        </r>
      </text>
    </comment>
    <comment ref="W21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W27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Z35" authorId="1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6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Z49" authorId="1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D49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W52" authorId="0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comments5.xml><?xml version="1.0" encoding="utf-8"?>
<comments xmlns="http://schemas.openxmlformats.org/spreadsheetml/2006/main">
  <authors>
    <author>Glenn Reynders</author>
    <author/>
  </authors>
  <commentList>
    <comment ref="AQ3" authorId="0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based on : SFH_D4_2zone_PRBS_elec_24032014
</t>
        </r>
      </text>
    </comment>
    <comment ref="BU3" authorId="0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based on : SFH_D4_2zone_PRBS_elec_24032014
</t>
        </r>
      </text>
    </comment>
    <comment ref="W23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W29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B36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Z37" authorId="1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Z51" authorId="1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D51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W54" authorId="0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comments6.xml><?xml version="1.0" encoding="utf-8"?>
<comments xmlns="http://schemas.openxmlformats.org/spreadsheetml/2006/main">
  <authors>
    <author>Glenn Reynders</author>
    <author/>
  </authors>
  <commentList>
    <comment ref="AR3" authorId="0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based on : SFH_D4_2zone_PRBS_elec_24032014
</t>
        </r>
      </text>
    </comment>
    <comment ref="BV3" authorId="0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based on : SFH_D4_2zone_PRBS_elec_24032014
</t>
        </r>
      </text>
    </comment>
    <comment ref="X21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7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AA35" authorId="1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6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49" authorId="1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49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X52" authorId="0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comments7.xml><?xml version="1.0" encoding="utf-8"?>
<comments xmlns="http://schemas.openxmlformats.org/spreadsheetml/2006/main">
  <authors>
    <author>Glenn Reynders</author>
    <author/>
  </authors>
  <commentList>
    <comment ref="AR3" authorId="0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based on : SFH_D4_2zone_PRBS_elec_24032014
</t>
        </r>
      </text>
    </comment>
    <comment ref="BV3" authorId="0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based on : SFH_D4_2zone_PRBS_elec_24032014
</t>
        </r>
      </text>
    </comment>
    <comment ref="X21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7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AA35" authorId="1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6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49" authorId="1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49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X52" authorId="0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sharedStrings.xml><?xml version="1.0" encoding="utf-8"?>
<sst xmlns="http://schemas.openxmlformats.org/spreadsheetml/2006/main" count="19595" uniqueCount="621">
  <si>
    <t>Thermal properties: Detached Single Family House before1945</t>
  </si>
  <si>
    <t>Global geometrical data</t>
  </si>
  <si>
    <t>Surface properties</t>
  </si>
  <si>
    <t>Component properties</t>
  </si>
  <si>
    <t>Tabula</t>
  </si>
  <si>
    <t>W/m²K</t>
  </si>
  <si>
    <t>Protected volume</t>
  </si>
  <si>
    <t>m³</t>
  </si>
  <si>
    <t>Window area</t>
  </si>
  <si>
    <t>m²</t>
  </si>
  <si>
    <t>ID</t>
  </si>
  <si>
    <t>From Zone</t>
  </si>
  <si>
    <t>To Zone</t>
  </si>
  <si>
    <t>Construction type</t>
  </si>
  <si>
    <t>Area [m²]</t>
  </si>
  <si>
    <t>Orientation</t>
  </si>
  <si>
    <t>U-waarde</t>
  </si>
  <si>
    <t>U*A</t>
  </si>
  <si>
    <t>Cth</t>
  </si>
  <si>
    <t>Cth2</t>
  </si>
  <si>
    <t>Roof</t>
  </si>
  <si>
    <t>U=</t>
  </si>
  <si>
    <t>C=</t>
  </si>
  <si>
    <t>C2=</t>
  </si>
  <si>
    <t>W1</t>
  </si>
  <si>
    <t>Wall External</t>
  </si>
  <si>
    <t>front</t>
  </si>
  <si>
    <t>layers</t>
  </si>
  <si>
    <t>thickness [m]</t>
  </si>
  <si>
    <t>lambda [W/mK]</t>
  </si>
  <si>
    <t>rho [kg/m³]</t>
  </si>
  <si>
    <t>c [J/kgK]</t>
  </si>
  <si>
    <t>R [m²K/W]</t>
  </si>
  <si>
    <t>C [J/m²K]</t>
  </si>
  <si>
    <t>Usable floor area</t>
  </si>
  <si>
    <t>Front</t>
  </si>
  <si>
    <t>Gf</t>
  </si>
  <si>
    <t>(%)</t>
  </si>
  <si>
    <t>W2</t>
  </si>
  <si>
    <t>right</t>
  </si>
  <si>
    <t>tiled roof</t>
  </si>
  <si>
    <t>*voegen niet ingerekend</t>
  </si>
  <si>
    <t>Day zone</t>
  </si>
  <si>
    <t>Right</t>
  </si>
  <si>
    <t>W3</t>
  </si>
  <si>
    <t>back</t>
  </si>
  <si>
    <t>air gap</t>
  </si>
  <si>
    <t>Night zone</t>
  </si>
  <si>
    <t>Back</t>
  </si>
  <si>
    <t>W4</t>
  </si>
  <si>
    <t>left</t>
  </si>
  <si>
    <t>insulation</t>
  </si>
  <si>
    <t>Left</t>
  </si>
  <si>
    <t>W5</t>
  </si>
  <si>
    <t>Window</t>
  </si>
  <si>
    <t>woodboard</t>
  </si>
  <si>
    <t>Ff</t>
  </si>
  <si>
    <t>W6</t>
  </si>
  <si>
    <t>gipspleister</t>
  </si>
  <si>
    <t>W7</t>
  </si>
  <si>
    <t>W8</t>
  </si>
  <si>
    <t>W9</t>
  </si>
  <si>
    <t>ground</t>
  </si>
  <si>
    <t>Floor</t>
  </si>
  <si>
    <t>Wall external</t>
  </si>
  <si>
    <t>Summarizing ratios</t>
  </si>
  <si>
    <t>W10</t>
  </si>
  <si>
    <t>W11</t>
  </si>
  <si>
    <t>Door</t>
  </si>
  <si>
    <t>compactness</t>
  </si>
  <si>
    <t>m</t>
  </si>
  <si>
    <t>W12</t>
  </si>
  <si>
    <t>Cement plaster</t>
  </si>
  <si>
    <t>Unusable floor area</t>
  </si>
  <si>
    <t>envelope surface/ total floor</t>
  </si>
  <si>
    <t>W13</t>
  </si>
  <si>
    <t>BrickHe</t>
  </si>
  <si>
    <t>Attic (h&gt;1.8m)</t>
  </si>
  <si>
    <t>envelope surface/ usable floor area</t>
  </si>
  <si>
    <t>W14</t>
  </si>
  <si>
    <t>gypsum</t>
  </si>
  <si>
    <t>Attic (h&lt;1.8m)</t>
  </si>
  <si>
    <t>W15</t>
  </si>
  <si>
    <t>Window area/ total floor area</t>
  </si>
  <si>
    <t>W16</t>
  </si>
  <si>
    <t>Wall internal</t>
  </si>
  <si>
    <t>Window area/ usable floor area</t>
  </si>
  <si>
    <t>W17</t>
  </si>
  <si>
    <t>Window area/envelope area</t>
  </si>
  <si>
    <t>W18</t>
  </si>
  <si>
    <t>pleister</t>
  </si>
  <si>
    <t>Total floor surface</t>
  </si>
  <si>
    <t>W19</t>
  </si>
  <si>
    <t>metselwerk</t>
  </si>
  <si>
    <t>= usable area x</t>
  </si>
  <si>
    <t>Nightzone/usable floor area</t>
  </si>
  <si>
    <t>W20</t>
  </si>
  <si>
    <t>front/back</t>
  </si>
  <si>
    <t>W21</t>
  </si>
  <si>
    <t>Floor internal</t>
  </si>
  <si>
    <t>envelope surface area</t>
  </si>
  <si>
    <t>W22</t>
  </si>
  <si>
    <t>W23</t>
  </si>
  <si>
    <t>wooden floor</t>
  </si>
  <si>
    <t>*klopt niet -&gt; hout is lichter dan water slimme!</t>
  </si>
  <si>
    <t>cavity</t>
  </si>
  <si>
    <t>Total UA</t>
  </si>
  <si>
    <t>W/K</t>
  </si>
  <si>
    <t>wooden ceiling</t>
  </si>
  <si>
    <t>Zone number</t>
  </si>
  <si>
    <t>Volume [m³]</t>
  </si>
  <si>
    <t>type</t>
  </si>
  <si>
    <t>Set temperature</t>
  </si>
  <si>
    <t>A_g</t>
  </si>
  <si>
    <t>UA_walls+roof</t>
  </si>
  <si>
    <t>window</t>
  </si>
  <si>
    <t>Night Zone</t>
  </si>
  <si>
    <t>UA_windows</t>
  </si>
  <si>
    <t>Attic</t>
  </si>
  <si>
    <t>unheated</t>
  </si>
  <si>
    <t>inf</t>
  </si>
  <si>
    <t>g-waarde</t>
  </si>
  <si>
    <t>Cair</t>
  </si>
  <si>
    <t>MJ</t>
  </si>
  <si>
    <t>C_walls+roof</t>
  </si>
  <si>
    <t>MJ/K</t>
  </si>
  <si>
    <t>C_int</t>
  </si>
  <si>
    <t>C_floor</t>
  </si>
  <si>
    <t>tiles</t>
  </si>
  <si>
    <t>screed</t>
  </si>
  <si>
    <t>PUR</t>
  </si>
  <si>
    <t>Concrete</t>
  </si>
  <si>
    <t>Isolatie</t>
  </si>
  <si>
    <t>infiltration rate (n_{50})</t>
  </si>
  <si>
    <t>Tabula data</t>
  </si>
  <si>
    <t>Type</t>
  </si>
  <si>
    <t>Allacker</t>
  </si>
  <si>
    <t>Total floor surface area</t>
  </si>
  <si>
    <t>Total envelope area</t>
  </si>
  <si>
    <t>Exterior wall</t>
  </si>
  <si>
    <t>Exterior wall to unheated spaces</t>
  </si>
  <si>
    <t>Total exterior wall</t>
  </si>
  <si>
    <t>Floor on soil</t>
  </si>
  <si>
    <t>Floor bordering unheated spaces</t>
  </si>
  <si>
    <t>Floor bordering outdoor spaces</t>
  </si>
  <si>
    <t>Total Floor on ground</t>
  </si>
  <si>
    <t>Doors</t>
  </si>
  <si>
    <t>Windows N</t>
  </si>
  <si>
    <t>Windows E</t>
  </si>
  <si>
    <t>Windows S</t>
  </si>
  <si>
    <t>Windows W</t>
  </si>
  <si>
    <t>Total windows</t>
  </si>
  <si>
    <t>Compactness</t>
  </si>
  <si>
    <t>Total envelope area/Total floor</t>
  </si>
  <si>
    <t>Total envelope area/Usable floor</t>
  </si>
  <si>
    <t>Window/total envelope</t>
  </si>
  <si>
    <t>Window/total floor</t>
  </si>
  <si>
    <t>Window/usable floor</t>
  </si>
  <si>
    <t>Ratio: Tabula/Allacker</t>
  </si>
  <si>
    <t>Total ground Floor</t>
  </si>
  <si>
    <t>Windows</t>
  </si>
  <si>
    <t>Berekening verwarming voor multizone EL²EP detached house</t>
  </si>
  <si>
    <t>Berekening volgens EN12381-2003</t>
  </si>
  <si>
    <t>T_e,d</t>
  </si>
  <si>
    <t>°C</t>
  </si>
  <si>
    <t>Samenvatting</t>
  </si>
  <si>
    <t>Zone</t>
  </si>
  <si>
    <t>Q</t>
  </si>
  <si>
    <t>Transmissieverliezen</t>
  </si>
  <si>
    <t>W</t>
  </si>
  <si>
    <t>Buitenwanden + Ramen</t>
  </si>
  <si>
    <t>Naar zone</t>
  </si>
  <si>
    <t>wandtype</t>
  </si>
  <si>
    <t>Oppervlakte [m²]</t>
  </si>
  <si>
    <t>Orientatie</t>
  </si>
  <si>
    <t>f_k</t>
  </si>
  <si>
    <t>Totaal</t>
  </si>
  <si>
    <t>Vloeren boven grond/nietverwarmde ruimte</t>
  </si>
  <si>
    <t>Naar Zone</t>
  </si>
  <si>
    <t>Oppervlakte</t>
  </si>
  <si>
    <t>Ag</t>
  </si>
  <si>
    <t>P</t>
  </si>
  <si>
    <t>dw</t>
  </si>
  <si>
    <t>B</t>
  </si>
  <si>
    <t>dt</t>
  </si>
  <si>
    <t>U'</t>
  </si>
  <si>
    <t>Binnenwanden/Binnenvloeren</t>
  </si>
  <si>
    <t>Van</t>
  </si>
  <si>
    <t>Naar</t>
  </si>
  <si>
    <t>Opp</t>
  </si>
  <si>
    <t>Ti1</t>
  </si>
  <si>
    <t>Ti2</t>
  </si>
  <si>
    <t>Totaal transmissie:</t>
  </si>
  <si>
    <t>HT</t>
  </si>
  <si>
    <t>Ventilatieverliezen</t>
  </si>
  <si>
    <t>infiltratie</t>
  </si>
  <si>
    <t>n50=</t>
  </si>
  <si>
    <t>tab D.7</t>
  </si>
  <si>
    <t>e_i=</t>
  </si>
  <si>
    <t>tab D.8</t>
  </si>
  <si>
    <t>eps=</t>
  </si>
  <si>
    <t>tab D.9</t>
  </si>
  <si>
    <t>V_inf</t>
  </si>
  <si>
    <t>m³/h</t>
  </si>
  <si>
    <t>Hygienische vent</t>
  </si>
  <si>
    <t>V_min</t>
  </si>
  <si>
    <t>eff</t>
  </si>
  <si>
    <t>V_i=</t>
  </si>
  <si>
    <t>n=</t>
  </si>
  <si>
    <t>H_V</t>
  </si>
  <si>
    <t>Intermitterend verwarmen</t>
  </si>
  <si>
    <t>f_R,H</t>
  </si>
  <si>
    <t>Tab D10b: 3K,1h</t>
  </si>
  <si>
    <t>H_RH</t>
  </si>
  <si>
    <t>TOTAAL</t>
  </si>
  <si>
    <t>H</t>
  </si>
  <si>
    <t>W45</t>
  </si>
  <si>
    <t>W50</t>
  </si>
  <si>
    <t>W51</t>
  </si>
  <si>
    <t>W54</t>
  </si>
  <si>
    <t>W55</t>
  </si>
  <si>
    <t>W69</t>
  </si>
  <si>
    <t>geen ontworpen ventilatiesysteem!</t>
  </si>
  <si>
    <t>W46</t>
  </si>
  <si>
    <t>W56</t>
  </si>
  <si>
    <t>W57</t>
  </si>
  <si>
    <t>W70</t>
  </si>
  <si>
    <t>constante temp</t>
  </si>
  <si>
    <t>W58</t>
  </si>
  <si>
    <t>W59</t>
  </si>
  <si>
    <t>W71</t>
  </si>
  <si>
    <t>W76</t>
  </si>
  <si>
    <t>Tab D10b: 3K,2h</t>
  </si>
  <si>
    <t>W60</t>
  </si>
  <si>
    <t>W61</t>
  </si>
  <si>
    <t>W67</t>
  </si>
  <si>
    <t>W74</t>
  </si>
  <si>
    <t>W62</t>
  </si>
  <si>
    <t>W63</t>
  </si>
  <si>
    <t>W68</t>
  </si>
  <si>
    <t>W75</t>
  </si>
  <si>
    <t>W25</t>
  </si>
  <si>
    <t>W26</t>
  </si>
  <si>
    <t>W27</t>
  </si>
  <si>
    <t>W28</t>
  </si>
  <si>
    <t>W78</t>
  </si>
  <si>
    <t>W29</t>
  </si>
  <si>
    <t>W30</t>
  </si>
  <si>
    <t>W31</t>
  </si>
  <si>
    <t>W47</t>
  </si>
  <si>
    <t>W52</t>
  </si>
  <si>
    <t>W32</t>
  </si>
  <si>
    <t>W33</t>
  </si>
  <si>
    <t>W48</t>
  </si>
  <si>
    <t>W72</t>
  </si>
  <si>
    <t>aanname dat berging dient als wasplaats! Anders V_min=0</t>
  </si>
  <si>
    <t>W34</t>
  </si>
  <si>
    <t>W35</t>
  </si>
  <si>
    <t>W36</t>
  </si>
  <si>
    <t>W49</t>
  </si>
  <si>
    <t>W53</t>
  </si>
  <si>
    <t>W64</t>
  </si>
  <si>
    <t>W65</t>
  </si>
  <si>
    <t>W66</t>
  </si>
  <si>
    <t>W73</t>
  </si>
  <si>
    <t>W77</t>
  </si>
  <si>
    <t>Qnom</t>
  </si>
  <si>
    <t>glasswool</t>
  </si>
  <si>
    <t>BrickMe</t>
  </si>
  <si>
    <t>Insulation</t>
  </si>
  <si>
    <t>BrickMi</t>
  </si>
  <si>
    <t>Assuptions</t>
  </si>
  <si>
    <t>A_wall</t>
  </si>
  <si>
    <t>(Front and back / Total)</t>
  </si>
  <si>
    <t>GF_frontBack/ Total_frontBack</t>
  </si>
  <si>
    <t>(pitched roof front back oriented)</t>
  </si>
  <si>
    <t>Eps</t>
  </si>
  <si>
    <t>GF_leftRight/Total_leftRight</t>
  </si>
  <si>
    <t>Gf_windows/Total_Windows</t>
  </si>
  <si>
    <t>Physical parameters</t>
  </si>
  <si>
    <t>DayZone</t>
  </si>
  <si>
    <t>UA</t>
  </si>
  <si>
    <t>vent</t>
  </si>
  <si>
    <t>vent+inf</t>
  </si>
  <si>
    <t>Uawin</t>
  </si>
  <si>
    <t>hwi</t>
  </si>
  <si>
    <t>Uafl</t>
  </si>
  <si>
    <t>(niet gereduceerde!)</t>
  </si>
  <si>
    <t>Losstot</t>
  </si>
  <si>
    <t>Total</t>
  </si>
  <si>
    <t>Inside insul.</t>
  </si>
  <si>
    <t>Cw</t>
  </si>
  <si>
    <t>J/K</t>
  </si>
  <si>
    <t>Cwi</t>
  </si>
  <si>
    <t>Cfl</t>
  </si>
  <si>
    <t>Cwalls</t>
  </si>
  <si>
    <t>Ctotal</t>
  </si>
  <si>
    <t>Uafi</t>
  </si>
  <si>
    <t>Cfi</t>
  </si>
  <si>
    <t>NightZone</t>
  </si>
  <si>
    <t>Uar</t>
  </si>
  <si>
    <t>Cr</t>
  </si>
  <si>
    <t>n50</t>
  </si>
  <si>
    <t>d</t>
  </si>
  <si>
    <t>Dimensionering vloerverwarming</t>
  </si>
  <si>
    <t>(prEN15377-2:2008)</t>
  </si>
  <si>
    <t>(TV 181 - vereenvoudigde methode)</t>
  </si>
  <si>
    <t>Kamer</t>
  </si>
  <si>
    <t>Q_nom [W]</t>
  </si>
  <si>
    <t>Tabel 10b annex D EN12831</t>
  </si>
  <si>
    <t>Q_nom_FH [W]</t>
  </si>
  <si>
    <t>Q_nom_Rad [W]</t>
  </si>
  <si>
    <t>A_F [m²]</t>
  </si>
  <si>
    <t>2K ; 1.5 h</t>
  </si>
  <si>
    <t>f_RH</t>
  </si>
  <si>
    <t>q_s,des [W/m²]</t>
  </si>
  <si>
    <t>T_s,max [°C]</t>
  </si>
  <si>
    <t>T_i,des [°C]</t>
  </si>
  <si>
    <t>q_g [W/m²]</t>
  </si>
  <si>
    <t>Possible?</t>
  </si>
  <si>
    <t>q_max</t>
  </si>
  <si>
    <t>T_s,n [°C]</t>
  </si>
  <si>
    <t>Watertemperatuur</t>
  </si>
  <si>
    <t>T_v [°C]</t>
  </si>
  <si>
    <t>qsm</t>
  </si>
  <si>
    <t>T_r[°C]</t>
  </si>
  <si>
    <t>tabel p40 TV181</t>
  </si>
  <si>
    <t>T_w[°C]</t>
  </si>
  <si>
    <t>tabel p40 TV182</t>
  </si>
  <si>
    <t>s_max [m]</t>
  </si>
  <si>
    <t>tabel p40 TV183</t>
  </si>
  <si>
    <t>S_tb [m]</t>
  </si>
  <si>
    <t>R_tb [m²K/W]</t>
  </si>
  <si>
    <t>lambda_b [W/mK]</t>
  </si>
  <si>
    <t>Rtb&lt;0.2</t>
  </si>
  <si>
    <t>(T_w-T_s)</t>
  </si>
  <si>
    <t>ksmin</t>
  </si>
  <si>
    <t>ks</t>
  </si>
  <si>
    <t>tabel1e p36</t>
  </si>
  <si>
    <t>T</t>
  </si>
  <si>
    <t>tabel1e p37</t>
  </si>
  <si>
    <t>da</t>
  </si>
  <si>
    <t>tabel1e p38</t>
  </si>
  <si>
    <t>s_r</t>
  </si>
  <si>
    <t>tabel1e p39</t>
  </si>
  <si>
    <t>control T</t>
  </si>
  <si>
    <t>q_s</t>
  </si>
  <si>
    <t>q_s&gt;=q_s,d ?</t>
  </si>
  <si>
    <t>T_onder [°C]</t>
  </si>
  <si>
    <t>(T_w-T_onder)</t>
  </si>
  <si>
    <t>k_i [W/m²K]</t>
  </si>
  <si>
    <t>geschat!!</t>
  </si>
  <si>
    <t>q_i [W/m²]</t>
  </si>
  <si>
    <t>L_r [m]</t>
  </si>
  <si>
    <t>Q [W]</t>
  </si>
  <si>
    <t>D[l/s]</t>
  </si>
  <si>
    <t>v [m/s]</t>
  </si>
  <si>
    <t>Samenvatting parameters model</t>
  </si>
  <si>
    <t>kamer</t>
  </si>
  <si>
    <t>1</t>
  </si>
  <si>
    <t>2</t>
  </si>
  <si>
    <t>T=</t>
  </si>
  <si>
    <t>d_a</t>
  </si>
  <si>
    <t>S_1</t>
  </si>
  <si>
    <t>S_2</t>
  </si>
  <si>
    <t>A_floor</t>
  </si>
  <si>
    <t>lambda_b</t>
  </si>
  <si>
    <t>c_b</t>
  </si>
  <si>
    <t>rho_b</t>
  </si>
  <si>
    <t>flowspeed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</si>
  <si>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</si>
  <si>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</si>
  <si>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</si>
  <si>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</si>
  <si>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</si>
  <si>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</si>
  <si>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</si>
  <si>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</si>
  <si>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</si>
  <si>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</si>
  <si>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Day</t>
  </si>
  <si>
    <t>Night</t>
  </si>
  <si>
    <t>external dimensions!</t>
  </si>
  <si>
    <t>opgelet: dikte = 0.06 cm screed!!</t>
  </si>
  <si>
    <t>Parameters greybox: 4state day zone, 4 state night zone, 1 state interior floor</t>
  </si>
  <si>
    <t>(Models DayZone_5state_B, NightZone_4state_A)</t>
  </si>
  <si>
    <t>Parameter</t>
  </si>
  <si>
    <t>Theoretical</t>
  </si>
  <si>
    <t>TO paste in dymola</t>
  </si>
  <si>
    <t>parameter</t>
  </si>
  <si>
    <t>Real</t>
  </si>
  <si>
    <t>abs1D</t>
  </si>
  <si>
    <t>;</t>
  </si>
  <si>
    <t>abs2D</t>
  </si>
  <si>
    <t>abs3D</t>
  </si>
  <si>
    <t>abs4D</t>
  </si>
  <si>
    <t>CiD</t>
  </si>
  <si>
    <t>CwD</t>
  </si>
  <si>
    <t>CwiD</t>
  </si>
  <si>
    <t>CflD</t>
  </si>
  <si>
    <t>f1D</t>
  </si>
  <si>
    <t>f2D</t>
  </si>
  <si>
    <t>f3D</t>
  </si>
  <si>
    <t>f4D</t>
  </si>
  <si>
    <t>hwD</t>
  </si>
  <si>
    <t>hflD</t>
  </si>
  <si>
    <t>hwiD</t>
  </si>
  <si>
    <t>infD</t>
  </si>
  <si>
    <t>UwD</t>
  </si>
  <si>
    <t>UflD</t>
  </si>
  <si>
    <t>abs1N</t>
  </si>
  <si>
    <t>abs2N</t>
  </si>
  <si>
    <t>abs3N</t>
  </si>
  <si>
    <t>CiN</t>
  </si>
  <si>
    <t>CwN</t>
  </si>
  <si>
    <t>CwiN</t>
  </si>
  <si>
    <t>f1N</t>
  </si>
  <si>
    <t>f2N</t>
  </si>
  <si>
    <t>f3N</t>
  </si>
  <si>
    <t>hwN</t>
  </si>
  <si>
    <t>hwiN</t>
  </si>
  <si>
    <t>infN</t>
  </si>
  <si>
    <t>UwN</t>
  </si>
  <si>
    <t>abs5D</t>
  </si>
  <si>
    <t>abs5N</t>
  </si>
  <si>
    <t>CfiD </t>
  </si>
  <si>
    <t>CfiN</t>
  </si>
  <si>
    <t>f5D </t>
  </si>
  <si>
    <t>f5N </t>
  </si>
  <si>
    <t>UfDN</t>
  </si>
  <si>
    <t>Ufi</t>
  </si>
  <si>
    <t>UfND</t>
  </si>
  <si>
    <t>Check absD</t>
  </si>
  <si>
    <t>Check fi</t>
  </si>
  <si>
    <t>=</t>
  </si>
  <si>
    <t xml:space="preserve"> </t>
  </si>
  <si>
    <t>Physpar</t>
  </si>
  <si>
    <t>DAYZONE 5B</t>
  </si>
  <si>
    <t>7B,7C,8A</t>
  </si>
  <si>
    <t>UA_D</t>
  </si>
  <si>
    <t>UA_N</t>
  </si>
  <si>
    <t>vent_D</t>
  </si>
  <si>
    <t>vent_N</t>
  </si>
  <si>
    <t>Cw_D</t>
  </si>
  <si>
    <t>Cw_N</t>
  </si>
  <si>
    <t>Cwi_D</t>
  </si>
  <si>
    <t>Cwi_N</t>
  </si>
  <si>
    <t>hwi_D</t>
  </si>
  <si>
    <t>hwi_N</t>
  </si>
  <si>
    <t>Ctot</t>
  </si>
  <si>
    <t>LossTotal</t>
  </si>
  <si>
    <t>Cair_D</t>
  </si>
  <si>
    <t>Cair_N</t>
  </si>
  <si>
    <t>Nightzone</t>
  </si>
  <si>
    <t>ctot</t>
  </si>
  <si>
    <t>Ufl=</t>
  </si>
  <si>
    <t>Uar=</t>
  </si>
  <si>
    <t>losstotal</t>
  </si>
  <si>
    <t>FITTED</t>
  </si>
  <si>
    <t>hr_wewi</t>
  </si>
  <si>
    <t>hr_wefi</t>
  </si>
  <si>
    <t>hr_wefl</t>
  </si>
  <si>
    <t>hr_wifi</t>
  </si>
  <si>
    <t>hr_wifl</t>
  </si>
  <si>
    <t>hr_flfi</t>
  </si>
  <si>
    <t>Ti0</t>
  </si>
  <si>
    <t>Tw0</t>
  </si>
  <si>
    <t>Twi0</t>
  </si>
  <si>
    <t>Tfi0</t>
  </si>
  <si>
    <t>Tfl0</t>
  </si>
  <si>
    <t>abs1</t>
  </si>
  <si>
    <t>abs2</t>
  </si>
  <si>
    <t>abs3</t>
  </si>
  <si>
    <t>abs4</t>
  </si>
  <si>
    <t>abs5</t>
  </si>
  <si>
    <t>Ci</t>
  </si>
  <si>
    <t>e11</t>
  </si>
  <si>
    <t>e22</t>
  </si>
  <si>
    <t>e33</t>
  </si>
  <si>
    <t>e44</t>
  </si>
  <si>
    <t>e55</t>
  </si>
  <si>
    <t>f1</t>
  </si>
  <si>
    <t>f2</t>
  </si>
  <si>
    <t>f3</t>
  </si>
  <si>
    <t>f4</t>
  </si>
  <si>
    <t>f5</t>
  </si>
  <si>
    <t>hcAw</t>
  </si>
  <si>
    <t>hfl</t>
  </si>
  <si>
    <t>p11</t>
  </si>
  <si>
    <t>p22</t>
  </si>
  <si>
    <t>p33</t>
  </si>
  <si>
    <t>p44</t>
  </si>
  <si>
    <t>p55</t>
  </si>
  <si>
    <t>Re</t>
  </si>
  <si>
    <t>UfiA</t>
  </si>
  <si>
    <t>UfiB</t>
  </si>
  <si>
    <t>Ufl</t>
  </si>
  <si>
    <t>[1]</t>
  </si>
  <si>
    <t>DayZone_5state_B</t>
  </si>
  <si>
    <t>Coefficients:</t>
  </si>
  <si>
    <t>Estimate</t>
  </si>
  <si>
    <t>Std.</t>
  </si>
  <si>
    <t>Error</t>
  </si>
  <si>
    <t>t</t>
  </si>
  <si>
    <t>value</t>
  </si>
  <si>
    <t>&lt;2e-16</t>
  </si>
  <si>
    <t>##</t>
  </si>
  <si>
    <t>NightZone_4state_B</t>
  </si>
  <si>
    <t>Pr(&gt;|t|)</t>
  </si>
  <si>
    <t>&lt;</t>
  </si>
  <si>
    <t>***</t>
  </si>
  <si>
    <t>*</t>
  </si>
  <si>
    <t>MultiZoneWall_2state_B</t>
  </si>
  <si>
    <t>TfiD0</t>
  </si>
  <si>
    <t>TfiN0</t>
  </si>
  <si>
    <t>CfiD</t>
  </si>
  <si>
    <t>**</t>
  </si>
  <si>
    <t>e66</t>
  </si>
  <si>
    <t>f5D</t>
  </si>
  <si>
    <t>f5N</t>
  </si>
  <si>
    <t>p99</t>
  </si>
  <si>
    <t>MultiZone_8state_A</t>
  </si>
  <si>
    <t>TiD0</t>
  </si>
  <si>
    <t>TwD0</t>
  </si>
  <si>
    <t>TwiD0</t>
  </si>
  <si>
    <t>TiN0</t>
  </si>
  <si>
    <t>TwN0</t>
  </si>
  <si>
    <t>TwiN0</t>
  </si>
  <si>
    <t>e77</t>
  </si>
  <si>
    <t>e88</t>
  </si>
  <si>
    <t>p66</t>
  </si>
  <si>
    <t>p77</t>
  </si>
  <si>
    <t>p88</t>
  </si>
  <si>
    <t>FITTED PRBS</t>
  </si>
  <si>
    <t>RC</t>
  </si>
  <si>
    <t>GBPRBS</t>
  </si>
  <si>
    <t>GBINUSE</t>
  </si>
  <si>
    <t>SOLNEWS INUSE</t>
  </si>
  <si>
    <t>## Coefficients:</t>
  </si>
  <si>
    <t>## Estimate Std. Error t value Pr(&gt;|t|)</t>
  </si>
  <si>
    <t>DayZone_5state_E</t>
  </si>
  <si>
    <t>abs1E</t>
  </si>
  <si>
    <t>abs1S</t>
  </si>
  <si>
    <t>abs1W</t>
  </si>
  <si>
    <t>abs2E</t>
  </si>
  <si>
    <t>abs2S</t>
  </si>
  <si>
    <t>abs2W</t>
  </si>
  <si>
    <t>abs3E</t>
  </si>
  <si>
    <t>abs3S</t>
  </si>
  <si>
    <t>abs3W</t>
  </si>
  <si>
    <t>abs4E</t>
  </si>
  <si>
    <t>abs4N</t>
  </si>
  <si>
    <t>abs4S</t>
  </si>
  <si>
    <t>abs4W</t>
  </si>
  <si>
    <t>abs5E</t>
  </si>
  <si>
    <t>abs5S</t>
  </si>
  <si>
    <t>abs5W</t>
  </si>
  <si>
    <t>.</t>
  </si>
  <si>
    <t>NightZone_4state_E</t>
  </si>
  <si>
    <t>---</t>
  </si>
  <si>
    <t>Signif.</t>
  </si>
  <si>
    <t>codes:</t>
  </si>
  <si>
    <t>'***'</t>
  </si>
  <si>
    <t>'**'</t>
  </si>
  <si>
    <t>'</t>
  </si>
  <si>
    <t>## [1] "MultiZoneWall_2state_B"</t>
  </si>
  <si>
    <t>## TfiD0 2.90e+02 1.45e-01 1995.82 &lt; 2e-16 ***</t>
  </si>
  <si>
    <t>SolNESW INUSE</t>
  </si>
  <si>
    <t>parameter Real</t>
  </si>
  <si>
    <t>abs1ED</t>
  </si>
  <si>
    <t>abs1ND</t>
  </si>
  <si>
    <t>abs1SD</t>
  </si>
  <si>
    <t>abs1WD</t>
  </si>
  <si>
    <t>abs2ED</t>
  </si>
  <si>
    <t>abs2ND</t>
  </si>
  <si>
    <t>abs2SD</t>
  </si>
  <si>
    <t>abs2WD</t>
  </si>
  <si>
    <t>abs3ED</t>
  </si>
  <si>
    <t>abs3ND</t>
  </si>
  <si>
    <t>abs3SD</t>
  </si>
  <si>
    <t>abs3WD</t>
  </si>
  <si>
    <t>abs4ED</t>
  </si>
  <si>
    <t>abs4ND</t>
  </si>
  <si>
    <t>abs4SD</t>
  </si>
  <si>
    <t>abs4WD</t>
  </si>
  <si>
    <t>abs5ED</t>
  </si>
  <si>
    <t>abs5ND</t>
  </si>
  <si>
    <t>abs5SD</t>
  </si>
  <si>
    <t>abs5WD</t>
  </si>
  <si>
    <t>hcAwD</t>
  </si>
  <si>
    <t>abs1EN</t>
  </si>
  <si>
    <t>abs1NN</t>
  </si>
  <si>
    <t>abs1SN</t>
  </si>
  <si>
    <t>abs1WN</t>
  </si>
  <si>
    <t>abs2EN</t>
  </si>
  <si>
    <t>abs2NN</t>
  </si>
  <si>
    <t>abs2SN</t>
  </si>
  <si>
    <t>abs2WN</t>
  </si>
  <si>
    <t>abs3EN</t>
  </si>
  <si>
    <t>abs3NN</t>
  </si>
  <si>
    <t>abs3SN</t>
  </si>
  <si>
    <t>abs3WN</t>
  </si>
  <si>
    <t>abs5EN</t>
  </si>
  <si>
    <t>abs5NN</t>
  </si>
  <si>
    <t>abs5SN</t>
  </si>
  <si>
    <t>abs5WN</t>
  </si>
  <si>
    <t>hcAwN</t>
  </si>
  <si>
    <t>fframe</t>
  </si>
  <si>
    <t>UF</t>
  </si>
  <si>
    <t>plaster</t>
  </si>
  <si>
    <t>Common Wall</t>
  </si>
  <si>
    <t>Brick I</t>
  </si>
  <si>
    <t>number of floors</t>
  </si>
  <si>
    <t>height floor</t>
  </si>
  <si>
    <t>width facade</t>
  </si>
  <si>
    <t>depth building</t>
  </si>
  <si>
    <t>Afacade</t>
  </si>
  <si>
    <t>Area common wall</t>
  </si>
  <si>
    <t>C</t>
  </si>
  <si>
    <t>hw</t>
  </si>
  <si>
    <t>SolNESW THEO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</si>
</sst>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 * #,##0.00_ ;_ * \-#,##0.00_ ;_ * \-??_ ;_ @_ "/>
    <numFmt numFmtId="165" formatCode="0.000"/>
    <numFmt numFmtId="166" formatCode="0.0"/>
    <numFmt numFmtId="167" formatCode="0.0000E+00"/>
    <numFmt numFmtId="168" formatCode="0.00E+000"/>
  </numFmts>
  <fonts count="4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1"/>
    </font>
    <font>
      <sz val="11"/>
      <color rgb="FFFFFFFF"/>
      <name val="Calibri"/>
      <family val="2"/>
      <charset val="1"/>
    </font>
    <font>
      <i/>
      <sz val="11"/>
      <color rgb="FF7F7F7F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sz val="15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3"/>
      <color rgb="FF1F497D"/>
      <name val="Calibri"/>
      <family val="2"/>
      <charset val="1"/>
    </font>
    <font>
      <b/>
      <sz val="11"/>
      <color rgb="FF1F497D"/>
      <name val="Calibri"/>
      <family val="2"/>
      <charset val="1"/>
    </font>
    <font>
      <b/>
      <sz val="18"/>
      <color rgb="FF1F497D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i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3F3F76"/>
      <name val="Calibri"/>
      <family val="2"/>
      <scheme val="minor"/>
    </font>
    <font>
      <b/>
      <i/>
      <u/>
      <sz val="11"/>
      <color rgb="FF7F7F7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DCE6F2"/>
        <bgColor rgb="FFF2F2F2"/>
      </patternFill>
    </fill>
    <fill>
      <patternFill patternType="solid">
        <fgColor rgb="FF95B3D7"/>
        <bgColor rgb="FFA7C0DE"/>
      </patternFill>
    </fill>
    <fill>
      <patternFill patternType="solid">
        <fgColor rgb="FFB9CDE5"/>
        <bgColor rgb="FFA7C0DE"/>
      </patternFill>
    </fill>
    <fill>
      <patternFill patternType="solid">
        <fgColor rgb="FFC0504D"/>
        <bgColor rgb="FF993366"/>
      </patternFill>
    </fill>
    <fill>
      <patternFill patternType="solid">
        <fgColor rgb="FFF2DCDB"/>
        <bgColor rgb="FFDCE6F2"/>
      </patternFill>
    </fill>
    <fill>
      <patternFill patternType="solid">
        <fgColor rgb="FF8064A2"/>
        <bgColor rgb="FF7F7F7F"/>
      </patternFill>
    </fill>
    <fill>
      <patternFill patternType="solid">
        <fgColor rgb="FFCCC1DA"/>
        <bgColor rgb="FFBFBFBF"/>
      </patternFill>
    </fill>
    <fill>
      <patternFill patternType="solid">
        <fgColor rgb="FFBFBFBF"/>
        <bgColor rgb="FFB7B7B7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F2DCDB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B7B7B7"/>
      </patternFill>
    </fill>
    <fill>
      <patternFill patternType="solid">
        <fgColor rgb="FFC3D69B"/>
        <bgColor rgb="FFBFBFB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0" tint="-0.249977111117893"/>
        <bgColor rgb="FFF2F2F2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7F7F7F"/>
      </left>
      <right style="thick">
        <color rgb="FF7F7F7F"/>
      </right>
      <top style="thick">
        <color rgb="FF7F7F7F"/>
      </top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 style="thick">
        <color rgb="FF7F7F7F"/>
      </right>
      <top/>
      <bottom style="thick">
        <color rgb="FF7F7F7F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auto="1"/>
      </left>
      <right/>
      <top style="thick">
        <color auto="1"/>
      </top>
      <bottom style="thick">
        <color rgb="FF95B3D7"/>
      </bottom>
      <diagonal/>
    </border>
    <border>
      <left/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 style="thick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/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/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0">
    <xf numFmtId="0" fontId="0" fillId="0" borderId="0"/>
    <xf numFmtId="9" fontId="26" fillId="0" borderId="0"/>
    <xf numFmtId="0" fontId="20" fillId="0" borderId="0"/>
    <xf numFmtId="0" fontId="27" fillId="0" borderId="21" applyNumberFormat="0" applyFill="0" applyAlignment="0" applyProtection="0"/>
    <xf numFmtId="0" fontId="28" fillId="0" borderId="22" applyNumberFormat="0" applyFill="0" applyAlignment="0" applyProtection="0"/>
    <xf numFmtId="0" fontId="29" fillId="17" borderId="0" applyNumberFormat="0" applyBorder="0" applyAlignment="0" applyProtection="0"/>
    <xf numFmtId="0" fontId="30" fillId="18" borderId="0" applyNumberFormat="0" applyBorder="0" applyAlignment="0" applyProtection="0"/>
    <xf numFmtId="0" fontId="32" fillId="19" borderId="23" applyNumberFormat="0" applyAlignment="0" applyProtection="0"/>
    <xf numFmtId="0" fontId="33" fillId="20" borderId="23" applyNumberFormat="0" applyAlignment="0" applyProtection="0"/>
    <xf numFmtId="0" fontId="34" fillId="21" borderId="24" applyNumberFormat="0" applyAlignment="0" applyProtection="0"/>
    <xf numFmtId="0" fontId="36" fillId="0" borderId="0" applyNumberFormat="0" applyFill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6" fillId="0" borderId="0"/>
    <xf numFmtId="0" fontId="6" fillId="22" borderId="25" applyNumberFormat="0" applyFont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1" fillId="29" borderId="0" applyNumberFormat="0" applyBorder="0" applyAlignment="0" applyProtection="0"/>
    <xf numFmtId="43" fontId="26" fillId="0" borderId="0" applyFont="0" applyFill="0" applyBorder="0" applyAlignment="0" applyProtection="0"/>
    <xf numFmtId="0" fontId="1" fillId="34" borderId="0" applyNumberFormat="0" applyBorder="0" applyAlignment="0" applyProtection="0"/>
  </cellStyleXfs>
  <cellXfs count="354">
    <xf numFmtId="0" fontId="0" fillId="0" borderId="0" xfId="0"/>
    <xf numFmtId="0" fontId="0" fillId="10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8" fillId="10" borderId="0" xfId="2" applyFont="1" applyFill="1" applyBorder="1" applyAlignment="1" applyProtection="1">
      <alignment horizontal="center"/>
    </xf>
    <xf numFmtId="0" fontId="9" fillId="0" borderId="4" xfId="2" applyFont="1" applyFill="1" applyBorder="1" applyAlignment="1" applyProtection="1"/>
    <xf numFmtId="0" fontId="0" fillId="3" borderId="5" xfId="2" applyFont="1" applyFill="1" applyBorder="1" applyAlignment="1" applyProtection="1"/>
    <xf numFmtId="0" fontId="26" fillId="3" borderId="6" xfId="2" applyFont="1" applyFill="1" applyBorder="1" applyAlignment="1" applyProtection="1"/>
    <xf numFmtId="2" fontId="26" fillId="3" borderId="6" xfId="2" applyNumberFormat="1" applyFont="1" applyFill="1" applyBorder="1" applyAlignment="1" applyProtection="1"/>
    <xf numFmtId="0" fontId="0" fillId="3" borderId="3" xfId="2" applyFont="1" applyFill="1" applyBorder="1" applyAlignment="1" applyProtection="1"/>
    <xf numFmtId="0" fontId="0" fillId="3" borderId="7" xfId="2" applyFont="1" applyFill="1" applyBorder="1" applyAlignment="1" applyProtection="1">
      <alignment horizontal="center"/>
    </xf>
    <xf numFmtId="0" fontId="0" fillId="3" borderId="4" xfId="2" applyFont="1" applyFill="1" applyBorder="1" applyAlignment="1" applyProtection="1">
      <alignment horizontal="center"/>
    </xf>
    <xf numFmtId="0" fontId="0" fillId="3" borderId="8" xfId="2" applyFont="1" applyFill="1" applyBorder="1" applyAlignment="1" applyProtection="1">
      <alignment horizontal="center"/>
    </xf>
    <xf numFmtId="2" fontId="9" fillId="0" borderId="0" xfId="2" applyNumberFormat="1" applyFont="1" applyFill="1" applyBorder="1" applyAlignment="1" applyProtection="1">
      <alignment horizontal="center"/>
    </xf>
    <xf numFmtId="0" fontId="9" fillId="0" borderId="0" xfId="2" applyFont="1" applyFill="1" applyBorder="1" applyAlignment="1" applyProtection="1"/>
    <xf numFmtId="0" fontId="9" fillId="10" borderId="0" xfId="2" applyFont="1" applyFill="1" applyBorder="1" applyAlignment="1" applyProtection="1"/>
    <xf numFmtId="0" fontId="0" fillId="3" borderId="7" xfId="2" applyFont="1" applyFill="1" applyBorder="1" applyAlignment="1" applyProtection="1"/>
    <xf numFmtId="0" fontId="26" fillId="3" borderId="4" xfId="2" applyFont="1" applyFill="1" applyBorder="1" applyAlignment="1" applyProtection="1"/>
    <xf numFmtId="0" fontId="0" fillId="3" borderId="4" xfId="2" applyFont="1" applyFill="1" applyBorder="1" applyAlignment="1" applyProtection="1">
      <alignment horizontal="right"/>
    </xf>
    <xf numFmtId="165" fontId="26" fillId="3" borderId="4" xfId="2" applyNumberFormat="1" applyFont="1" applyFill="1" applyBorder="1" applyAlignment="1" applyProtection="1">
      <alignment horizontal="center"/>
    </xf>
    <xf numFmtId="0" fontId="26" fillId="3" borderId="8" xfId="2" applyFont="1" applyFill="1" applyBorder="1" applyAlignment="1" applyProtection="1"/>
    <xf numFmtId="0" fontId="10" fillId="0" borderId="9" xfId="0" applyFont="1" applyBorder="1"/>
    <xf numFmtId="0" fontId="0" fillId="0" borderId="10" xfId="0" applyBorder="1"/>
    <xf numFmtId="0" fontId="0" fillId="0" borderId="2" xfId="0" applyBorder="1"/>
    <xf numFmtId="0" fontId="0" fillId="0" borderId="0" xfId="0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2" fontId="9" fillId="0" borderId="0" xfId="2" applyNumberFormat="1" applyFont="1" applyFill="1" applyBorder="1" applyAlignment="1" applyProtection="1"/>
    <xf numFmtId="2" fontId="9" fillId="10" borderId="0" xfId="2" applyNumberFormat="1" applyFont="1" applyFill="1" applyBorder="1" applyAlignment="1" applyProtection="1"/>
    <xf numFmtId="0" fontId="0" fillId="0" borderId="7" xfId="0" applyBorder="1"/>
    <xf numFmtId="0" fontId="11" fillId="0" borderId="4" xfId="0" applyFont="1" applyBorder="1"/>
    <xf numFmtId="0" fontId="11" fillId="0" borderId="8" xfId="0" applyFont="1" applyBorder="1"/>
    <xf numFmtId="1" fontId="26" fillId="3" borderId="0" xfId="2" applyNumberFormat="1" applyFont="1" applyFill="1" applyBorder="1" applyAlignment="1" applyProtection="1"/>
    <xf numFmtId="0" fontId="0" fillId="3" borderId="0" xfId="2" applyFont="1" applyFill="1" applyBorder="1" applyAlignment="1" applyProtection="1"/>
    <xf numFmtId="0" fontId="0" fillId="0" borderId="2" xfId="0" applyFont="1" applyBorder="1"/>
    <xf numFmtId="10" fontId="0" fillId="0" borderId="0" xfId="0" applyNumberFormat="1" applyBorder="1"/>
    <xf numFmtId="2" fontId="0" fillId="0" borderId="11" xfId="0" applyNumberForma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165" fontId="0" fillId="0" borderId="0" xfId="0" applyNumberFormat="1" applyBorder="1"/>
    <xf numFmtId="0" fontId="0" fillId="0" borderId="5" xfId="0" applyFont="1" applyBorder="1"/>
    <xf numFmtId="166" fontId="0" fillId="0" borderId="6" xfId="0" applyNumberFormat="1" applyBorder="1"/>
    <xf numFmtId="0" fontId="0" fillId="0" borderId="6" xfId="0" applyFont="1" applyBorder="1"/>
    <xf numFmtId="0" fontId="0" fillId="0" borderId="2" xfId="0" applyFont="1" applyBorder="1"/>
    <xf numFmtId="166" fontId="0" fillId="0" borderId="0" xfId="0" applyNumberFormat="1" applyBorder="1"/>
    <xf numFmtId="0" fontId="0" fillId="0" borderId="0" xfId="0" applyFont="1" applyBorder="1"/>
    <xf numFmtId="10" fontId="0" fillId="0" borderId="0" xfId="0" applyNumberFormat="1" applyBorder="1"/>
    <xf numFmtId="2" fontId="0" fillId="0" borderId="11" xfId="0" applyNumberFormat="1" applyFont="1" applyBorder="1"/>
    <xf numFmtId="0" fontId="0" fillId="0" borderId="9" xfId="0" applyBorder="1"/>
    <xf numFmtId="165" fontId="0" fillId="0" borderId="10" xfId="0" applyNumberFormat="1" applyBorder="1"/>
    <xf numFmtId="0" fontId="0" fillId="0" borderId="12" xfId="0" applyBorder="1"/>
    <xf numFmtId="0" fontId="0" fillId="3" borderId="5" xfId="2" applyFont="1" applyFill="1" applyBorder="1" applyAlignment="1" applyProtection="1">
      <alignment horizontal="right"/>
    </xf>
    <xf numFmtId="0" fontId="0" fillId="0" borderId="2" xfId="0" applyFont="1" applyBorder="1" applyAlignment="1">
      <alignment horizontal="right"/>
    </xf>
    <xf numFmtId="2" fontId="0" fillId="0" borderId="0" xfId="0" applyNumberFormat="1" applyFont="1" applyBorder="1"/>
    <xf numFmtId="0" fontId="0" fillId="0" borderId="0" xfId="0" applyFont="1" applyBorder="1"/>
    <xf numFmtId="1" fontId="26" fillId="3" borderId="6" xfId="2" applyNumberFormat="1" applyFont="1" applyFill="1" applyBorder="1" applyAlignment="1" applyProtection="1"/>
    <xf numFmtId="0" fontId="0" fillId="0" borderId="11" xfId="0" applyFont="1" applyBorder="1"/>
    <xf numFmtId="9" fontId="0" fillId="0" borderId="0" xfId="1" applyFont="1" applyBorder="1" applyAlignment="1" applyProtection="1"/>
    <xf numFmtId="2" fontId="0" fillId="0" borderId="0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2" xfId="0" applyNumberFormat="1" applyFont="1" applyBorder="1"/>
    <xf numFmtId="165" fontId="0" fillId="0" borderId="6" xfId="0" applyNumberFormat="1" applyBorder="1"/>
    <xf numFmtId="0" fontId="0" fillId="0" borderId="3" xfId="0" applyBorder="1"/>
    <xf numFmtId="0" fontId="8" fillId="4" borderId="0" xfId="2" applyFont="1" applyFill="1" applyBorder="1" applyAlignment="1" applyProtection="1"/>
    <xf numFmtId="2" fontId="8" fillId="4" borderId="0" xfId="2" applyNumberFormat="1" applyFont="1" applyFill="1" applyBorder="1" applyAlignment="1" applyProtection="1"/>
    <xf numFmtId="0" fontId="0" fillId="0" borderId="10" xfId="0" applyBorder="1"/>
    <xf numFmtId="0" fontId="8" fillId="2" borderId="0" xfId="2" applyFont="1" applyFill="1" applyBorder="1" applyAlignment="1" applyProtection="1">
      <alignment horizontal="center"/>
    </xf>
    <xf numFmtId="0" fontId="26" fillId="5" borderId="0" xfId="2" applyFont="1" applyFill="1" applyBorder="1" applyAlignment="1" applyProtection="1">
      <alignment horizontal="center"/>
    </xf>
    <xf numFmtId="1" fontId="26" fillId="5" borderId="0" xfId="2" applyNumberFormat="1" applyFont="1" applyFill="1" applyBorder="1" applyAlignment="1" applyProtection="1">
      <alignment horizontal="center"/>
    </xf>
    <xf numFmtId="2" fontId="0" fillId="11" borderId="6" xfId="0" applyNumberFormat="1" applyFill="1" applyBorder="1"/>
    <xf numFmtId="166" fontId="26" fillId="5" borderId="0" xfId="2" applyNumberFormat="1" applyFont="1" applyFill="1" applyBorder="1" applyAlignment="1" applyProtection="1">
      <alignment horizontal="center"/>
    </xf>
    <xf numFmtId="0" fontId="26" fillId="5" borderId="0" xfId="2" applyFont="1" applyFill="1" applyBorder="1" applyAlignment="1" applyProtection="1"/>
    <xf numFmtId="0" fontId="0" fillId="0" borderId="3" xfId="0" applyFont="1" applyBorder="1"/>
    <xf numFmtId="0" fontId="0" fillId="0" borderId="0" xfId="0" applyAlignment="1">
      <alignment horizontal="right"/>
    </xf>
    <xf numFmtId="0" fontId="0" fillId="12" borderId="0" xfId="0" applyFill="1"/>
    <xf numFmtId="0" fontId="0" fillId="0" borderId="0" xfId="0"/>
    <xf numFmtId="0" fontId="16" fillId="0" borderId="1" xfId="2" applyFont="1" applyFill="1" applyBorder="1" applyAlignment="1" applyProtection="1"/>
    <xf numFmtId="0" fontId="8" fillId="6" borderId="0" xfId="2" applyFont="1" applyFill="1" applyBorder="1" applyAlignment="1" applyProtection="1"/>
    <xf numFmtId="0" fontId="0" fillId="7" borderId="0" xfId="2" applyFont="1" applyFill="1" applyBorder="1" applyAlignment="1" applyProtection="1"/>
    <xf numFmtId="1" fontId="0" fillId="0" borderId="0" xfId="0" applyNumberFormat="1"/>
    <xf numFmtId="2" fontId="26" fillId="7" borderId="0" xfId="2" applyNumberFormat="1" applyFont="1" applyFill="1" applyBorder="1" applyAlignment="1" applyProtection="1"/>
    <xf numFmtId="9" fontId="26" fillId="7" borderId="0" xfId="2" applyNumberFormat="1" applyFont="1" applyFill="1" applyBorder="1" applyAlignment="1" applyProtection="1"/>
    <xf numFmtId="10" fontId="26" fillId="7" borderId="0" xfId="2" applyNumberFormat="1" applyFont="1" applyFill="1" applyBorder="1" applyAlignment="1" applyProtection="1"/>
    <xf numFmtId="0" fontId="8" fillId="8" borderId="0" xfId="2" applyFont="1" applyFill="1" applyBorder="1" applyAlignment="1" applyProtection="1"/>
    <xf numFmtId="0" fontId="0" fillId="9" borderId="0" xfId="2" applyFont="1" applyFill="1" applyBorder="1" applyAlignment="1" applyProtection="1"/>
    <xf numFmtId="2" fontId="0" fillId="11" borderId="0" xfId="0" applyNumberFormat="1" applyFill="1"/>
    <xf numFmtId="2" fontId="17" fillId="13" borderId="13" xfId="2" applyNumberFormat="1" applyFont="1" applyFill="1" applyBorder="1" applyAlignment="1" applyProtection="1"/>
    <xf numFmtId="2" fontId="0" fillId="11" borderId="5" xfId="0" applyNumberFormat="1" applyFill="1" applyBorder="1"/>
    <xf numFmtId="2" fontId="0" fillId="11" borderId="3" xfId="0" applyNumberFormat="1" applyFill="1" applyBorder="1"/>
    <xf numFmtId="2" fontId="0" fillId="11" borderId="2" xfId="0" applyNumberFormat="1" applyFill="1" applyBorder="1"/>
    <xf numFmtId="2" fontId="0" fillId="11" borderId="11" xfId="0" applyNumberFormat="1" applyFill="1" applyBorder="1"/>
    <xf numFmtId="2" fontId="18" fillId="0" borderId="2" xfId="2" applyNumberFormat="1" applyFont="1" applyBorder="1" applyAlignment="1" applyProtection="1"/>
    <xf numFmtId="2" fontId="0" fillId="11" borderId="0" xfId="0" applyNumberFormat="1" applyFill="1" applyBorder="1"/>
    <xf numFmtId="2" fontId="0" fillId="11" borderId="6" xfId="0" applyNumberFormat="1" applyFont="1" applyFill="1" applyBorder="1" applyAlignment="1">
      <alignment horizontal="left"/>
    </xf>
    <xf numFmtId="2" fontId="0" fillId="11" borderId="6" xfId="0" applyNumberFormat="1" applyFont="1" applyFill="1" applyBorder="1" applyAlignment="1">
      <alignment horizontal="right"/>
    </xf>
    <xf numFmtId="2" fontId="0" fillId="11" borderId="0" xfId="0" applyNumberFormat="1" applyFill="1" applyBorder="1" applyAlignment="1">
      <alignment horizontal="left"/>
    </xf>
    <xf numFmtId="2" fontId="0" fillId="11" borderId="0" xfId="0" applyNumberFormat="1" applyFill="1" applyBorder="1" applyAlignment="1">
      <alignment horizontal="right"/>
    </xf>
    <xf numFmtId="2" fontId="19" fillId="11" borderId="2" xfId="2" applyNumberFormat="1" applyFont="1" applyFill="1" applyBorder="1" applyAlignment="1" applyProtection="1"/>
    <xf numFmtId="2" fontId="0" fillId="0" borderId="0" xfId="0" applyNumberFormat="1" applyFont="1" applyBorder="1" applyAlignment="1">
      <alignment horizontal="right"/>
    </xf>
    <xf numFmtId="2" fontId="10" fillId="0" borderId="0" xfId="0" applyNumberFormat="1" applyFont="1" applyBorder="1" applyAlignment="1">
      <alignment horizontal="right"/>
    </xf>
    <xf numFmtId="2" fontId="17" fillId="13" borderId="14" xfId="2" applyNumberFormat="1" applyFont="1" applyFill="1" applyBorder="1" applyAlignment="1" applyProtection="1">
      <alignment horizontal="right"/>
    </xf>
    <xf numFmtId="2" fontId="21" fillId="14" borderId="14" xfId="2" applyNumberFormat="1" applyFont="1" applyFill="1" applyBorder="1" applyAlignment="1" applyProtection="1">
      <alignment horizontal="right"/>
    </xf>
    <xf numFmtId="2" fontId="22" fillId="15" borderId="0" xfId="0" applyNumberFormat="1" applyFont="1" applyFill="1" applyBorder="1" applyAlignment="1" applyProtection="1">
      <alignment horizontal="right"/>
    </xf>
    <xf numFmtId="2" fontId="0" fillId="11" borderId="9" xfId="0" applyNumberFormat="1" applyFill="1" applyBorder="1"/>
    <xf numFmtId="2" fontId="0" fillId="11" borderId="10" xfId="0" applyNumberFormat="1" applyFill="1" applyBorder="1"/>
    <xf numFmtId="2" fontId="0" fillId="11" borderId="12" xfId="0" applyNumberFormat="1" applyFill="1" applyBorder="1"/>
    <xf numFmtId="2" fontId="17" fillId="13" borderId="0" xfId="2" applyNumberFormat="1" applyFont="1" applyFill="1" applyBorder="1" applyAlignment="1" applyProtection="1">
      <alignment horizontal="right"/>
    </xf>
    <xf numFmtId="2" fontId="21" fillId="14" borderId="0" xfId="2" applyNumberFormat="1" applyFont="1" applyFill="1" applyBorder="1" applyAlignment="1" applyProtection="1">
      <alignment horizontal="right"/>
    </xf>
    <xf numFmtId="2" fontId="10" fillId="0" borderId="0" xfId="0" applyNumberFormat="1" applyFont="1" applyBorder="1"/>
    <xf numFmtId="2" fontId="11" fillId="0" borderId="0" xfId="0" applyNumberFormat="1" applyFont="1" applyBorder="1"/>
    <xf numFmtId="2" fontId="17" fillId="13" borderId="15" xfId="2" applyNumberFormat="1" applyFont="1" applyFill="1" applyBorder="1" applyAlignment="1" applyProtection="1"/>
    <xf numFmtId="2" fontId="21" fillId="14" borderId="15" xfId="2" applyNumberFormat="1" applyFont="1" applyFill="1" applyBorder="1" applyAlignment="1" applyProtection="1"/>
    <xf numFmtId="2" fontId="22" fillId="15" borderId="0" xfId="0" applyNumberFormat="1" applyFont="1" applyFill="1" applyBorder="1" applyAlignment="1" applyProtection="1"/>
    <xf numFmtId="2" fontId="9" fillId="0" borderId="0" xfId="0" applyNumberFormat="1" applyFont="1" applyBorder="1" applyAlignment="1" applyProtection="1">
      <alignment horizontal="left"/>
    </xf>
    <xf numFmtId="2" fontId="9" fillId="0" borderId="0" xfId="0" applyNumberFormat="1" applyFont="1" applyBorder="1" applyAlignment="1" applyProtection="1"/>
    <xf numFmtId="2" fontId="17" fillId="13" borderId="14" xfId="2" applyNumberFormat="1" applyFont="1" applyFill="1" applyBorder="1" applyAlignment="1" applyProtection="1"/>
    <xf numFmtId="2" fontId="21" fillId="14" borderId="14" xfId="2" applyNumberFormat="1" applyFont="1" applyFill="1" applyBorder="1" applyAlignment="1" applyProtection="1"/>
    <xf numFmtId="2" fontId="17" fillId="13" borderId="16" xfId="2" applyNumberFormat="1" applyFont="1" applyFill="1" applyBorder="1" applyAlignment="1" applyProtection="1"/>
    <xf numFmtId="2" fontId="22" fillId="15" borderId="2" xfId="0" applyNumberFormat="1" applyFont="1" applyFill="1" applyBorder="1" applyAlignment="1" applyProtection="1"/>
    <xf numFmtId="2" fontId="9" fillId="11" borderId="6" xfId="0" applyNumberFormat="1" applyFont="1" applyFill="1" applyBorder="1" applyAlignment="1" applyProtection="1"/>
    <xf numFmtId="2" fontId="10" fillId="11" borderId="2" xfId="0" applyNumberFormat="1" applyFont="1" applyFill="1" applyBorder="1"/>
    <xf numFmtId="2" fontId="17" fillId="13" borderId="17" xfId="2" applyNumberFormat="1" applyFont="1" applyFill="1" applyBorder="1" applyAlignment="1" applyProtection="1"/>
    <xf numFmtId="2" fontId="23" fillId="15" borderId="0" xfId="0" applyNumberFormat="1" applyFont="1" applyFill="1" applyBorder="1" applyAlignment="1" applyProtection="1"/>
    <xf numFmtId="2" fontId="19" fillId="16" borderId="18" xfId="2" applyNumberFormat="1" applyFont="1" applyFill="1" applyBorder="1" applyAlignment="1" applyProtection="1"/>
    <xf numFmtId="2" fontId="0" fillId="16" borderId="6" xfId="0" applyNumberFormat="1" applyFill="1" applyBorder="1"/>
    <xf numFmtId="2" fontId="0" fillId="16" borderId="3" xfId="0" applyNumberFormat="1" applyFill="1" applyBorder="1"/>
    <xf numFmtId="2" fontId="0" fillId="16" borderId="0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0" fillId="16" borderId="10" xfId="0" applyNumberFormat="1" applyFill="1" applyBorder="1"/>
    <xf numFmtId="2" fontId="0" fillId="16" borderId="12" xfId="0" applyNumberFormat="1" applyFill="1" applyBorder="1"/>
    <xf numFmtId="2" fontId="8" fillId="2" borderId="0" xfId="0" applyNumberFormat="1" applyFont="1" applyFill="1" applyBorder="1" applyAlignment="1" applyProtection="1"/>
    <xf numFmtId="2" fontId="0" fillId="0" borderId="2" xfId="0" applyNumberFormat="1" applyBorder="1"/>
    <xf numFmtId="2" fontId="21" fillId="14" borderId="19" xfId="2" applyNumberFormat="1" applyFont="1" applyFill="1" applyBorder="1" applyAlignment="1" applyProtection="1"/>
    <xf numFmtId="2" fontId="0" fillId="0" borderId="9" xfId="0" applyNumberFormat="1" applyBorder="1"/>
    <xf numFmtId="2" fontId="0" fillId="0" borderId="10" xfId="0" applyNumberFormat="1" applyBorder="1"/>
    <xf numFmtId="2" fontId="17" fillId="13" borderId="13" xfId="2" applyNumberFormat="1" applyFont="1" applyFill="1" applyBorder="1" applyAlignment="1" applyProtection="1">
      <alignment horizontal="right"/>
    </xf>
    <xf numFmtId="2" fontId="17" fillId="13" borderId="16" xfId="2" applyNumberFormat="1" applyFont="1" applyFill="1" applyBorder="1" applyAlignment="1" applyProtection="1">
      <alignment horizontal="right"/>
    </xf>
    <xf numFmtId="2" fontId="21" fillId="14" borderId="19" xfId="2" applyNumberFormat="1" applyFont="1" applyFill="1" applyBorder="1" applyAlignment="1" applyProtection="1">
      <alignment horizontal="right"/>
    </xf>
    <xf numFmtId="2" fontId="17" fillId="13" borderId="20" xfId="2" applyNumberFormat="1" applyFont="1" applyFill="1" applyBorder="1" applyAlignment="1" applyProtection="1"/>
    <xf numFmtId="2" fontId="10" fillId="0" borderId="2" xfId="0" applyNumberFormat="1" applyFont="1" applyBorder="1"/>
    <xf numFmtId="2" fontId="9" fillId="11" borderId="0" xfId="0" applyNumberFormat="1" applyFont="1" applyFill="1" applyBorder="1" applyAlignment="1" applyProtection="1"/>
    <xf numFmtId="0" fontId="10" fillId="0" borderId="0" xfId="0" applyFont="1"/>
    <xf numFmtId="0" fontId="24" fillId="0" borderId="0" xfId="0" applyFont="1"/>
    <xf numFmtId="0" fontId="25" fillId="0" borderId="0" xfId="0" applyFont="1"/>
    <xf numFmtId="167" fontId="0" fillId="0" borderId="0" xfId="0" applyNumberFormat="1"/>
    <xf numFmtId="168" fontId="0" fillId="0" borderId="0" xfId="0" applyNumberFormat="1"/>
    <xf numFmtId="166" fontId="0" fillId="7" borderId="0" xfId="2" applyNumberFormat="1" applyFont="1" applyFill="1" applyBorder="1" applyAlignment="1" applyProtection="1"/>
    <xf numFmtId="0" fontId="6" fillId="0" borderId="0" xfId="13"/>
    <xf numFmtId="0" fontId="28" fillId="0" borderId="22" xfId="4"/>
    <xf numFmtId="0" fontId="38" fillId="0" borderId="22" xfId="4" applyFont="1"/>
    <xf numFmtId="0" fontId="32" fillId="19" borderId="23" xfId="7"/>
    <xf numFmtId="2" fontId="32" fillId="19" borderId="23" xfId="7" applyNumberFormat="1"/>
    <xf numFmtId="0" fontId="37" fillId="23" borderId="0" xfId="11"/>
    <xf numFmtId="0" fontId="33" fillId="20" borderId="23" xfId="8"/>
    <xf numFmtId="2" fontId="33" fillId="20" borderId="23" xfId="8" applyNumberFormat="1"/>
    <xf numFmtId="0" fontId="32" fillId="25" borderId="23" xfId="7" applyFill="1"/>
    <xf numFmtId="2" fontId="32" fillId="25" borderId="23" xfId="7" applyNumberFormat="1" applyFill="1"/>
    <xf numFmtId="2" fontId="38" fillId="25" borderId="23" xfId="7" applyNumberFormat="1" applyFont="1" applyFill="1"/>
    <xf numFmtId="0" fontId="38" fillId="19" borderId="23" xfId="7" applyFont="1"/>
    <xf numFmtId="0" fontId="37" fillId="24" borderId="0" xfId="12"/>
    <xf numFmtId="0" fontId="36" fillId="25" borderId="25" xfId="14" applyFont="1" applyFill="1"/>
    <xf numFmtId="0" fontId="36" fillId="25" borderId="25" xfId="10" applyFill="1" applyBorder="1"/>
    <xf numFmtId="0" fontId="38" fillId="20" borderId="23" xfId="8" applyFont="1"/>
    <xf numFmtId="0" fontId="33" fillId="20" borderId="26" xfId="8" applyBorder="1"/>
    <xf numFmtId="0" fontId="35" fillId="22" borderId="25" xfId="14" applyFont="1"/>
    <xf numFmtId="0" fontId="29" fillId="17" borderId="23" xfId="5" applyBorder="1"/>
    <xf numFmtId="0" fontId="34" fillId="21" borderId="24" xfId="9"/>
    <xf numFmtId="0" fontId="36" fillId="0" borderId="0" xfId="10"/>
    <xf numFmtId="0" fontId="39" fillId="19" borderId="23" xfId="7" applyFont="1"/>
    <xf numFmtId="0" fontId="31" fillId="22" borderId="25" xfId="14" applyFont="1"/>
    <xf numFmtId="0" fontId="38" fillId="22" borderId="25" xfId="14" applyFont="1"/>
    <xf numFmtId="0" fontId="38" fillId="25" borderId="23" xfId="7" applyFont="1" applyFill="1"/>
    <xf numFmtId="0" fontId="39" fillId="25" borderId="23" xfId="7" applyFont="1" applyFill="1"/>
    <xf numFmtId="0" fontId="40" fillId="0" borderId="0" xfId="10" applyFont="1"/>
    <xf numFmtId="0" fontId="41" fillId="0" borderId="0" xfId="13" applyFont="1"/>
    <xf numFmtId="0" fontId="32" fillId="22" borderId="25" xfId="14" applyFont="1"/>
    <xf numFmtId="0" fontId="37" fillId="24" borderId="25" xfId="12" applyBorder="1"/>
    <xf numFmtId="0" fontId="42" fillId="22" borderId="25" xfId="14" applyFont="1"/>
    <xf numFmtId="0" fontId="30" fillId="18" borderId="23" xfId="6" applyBorder="1"/>
    <xf numFmtId="0" fontId="32" fillId="19" borderId="0" xfId="7" applyBorder="1"/>
    <xf numFmtId="0" fontId="38" fillId="0" borderId="0" xfId="13" applyFont="1"/>
    <xf numFmtId="0" fontId="32" fillId="25" borderId="0" xfId="7" applyFill="1" applyBorder="1"/>
    <xf numFmtId="0" fontId="6" fillId="25" borderId="0" xfId="13" applyFill="1"/>
    <xf numFmtId="0" fontId="38" fillId="25" borderId="0" xfId="13" applyFont="1" applyFill="1"/>
    <xf numFmtId="0" fontId="27" fillId="0" borderId="21" xfId="3"/>
    <xf numFmtId="0" fontId="6" fillId="0" borderId="0" xfId="13" applyAlignment="1">
      <alignment horizontal="center"/>
    </xf>
    <xf numFmtId="0" fontId="42" fillId="0" borderId="0" xfId="13" applyFont="1" applyAlignment="1">
      <alignment horizontal="center"/>
    </xf>
    <xf numFmtId="0" fontId="6" fillId="0" borderId="0" xfId="13" applyBorder="1" applyAlignment="1">
      <alignment horizontal="center"/>
    </xf>
    <xf numFmtId="2" fontId="0" fillId="11" borderId="6" xfId="0" applyNumberFormat="1" applyFill="1" applyBorder="1" applyAlignment="1"/>
    <xf numFmtId="0" fontId="32" fillId="25" borderId="23" xfId="7" applyNumberFormat="1" applyFill="1"/>
    <xf numFmtId="0" fontId="32" fillId="26" borderId="23" xfId="7" applyFill="1"/>
    <xf numFmtId="0" fontId="6" fillId="26" borderId="0" xfId="13" applyFill="1"/>
    <xf numFmtId="0" fontId="5" fillId="27" borderId="0" xfId="15"/>
    <xf numFmtId="0" fontId="5" fillId="28" borderId="0" xfId="16" quotePrefix="1"/>
    <xf numFmtId="0" fontId="5" fillId="28" borderId="0" xfId="16" applyFont="1"/>
    <xf numFmtId="0" fontId="5" fillId="28" borderId="0" xfId="16"/>
    <xf numFmtId="0" fontId="5" fillId="27" borderId="0" xfId="15" applyFont="1"/>
    <xf numFmtId="11" fontId="0" fillId="0" borderId="0" xfId="0" applyNumberFormat="1"/>
    <xf numFmtId="43" fontId="5" fillId="27" borderId="0" xfId="15" applyNumberFormat="1"/>
    <xf numFmtId="165" fontId="5" fillId="27" borderId="0" xfId="15" applyNumberFormat="1"/>
    <xf numFmtId="43" fontId="4" fillId="27" borderId="0" xfId="15" applyNumberFormat="1" applyFont="1"/>
    <xf numFmtId="0" fontId="43" fillId="0" borderId="0" xfId="0" applyFont="1"/>
    <xf numFmtId="0" fontId="3" fillId="28" borderId="0" xfId="16" applyFont="1"/>
    <xf numFmtId="0" fontId="30" fillId="18" borderId="0" xfId="6"/>
    <xf numFmtId="11" fontId="30" fillId="18" borderId="0" xfId="6" applyNumberFormat="1"/>
    <xf numFmtId="0" fontId="31" fillId="29" borderId="0" xfId="17"/>
    <xf numFmtId="0" fontId="2" fillId="28" borderId="0" xfId="16" applyFont="1"/>
    <xf numFmtId="0" fontId="0" fillId="31" borderId="2" xfId="2" applyFont="1" applyFill="1" applyBorder="1" applyAlignment="1" applyProtection="1"/>
    <xf numFmtId="0" fontId="26" fillId="31" borderId="0" xfId="2" applyFont="1" applyFill="1" applyBorder="1" applyAlignment="1" applyProtection="1"/>
    <xf numFmtId="2" fontId="26" fillId="31" borderId="0" xfId="2" applyNumberFormat="1" applyFont="1" applyFill="1" applyBorder="1" applyAlignment="1" applyProtection="1"/>
    <xf numFmtId="0" fontId="0" fillId="31" borderId="11" xfId="2" applyFont="1" applyFill="1" applyBorder="1" applyAlignment="1" applyProtection="1"/>
    <xf numFmtId="0" fontId="10" fillId="32" borderId="9" xfId="0" applyFont="1" applyFill="1" applyBorder="1"/>
    <xf numFmtId="0" fontId="0" fillId="32" borderId="10" xfId="0" applyFill="1" applyBorder="1"/>
    <xf numFmtId="0" fontId="0" fillId="32" borderId="2" xfId="0" applyFill="1" applyBorder="1"/>
    <xf numFmtId="0" fontId="0" fillId="32" borderId="0" xfId="0" applyFill="1" applyBorder="1"/>
    <xf numFmtId="0" fontId="0" fillId="32" borderId="11" xfId="0" applyFill="1" applyBorder="1"/>
    <xf numFmtId="0" fontId="0" fillId="31" borderId="5" xfId="2" applyFont="1" applyFill="1" applyBorder="1" applyAlignment="1" applyProtection="1"/>
    <xf numFmtId="1" fontId="26" fillId="31" borderId="6" xfId="2" applyNumberFormat="1" applyFont="1" applyFill="1" applyBorder="1" applyAlignment="1" applyProtection="1"/>
    <xf numFmtId="0" fontId="0" fillId="31" borderId="0" xfId="2" applyFont="1" applyFill="1" applyBorder="1" applyAlignment="1" applyProtection="1"/>
    <xf numFmtId="0" fontId="0" fillId="32" borderId="2" xfId="0" applyFont="1" applyFill="1" applyBorder="1"/>
    <xf numFmtId="10" fontId="0" fillId="32" borderId="0" xfId="0" applyNumberFormat="1" applyFill="1" applyBorder="1"/>
    <xf numFmtId="2" fontId="0" fillId="32" borderId="11" xfId="0" applyNumberFormat="1" applyFill="1" applyBorder="1"/>
    <xf numFmtId="166" fontId="0" fillId="32" borderId="0" xfId="0" applyNumberFormat="1" applyFill="1" applyBorder="1"/>
    <xf numFmtId="0" fontId="0" fillId="32" borderId="11" xfId="0" applyFont="1" applyFill="1" applyBorder="1"/>
    <xf numFmtId="0" fontId="0" fillId="32" borderId="0" xfId="0" applyFont="1" applyFill="1" applyBorder="1"/>
    <xf numFmtId="2" fontId="0" fillId="32" borderId="11" xfId="0" applyNumberFormat="1" applyFont="1" applyFill="1" applyBorder="1"/>
    <xf numFmtId="0" fontId="0" fillId="31" borderId="5" xfId="2" applyFont="1" applyFill="1" applyBorder="1" applyAlignment="1" applyProtection="1">
      <alignment horizontal="right"/>
    </xf>
    <xf numFmtId="0" fontId="26" fillId="31" borderId="6" xfId="2" applyFont="1" applyFill="1" applyBorder="1" applyAlignment="1" applyProtection="1"/>
    <xf numFmtId="0" fontId="0" fillId="31" borderId="3" xfId="2" applyFont="1" applyFill="1" applyBorder="1" applyAlignment="1" applyProtection="1"/>
    <xf numFmtId="0" fontId="0" fillId="32" borderId="2" xfId="0" applyFont="1" applyFill="1" applyBorder="1" applyAlignment="1">
      <alignment horizontal="right"/>
    </xf>
    <xf numFmtId="0" fontId="0" fillId="32" borderId="9" xfId="0" applyFill="1" applyBorder="1"/>
    <xf numFmtId="2" fontId="0" fillId="32" borderId="0" xfId="0" applyNumberFormat="1" applyFont="1" applyFill="1" applyBorder="1"/>
    <xf numFmtId="9" fontId="0" fillId="32" borderId="0" xfId="1" applyFont="1" applyFill="1" applyBorder="1" applyAlignment="1" applyProtection="1"/>
    <xf numFmtId="2" fontId="0" fillId="32" borderId="0" xfId="0" applyNumberFormat="1" applyFill="1" applyBorder="1"/>
    <xf numFmtId="2" fontId="26" fillId="31" borderId="6" xfId="2" applyNumberFormat="1" applyFont="1" applyFill="1" applyBorder="1" applyAlignment="1" applyProtection="1"/>
    <xf numFmtId="0" fontId="0" fillId="32" borderId="12" xfId="0" applyFill="1" applyBorder="1"/>
    <xf numFmtId="0" fontId="0" fillId="31" borderId="9" xfId="2" applyFont="1" applyFill="1" applyBorder="1" applyAlignment="1" applyProtection="1">
      <alignment horizontal="center"/>
    </xf>
    <xf numFmtId="0" fontId="0" fillId="31" borderId="10" xfId="2" applyFont="1" applyFill="1" applyBorder="1" applyAlignment="1" applyProtection="1">
      <alignment horizontal="center"/>
    </xf>
    <xf numFmtId="0" fontId="0" fillId="31" borderId="12" xfId="2" applyFont="1" applyFill="1" applyBorder="1" applyAlignment="1" applyProtection="1">
      <alignment horizontal="center"/>
    </xf>
    <xf numFmtId="0" fontId="0" fillId="32" borderId="5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2" fontId="0" fillId="32" borderId="6" xfId="0" applyNumberFormat="1" applyFill="1" applyBorder="1" applyAlignment="1">
      <alignment horizontal="center"/>
    </xf>
    <xf numFmtId="49" fontId="0" fillId="32" borderId="3" xfId="0" applyNumberFormat="1" applyFont="1" applyFill="1" applyBorder="1" applyAlignment="1">
      <alignment horizontal="center"/>
    </xf>
    <xf numFmtId="0" fontId="0" fillId="32" borderId="2" xfId="0" applyFill="1" applyBorder="1" applyAlignment="1">
      <alignment horizontal="center"/>
    </xf>
    <xf numFmtId="0" fontId="0" fillId="32" borderId="0" xfId="0" applyFill="1" applyBorder="1" applyAlignment="1">
      <alignment horizontal="center"/>
    </xf>
    <xf numFmtId="2" fontId="0" fillId="32" borderId="0" xfId="0" applyNumberFormat="1" applyFill="1" applyBorder="1" applyAlignment="1">
      <alignment horizontal="center"/>
    </xf>
    <xf numFmtId="49" fontId="0" fillId="32" borderId="11" xfId="0" applyNumberFormat="1" applyFont="1" applyFill="1" applyBorder="1" applyAlignment="1">
      <alignment horizontal="center"/>
    </xf>
    <xf numFmtId="164" fontId="7" fillId="32" borderId="0" xfId="2" applyNumberFormat="1" applyFont="1" applyFill="1" applyBorder="1" applyAlignment="1" applyProtection="1">
      <alignment vertical="center"/>
    </xf>
    <xf numFmtId="0" fontId="0" fillId="32" borderId="9" xfId="0" applyFill="1" applyBorder="1" applyAlignment="1">
      <alignment horizontal="center"/>
    </xf>
    <xf numFmtId="0" fontId="0" fillId="32" borderId="10" xfId="0" applyFill="1" applyBorder="1" applyAlignment="1">
      <alignment horizontal="center"/>
    </xf>
    <xf numFmtId="49" fontId="0" fillId="32" borderId="12" xfId="0" applyNumberFormat="1" applyFont="1" applyFill="1" applyBorder="1"/>
    <xf numFmtId="0" fontId="0" fillId="32" borderId="0" xfId="0" applyFill="1"/>
    <xf numFmtId="0" fontId="9" fillId="32" borderId="10" xfId="2" applyFont="1" applyFill="1" applyBorder="1" applyAlignment="1" applyProtection="1"/>
    <xf numFmtId="0" fontId="0" fillId="31" borderId="7" xfId="2" applyFont="1" applyFill="1" applyBorder="1" applyAlignment="1" applyProtection="1"/>
    <xf numFmtId="0" fontId="26" fillId="31" borderId="4" xfId="2" applyFont="1" applyFill="1" applyBorder="1" applyAlignment="1" applyProtection="1"/>
    <xf numFmtId="0" fontId="0" fillId="31" borderId="4" xfId="2" applyFont="1" applyFill="1" applyBorder="1" applyAlignment="1" applyProtection="1">
      <alignment horizontal="right"/>
    </xf>
    <xf numFmtId="165" fontId="26" fillId="31" borderId="4" xfId="2" applyNumberFormat="1" applyFont="1" applyFill="1" applyBorder="1" applyAlignment="1" applyProtection="1">
      <alignment horizontal="center"/>
    </xf>
    <xf numFmtId="0" fontId="26" fillId="31" borderId="8" xfId="2" applyFont="1" applyFill="1" applyBorder="1" applyAlignment="1" applyProtection="1"/>
    <xf numFmtId="0" fontId="0" fillId="32" borderId="7" xfId="0" applyFill="1" applyBorder="1"/>
    <xf numFmtId="0" fontId="11" fillId="32" borderId="4" xfId="0" applyFont="1" applyFill="1" applyBorder="1"/>
    <xf numFmtId="0" fontId="11" fillId="32" borderId="8" xfId="0" applyFont="1" applyFill="1" applyBorder="1"/>
    <xf numFmtId="165" fontId="0" fillId="32" borderId="0" xfId="0" applyNumberFormat="1" applyFill="1" applyBorder="1"/>
    <xf numFmtId="165" fontId="0" fillId="32" borderId="10" xfId="0" applyNumberFormat="1" applyFill="1" applyBorder="1"/>
    <xf numFmtId="0" fontId="0" fillId="32" borderId="6" xfId="0" applyFill="1" applyBorder="1"/>
    <xf numFmtId="0" fontId="0" fillId="32" borderId="5" xfId="0" applyFont="1" applyFill="1" applyBorder="1"/>
    <xf numFmtId="0" fontId="0" fillId="32" borderId="6" xfId="0" applyFont="1" applyFill="1" applyBorder="1"/>
    <xf numFmtId="165" fontId="0" fillId="32" borderId="6" xfId="0" applyNumberFormat="1" applyFill="1" applyBorder="1"/>
    <xf numFmtId="0" fontId="0" fillId="32" borderId="3" xfId="0" applyFill="1" applyBorder="1"/>
    <xf numFmtId="0" fontId="0" fillId="31" borderId="4" xfId="2" applyFont="1" applyFill="1" applyBorder="1" applyAlignment="1" applyProtection="1">
      <alignment horizontal="center"/>
    </xf>
    <xf numFmtId="0" fontId="0" fillId="32" borderId="3" xfId="0" applyFont="1" applyFill="1" applyBorder="1"/>
    <xf numFmtId="0" fontId="9" fillId="32" borderId="0" xfId="2" applyFont="1" applyFill="1" applyBorder="1" applyAlignment="1" applyProtection="1"/>
    <xf numFmtId="0" fontId="0" fillId="31" borderId="30" xfId="2" applyFont="1" applyFill="1" applyBorder="1" applyAlignment="1" applyProtection="1"/>
    <xf numFmtId="0" fontId="26" fillId="31" borderId="31" xfId="2" applyFont="1" applyFill="1" applyBorder="1" applyAlignment="1" applyProtection="1"/>
    <xf numFmtId="0" fontId="0" fillId="31" borderId="31" xfId="2" applyFont="1" applyFill="1" applyBorder="1" applyAlignment="1" applyProtection="1">
      <alignment horizontal="right"/>
    </xf>
    <xf numFmtId="0" fontId="0" fillId="31" borderId="31" xfId="2" applyFont="1" applyFill="1" applyBorder="1" applyAlignment="1" applyProtection="1">
      <alignment horizontal="center"/>
    </xf>
    <xf numFmtId="0" fontId="26" fillId="31" borderId="32" xfId="2" applyFont="1" applyFill="1" applyBorder="1" applyAlignment="1" applyProtection="1"/>
    <xf numFmtId="0" fontId="0" fillId="32" borderId="33" xfId="0" applyFill="1" applyBorder="1"/>
    <xf numFmtId="0" fontId="11" fillId="32" borderId="34" xfId="0" applyFont="1" applyFill="1" applyBorder="1"/>
    <xf numFmtId="0" fontId="11" fillId="32" borderId="35" xfId="0" applyFont="1" applyFill="1" applyBorder="1"/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25" borderId="0" xfId="0" applyFill="1"/>
    <xf numFmtId="11" fontId="0" fillId="25" borderId="0" xfId="0" applyNumberFormat="1" applyFill="1"/>
    <xf numFmtId="11" fontId="31" fillId="29" borderId="0" xfId="17" applyNumberFormat="1" applyAlignment="1">
      <alignment horizontal="right"/>
    </xf>
    <xf numFmtId="11" fontId="31" fillId="29" borderId="0" xfId="17" applyNumberFormat="1"/>
    <xf numFmtId="165" fontId="31" fillId="29" borderId="0" xfId="17" applyNumberFormat="1" applyAlignment="1">
      <alignment horizontal="right"/>
    </xf>
    <xf numFmtId="2" fontId="31" fillId="29" borderId="0" xfId="17" applyNumberFormat="1" applyAlignment="1">
      <alignment horizontal="right"/>
    </xf>
    <xf numFmtId="1" fontId="31" fillId="29" borderId="0" xfId="17" applyNumberFormat="1" applyAlignment="1">
      <alignment horizontal="right"/>
    </xf>
    <xf numFmtId="0" fontId="31" fillId="29" borderId="0" xfId="17" applyAlignment="1">
      <alignment horizontal="right"/>
    </xf>
    <xf numFmtId="0" fontId="26" fillId="7" borderId="0" xfId="2" applyNumberFormat="1" applyFont="1" applyFill="1" applyBorder="1" applyAlignment="1" applyProtection="1"/>
    <xf numFmtId="2" fontId="0" fillId="11" borderId="6" xfId="0" applyNumberFormat="1" applyFill="1" applyBorder="1"/>
    <xf numFmtId="0" fontId="11" fillId="32" borderId="0" xfId="0" applyFont="1" applyFill="1" applyBorder="1"/>
    <xf numFmtId="0" fontId="11" fillId="32" borderId="11" xfId="0" applyFont="1" applyFill="1" applyBorder="1"/>
    <xf numFmtId="0" fontId="0" fillId="26" borderId="0" xfId="0" applyFill="1" applyBorder="1"/>
    <xf numFmtId="43" fontId="0" fillId="31" borderId="30" xfId="18" applyFont="1" applyFill="1" applyBorder="1" applyAlignment="1" applyProtection="1"/>
    <xf numFmtId="43" fontId="26" fillId="31" borderId="31" xfId="18" applyFont="1" applyFill="1" applyBorder="1" applyAlignment="1" applyProtection="1"/>
    <xf numFmtId="43" fontId="0" fillId="31" borderId="31" xfId="18" applyFont="1" applyFill="1" applyBorder="1" applyAlignment="1" applyProtection="1">
      <alignment horizontal="right"/>
    </xf>
    <xf numFmtId="165" fontId="26" fillId="31" borderId="31" xfId="18" applyNumberFormat="1" applyFont="1" applyFill="1" applyBorder="1" applyAlignment="1" applyProtection="1">
      <alignment horizontal="center"/>
    </xf>
    <xf numFmtId="0" fontId="26" fillId="31" borderId="32" xfId="18" applyNumberFormat="1" applyFont="1" applyFill="1" applyBorder="1" applyAlignment="1" applyProtection="1"/>
    <xf numFmtId="0" fontId="0" fillId="32" borderId="36" xfId="0" applyFill="1" applyBorder="1"/>
    <xf numFmtId="0" fontId="11" fillId="32" borderId="37" xfId="0" applyFont="1" applyFill="1" applyBorder="1"/>
    <xf numFmtId="0" fontId="0" fillId="32" borderId="38" xfId="0" applyFill="1" applyBorder="1"/>
    <xf numFmtId="0" fontId="0" fillId="32" borderId="39" xfId="0" applyFill="1" applyBorder="1"/>
    <xf numFmtId="0" fontId="0" fillId="32" borderId="40" xfId="0" applyFill="1" applyBorder="1"/>
    <xf numFmtId="0" fontId="0" fillId="32" borderId="41" xfId="0" applyFont="1" applyFill="1" applyBorder="1"/>
    <xf numFmtId="0" fontId="0" fillId="32" borderId="41" xfId="0" applyFill="1" applyBorder="1"/>
    <xf numFmtId="165" fontId="0" fillId="32" borderId="41" xfId="0" applyNumberFormat="1" applyFill="1" applyBorder="1"/>
    <xf numFmtId="0" fontId="0" fillId="32" borderId="42" xfId="0" applyFill="1" applyBorder="1"/>
    <xf numFmtId="2" fontId="1" fillId="34" borderId="0" xfId="19" applyNumberFormat="1"/>
    <xf numFmtId="0" fontId="1" fillId="34" borderId="0" xfId="19" applyFont="1"/>
    <xf numFmtId="166" fontId="0" fillId="32" borderId="0" xfId="0" applyNumberFormat="1" applyFill="1" applyBorder="1" applyAlignment="1">
      <alignment horizontal="center"/>
    </xf>
    <xf numFmtId="0" fontId="0" fillId="25" borderId="0" xfId="0" applyFill="1" applyBorder="1"/>
    <xf numFmtId="2" fontId="43" fillId="30" borderId="0" xfId="0" applyNumberFormat="1" applyFont="1" applyFill="1" applyBorder="1" applyAlignment="1">
      <alignment horizontal="center"/>
    </xf>
    <xf numFmtId="11" fontId="33" fillId="20" borderId="23" xfId="8" applyNumberFormat="1" applyAlignment="1">
      <alignment horizontal="right"/>
    </xf>
    <xf numFmtId="165" fontId="33" fillId="20" borderId="23" xfId="8" applyNumberFormat="1" applyAlignment="1">
      <alignment horizontal="right"/>
    </xf>
    <xf numFmtId="2" fontId="33" fillId="20" borderId="23" xfId="8" applyNumberFormat="1" applyAlignment="1">
      <alignment horizontal="right"/>
    </xf>
    <xf numFmtId="1" fontId="33" fillId="20" borderId="23" xfId="8" applyNumberFormat="1" applyAlignment="1">
      <alignment horizontal="right"/>
    </xf>
    <xf numFmtId="11" fontId="33" fillId="20" borderId="23" xfId="8" applyNumberFormat="1"/>
    <xf numFmtId="0" fontId="33" fillId="20" borderId="23" xfId="8" applyAlignment="1">
      <alignment horizontal="right"/>
    </xf>
    <xf numFmtId="2" fontId="0" fillId="11" borderId="6" xfId="0" applyNumberFormat="1" applyFill="1" applyBorder="1"/>
    <xf numFmtId="0" fontId="0" fillId="35" borderId="0" xfId="0" applyFill="1"/>
    <xf numFmtId="0" fontId="31" fillId="35" borderId="0" xfId="17" applyFill="1"/>
    <xf numFmtId="11" fontId="31" fillId="35" borderId="0" xfId="17" applyNumberFormat="1" applyFill="1" applyAlignment="1">
      <alignment horizontal="right"/>
    </xf>
    <xf numFmtId="11" fontId="31" fillId="35" borderId="0" xfId="17" applyNumberFormat="1" applyFill="1"/>
    <xf numFmtId="11" fontId="0" fillId="35" borderId="0" xfId="0" applyNumberFormat="1" applyFill="1"/>
    <xf numFmtId="165" fontId="31" fillId="35" borderId="0" xfId="17" applyNumberFormat="1" applyFill="1" applyAlignment="1">
      <alignment horizontal="right"/>
    </xf>
    <xf numFmtId="2" fontId="31" fillId="35" borderId="0" xfId="17" applyNumberFormat="1" applyFill="1" applyAlignment="1">
      <alignment horizontal="right"/>
    </xf>
    <xf numFmtId="1" fontId="31" fillId="35" borderId="0" xfId="17" applyNumberFormat="1" applyFill="1" applyAlignment="1">
      <alignment horizontal="right"/>
    </xf>
    <xf numFmtId="0" fontId="31" fillId="35" borderId="0" xfId="17" applyFill="1" applyAlignment="1">
      <alignment horizontal="right"/>
    </xf>
    <xf numFmtId="2" fontId="0" fillId="11" borderId="3" xfId="0" applyNumberFormat="1" applyFont="1" applyFill="1" applyBorder="1"/>
    <xf numFmtId="2" fontId="0" fillId="11" borderId="6" xfId="0" applyNumberFormat="1" applyFill="1" applyBorder="1"/>
    <xf numFmtId="2" fontId="0" fillId="11" borderId="11" xfId="0" applyNumberFormat="1" applyFont="1" applyFill="1" applyBorder="1"/>
    <xf numFmtId="2" fontId="0" fillId="11" borderId="2" xfId="0" applyNumberFormat="1" applyFont="1" applyFill="1" applyBorder="1"/>
    <xf numFmtId="0" fontId="8" fillId="6" borderId="0" xfId="2" applyFont="1" applyFill="1" applyBorder="1" applyAlignment="1" applyProtection="1">
      <alignment horizontal="center"/>
    </xf>
    <xf numFmtId="2" fontId="0" fillId="11" borderId="6" xfId="0" applyNumberFormat="1" applyFont="1" applyFill="1" applyBorder="1"/>
    <xf numFmtId="2" fontId="0" fillId="11" borderId="4" xfId="0" applyNumberFormat="1" applyFont="1" applyFill="1" applyBorder="1"/>
    <xf numFmtId="2" fontId="0" fillId="11" borderId="8" xfId="0" applyNumberFormat="1" applyFont="1" applyFill="1" applyBorder="1"/>
    <xf numFmtId="2" fontId="0" fillId="11" borderId="0" xfId="0" applyNumberFormat="1" applyFont="1" applyFill="1" applyBorder="1"/>
    <xf numFmtId="2" fontId="43" fillId="30" borderId="27" xfId="0" applyNumberFormat="1" applyFont="1" applyFill="1" applyBorder="1" applyAlignment="1">
      <alignment horizontal="center"/>
    </xf>
    <xf numFmtId="2" fontId="43" fillId="30" borderId="28" xfId="0" applyNumberFormat="1" applyFont="1" applyFill="1" applyBorder="1" applyAlignment="1">
      <alignment horizontal="center"/>
    </xf>
    <xf numFmtId="2" fontId="43" fillId="30" borderId="29" xfId="0" applyNumberFormat="1" applyFont="1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27" fillId="0" borderId="21" xfId="3" applyAlignment="1">
      <alignment horizontal="center"/>
    </xf>
  </cellXfs>
  <cellStyles count="20">
    <cellStyle name="20% - Accent1" xfId="15" builtinId="30"/>
    <cellStyle name="20% - Accent2" xfId="19" builtinId="34"/>
    <cellStyle name="40% - Accent1 2" xfId="16"/>
    <cellStyle name="Accent1" xfId="11" builtinId="29"/>
    <cellStyle name="Accent2" xfId="12" builtinId="33"/>
    <cellStyle name="Bad" xfId="6" builtinId="27"/>
    <cellStyle name="Calculation" xfId="8" builtinId="22"/>
    <cellStyle name="Check Cell" xfId="9" builtinId="23"/>
    <cellStyle name="Comma" xfId="18" builtinId="3"/>
    <cellStyle name="Explanatory Text" xfId="10" builtinId="53"/>
    <cellStyle name="Good" xfId="5" builtinId="26"/>
    <cellStyle name="Heading 1" xfId="3" builtinId="16"/>
    <cellStyle name="Heading 3" xfId="4" builtinId="18"/>
    <cellStyle name="Input" xfId="7" builtinId="20"/>
    <cellStyle name="Neutral" xfId="17" builtinId="28"/>
    <cellStyle name="Normal" xfId="0" builtinId="0"/>
    <cellStyle name="Normal 2" xfId="13"/>
    <cellStyle name="Note 2" xfId="14"/>
    <cellStyle name="Percent" xfId="1" builtinId="5"/>
    <cellStyle name="TableStyleLight1" xfId="2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5B3D7"/>
      <rgbColor rgb="FFC0504D"/>
      <rgbColor rgb="FFF2F2F2"/>
      <rgbColor rgb="FFDCE6F2"/>
      <rgbColor rgb="FF660066"/>
      <rgbColor rgb="FFA5A5A5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C3D69B"/>
      <rgbColor rgb="FFA7C0DE"/>
      <rgbColor rgb="FFB7B7B7"/>
      <rgbColor rgb="FFCCC1DA"/>
      <rgbColor rgb="FFFFCC99"/>
      <rgbColor rgb="FF4F81BD"/>
      <rgbColor rgb="FF33CCCC"/>
      <rgbColor rgb="FF9BBB59"/>
      <rgbColor rgb="FFFFCC00"/>
      <rgbColor rgb="FFFF9900"/>
      <rgbColor rgb="FFFA7D00"/>
      <rgbColor rgb="FF8064A2"/>
      <rgbColor rgb="FF878787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nl-BE" b="1">
                <a:solidFill>
                  <a:srgbClr val="000000"/>
                </a:solidFill>
                <a:latin typeface="Calibri"/>
              </a:rPr>
              <a:t>Chart Title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'Tabula data'!$B$3</c:f>
              <c:strCache>
                <c:ptCount val="1"/>
                <c:pt idx="0">
                  <c:v>Tabula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('Tabula data'!$A$4:$A$7,'Tabula data'!$A$10,'Tabula data'!$A$14:$A$21,'Tabula data'!$A$26)</c:f>
              <c:strCache>
                <c:ptCount val="14"/>
                <c:pt idx="0">
                  <c:v>Total floor surface area</c:v>
                </c:pt>
                <c:pt idx="1">
                  <c:v>Protected volume</c:v>
                </c:pt>
                <c:pt idx="2">
                  <c:v>Total envelope area</c:v>
                </c:pt>
                <c:pt idx="3">
                  <c:v>Roof</c:v>
                </c:pt>
                <c:pt idx="4">
                  <c:v>Total exterior wall</c:v>
                </c:pt>
                <c:pt idx="5">
                  <c:v>Total Floor on ground</c:v>
                </c:pt>
                <c:pt idx="6">
                  <c:v>number of floors</c:v>
                </c:pt>
                <c:pt idx="7">
                  <c:v>height floor</c:v>
                </c:pt>
                <c:pt idx="8">
                  <c:v>width facade</c:v>
                </c:pt>
                <c:pt idx="9">
                  <c:v>depth building</c:v>
                </c:pt>
                <c:pt idx="10">
                  <c:v>Afacade</c:v>
                </c:pt>
                <c:pt idx="11">
                  <c:v>Area common wall</c:v>
                </c:pt>
                <c:pt idx="12">
                  <c:v>Doors</c:v>
                </c:pt>
                <c:pt idx="13">
                  <c:v>Total windows</c:v>
                </c:pt>
              </c:strCache>
            </c:strRef>
          </c:cat>
          <c:val>
            <c:numRef>
              <c:f>('Tabula data'!$B$4:$B$7,'Tabula data'!$B$10,'Tabula data'!$B$14:$B$21,'Tabula data'!$B$26)</c:f>
              <c:numCache>
                <c:formatCode>General</c:formatCode>
                <c:ptCount val="14"/>
                <c:pt idx="0">
                  <c:v>224</c:v>
                </c:pt>
                <c:pt idx="1">
                  <c:v>615.9</c:v>
                </c:pt>
                <c:pt idx="2">
                  <c:v>410</c:v>
                </c:pt>
                <c:pt idx="3">
                  <c:v>125.2</c:v>
                </c:pt>
                <c:pt idx="4" formatCode="0.0">
                  <c:v>137.9</c:v>
                </c:pt>
                <c:pt idx="5">
                  <c:v>103.4</c:v>
                </c:pt>
                <c:pt idx="6">
                  <c:v>2</c:v>
                </c:pt>
                <c:pt idx="7" formatCode="0.00">
                  <c:v>2.7495535714285713</c:v>
                </c:pt>
                <c:pt idx="8" formatCode="0.00">
                  <c:v>7.1902712048990196</c:v>
                </c:pt>
                <c:pt idx="9" formatCode="0.00">
                  <c:v>14.380542409798041</c:v>
                </c:pt>
                <c:pt idx="10" formatCode="0.00">
                  <c:v>39.540071741940231</c:v>
                </c:pt>
                <c:pt idx="11" formatCode="0.00">
                  <c:v>58.819856516119543</c:v>
                </c:pt>
                <c:pt idx="12">
                  <c:v>9.5</c:v>
                </c:pt>
                <c:pt idx="13">
                  <c:v>34.1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'Tabula data'!$D$3</c:f>
              <c:strCache>
                <c:ptCount val="1"/>
                <c:pt idx="0">
                  <c:v>Allacker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('Tabula data'!$A$4:$A$7,'Tabula data'!$A$10,'Tabula data'!$A$14:$A$21,'Tabula data'!$A$26)</c:f>
              <c:strCache>
                <c:ptCount val="14"/>
                <c:pt idx="0">
                  <c:v>Total floor surface area</c:v>
                </c:pt>
                <c:pt idx="1">
                  <c:v>Protected volume</c:v>
                </c:pt>
                <c:pt idx="2">
                  <c:v>Total envelope area</c:v>
                </c:pt>
                <c:pt idx="3">
                  <c:v>Roof</c:v>
                </c:pt>
                <c:pt idx="4">
                  <c:v>Total exterior wall</c:v>
                </c:pt>
                <c:pt idx="5">
                  <c:v>Total Floor on ground</c:v>
                </c:pt>
                <c:pt idx="6">
                  <c:v>number of floors</c:v>
                </c:pt>
                <c:pt idx="7">
                  <c:v>height floor</c:v>
                </c:pt>
                <c:pt idx="8">
                  <c:v>width facade</c:v>
                </c:pt>
                <c:pt idx="9">
                  <c:v>depth building</c:v>
                </c:pt>
                <c:pt idx="10">
                  <c:v>Afacade</c:v>
                </c:pt>
                <c:pt idx="11">
                  <c:v>Area common wall</c:v>
                </c:pt>
                <c:pt idx="12">
                  <c:v>Doors</c:v>
                </c:pt>
                <c:pt idx="13">
                  <c:v>Total windows</c:v>
                </c:pt>
              </c:strCache>
            </c:strRef>
          </c:cat>
          <c:val>
            <c:numRef>
              <c:f>('Tabula data'!$D$4:$D$7,'Tabula data'!$D$10,'Tabula data'!$D$14:$D$21,'Tabula data'!$D$26)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24704"/>
        <c:axId val="203256576"/>
      </c:barChart>
      <c:catAx>
        <c:axId val="202824704"/>
        <c:scaling>
          <c:orientation val="minMax"/>
        </c:scaling>
        <c:delete val="1"/>
        <c:axPos val="b"/>
        <c:majorTickMark val="out"/>
        <c:minorTickMark val="none"/>
        <c:tickLblPos val="nextTo"/>
        <c:crossAx val="203256576"/>
        <c:crossesAt val="0"/>
        <c:auto val="1"/>
        <c:lblAlgn val="ctr"/>
        <c:lblOffset val="100"/>
        <c:noMultiLvlLbl val="1"/>
      </c:catAx>
      <c:valAx>
        <c:axId val="203256576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878787"/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crossAx val="202824704"/>
        <c:crossesAt val="0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2zone Ref 2'!$AN$9:$AN$12</c:f>
              <c:strCache>
                <c:ptCount val="4"/>
                <c:pt idx="0">
                  <c:v>CiD</c:v>
                </c:pt>
                <c:pt idx="1">
                  <c:v>CwD</c:v>
                </c:pt>
                <c:pt idx="2">
                  <c:v>CwiD</c:v>
                </c:pt>
                <c:pt idx="3">
                  <c:v>CflD</c:v>
                </c:pt>
              </c:strCache>
            </c:strRef>
          </c:cat>
          <c:val>
            <c:numRef>
              <c:f>'Tabula 2zone Ref 2'!$AO$9:$AO$12</c:f>
              <c:numCache>
                <c:formatCode>0.00E+00</c:formatCode>
                <c:ptCount val="4"/>
                <c:pt idx="0">
                  <c:v>1904462.5600000003</c:v>
                </c:pt>
                <c:pt idx="1">
                  <c:v>8856365.1000000015</c:v>
                </c:pt>
                <c:pt idx="2">
                  <c:v>13048563.000000004</c:v>
                </c:pt>
                <c:pt idx="3">
                  <c:v>11473264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'Tabula 2zone Ref 2'!$AN$9:$AN$12</c:f>
              <c:strCache>
                <c:ptCount val="4"/>
                <c:pt idx="0">
                  <c:v>CiD</c:v>
                </c:pt>
                <c:pt idx="1">
                  <c:v>CwD</c:v>
                </c:pt>
                <c:pt idx="2">
                  <c:v>CwiD</c:v>
                </c:pt>
                <c:pt idx="3">
                  <c:v>CflD</c:v>
                </c:pt>
              </c:strCache>
            </c:strRef>
          </c:cat>
          <c:val>
            <c:numRef>
              <c:f>'Tabula 2zone Ref 2'!$AQ$9:$AQ$12</c:f>
              <c:numCache>
                <c:formatCode>0.00E+00</c:formatCode>
                <c:ptCount val="4"/>
                <c:pt idx="0">
                  <c:v>2850000</c:v>
                </c:pt>
                <c:pt idx="1">
                  <c:v>19700000</c:v>
                </c:pt>
                <c:pt idx="2">
                  <c:v>33400000</c:v>
                </c:pt>
                <c:pt idx="3">
                  <c:v>14800000</c:v>
                </c:pt>
              </c:numCache>
            </c:numRef>
          </c:val>
        </c:ser>
        <c:ser>
          <c:idx val="2"/>
          <c:order val="2"/>
          <c:tx>
            <c:v>fitInUse</c:v>
          </c:tx>
          <c:invertIfNegative val="0"/>
          <c:val>
            <c:numRef>
              <c:f>'Tabula 2zone Ref 2'!$BY$9:$BY$12</c:f>
              <c:numCache>
                <c:formatCode>0.00E+00</c:formatCode>
                <c:ptCount val="4"/>
                <c:pt idx="0">
                  <c:v>3460000</c:v>
                </c:pt>
                <c:pt idx="1">
                  <c:v>23000000</c:v>
                </c:pt>
                <c:pt idx="2">
                  <c:v>28700000</c:v>
                </c:pt>
                <c:pt idx="3">
                  <c:v>14600000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274880"/>
        <c:axId val="225276672"/>
      </c:barChart>
      <c:catAx>
        <c:axId val="22527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276672"/>
        <c:crosses val="autoZero"/>
        <c:auto val="1"/>
        <c:lblAlgn val="ctr"/>
        <c:lblOffset val="100"/>
        <c:noMultiLvlLbl val="0"/>
      </c:catAx>
      <c:valAx>
        <c:axId val="2252766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527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2zone Ref 2'!$AN$19:$AN$24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'Tabula 2zone Ref 2'!$AO$19:$AO$24</c:f>
              <c:numCache>
                <c:formatCode>General</c:formatCode>
                <c:ptCount val="6"/>
                <c:pt idx="0">
                  <c:v>282.17515527950314</c:v>
                </c:pt>
                <c:pt idx="1">
                  <c:v>429.98019801980206</c:v>
                </c:pt>
                <c:pt idx="2">
                  <c:v>459.10169958658707</c:v>
                </c:pt>
                <c:pt idx="3" formatCode="0.00">
                  <c:v>67.901478324403314</c:v>
                </c:pt>
                <c:pt idx="4">
                  <c:v>31.603226356367475</c:v>
                </c:pt>
                <c:pt idx="5">
                  <c:v>24.766467065868266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'Tabula 2zone Ref 2'!$AN$19:$AN$24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'Tabula 2zone Ref 2'!$AQ$19:$AQ$24</c:f>
              <c:numCache>
                <c:formatCode>0.00E+00</c:formatCode>
                <c:ptCount val="6"/>
                <c:pt idx="0">
                  <c:v>654</c:v>
                </c:pt>
                <c:pt idx="1">
                  <c:v>701</c:v>
                </c:pt>
                <c:pt idx="2">
                  <c:v>1380</c:v>
                </c:pt>
                <c:pt idx="3">
                  <c:v>259</c:v>
                </c:pt>
                <c:pt idx="4" formatCode="General">
                  <c:v>123.91573729863691</c:v>
                </c:pt>
                <c:pt idx="5">
                  <c:v>63.9</c:v>
                </c:pt>
              </c:numCache>
            </c:numRef>
          </c:val>
        </c:ser>
        <c:ser>
          <c:idx val="2"/>
          <c:order val="2"/>
          <c:tx>
            <c:v>fitinuse</c:v>
          </c:tx>
          <c:invertIfNegative val="0"/>
          <c:val>
            <c:numRef>
              <c:f>'Tabula 2zone Ref 2'!$BY$19:$BY$24</c:f>
              <c:numCache>
                <c:formatCode>0.00E+00</c:formatCode>
                <c:ptCount val="6"/>
                <c:pt idx="0">
                  <c:v>259</c:v>
                </c:pt>
                <c:pt idx="1">
                  <c:v>197</c:v>
                </c:pt>
                <c:pt idx="2">
                  <c:v>487</c:v>
                </c:pt>
                <c:pt idx="3">
                  <c:v>274</c:v>
                </c:pt>
                <c:pt idx="4">
                  <c:v>155.27950310559004</c:v>
                </c:pt>
                <c:pt idx="5">
                  <c:v>58.3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433472"/>
        <c:axId val="225435008"/>
      </c:barChart>
      <c:catAx>
        <c:axId val="22543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5435008"/>
        <c:crosses val="autoZero"/>
        <c:auto val="1"/>
        <c:lblAlgn val="ctr"/>
        <c:lblOffset val="100"/>
        <c:noMultiLvlLbl val="0"/>
      </c:catAx>
      <c:valAx>
        <c:axId val="22543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43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2zone Ref 2'!$AN$44:$AN$45</c:f>
              <c:strCache>
                <c:ptCount val="2"/>
                <c:pt idx="0">
                  <c:v>CfiD </c:v>
                </c:pt>
                <c:pt idx="1">
                  <c:v>CfiN</c:v>
                </c:pt>
              </c:strCache>
            </c:strRef>
          </c:cat>
          <c:val>
            <c:numRef>
              <c:f>'Tabula 2zone Ref 2'!$AO$44:$AO$45</c:f>
              <c:numCache>
                <c:formatCode>General</c:formatCode>
                <c:ptCount val="2"/>
                <c:pt idx="0">
                  <c:v>20786361.000000004</c:v>
                </c:pt>
                <c:pt idx="1">
                  <c:v>20786361.000000004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'Tabula 2zone Ref 2'!$AN$44:$AN$45</c:f>
              <c:strCache>
                <c:ptCount val="2"/>
                <c:pt idx="0">
                  <c:v>CfiD </c:v>
                </c:pt>
                <c:pt idx="1">
                  <c:v>CfiN</c:v>
                </c:pt>
              </c:strCache>
            </c:strRef>
          </c:cat>
          <c:val>
            <c:numRef>
              <c:f>'Tabula 2zone Ref 2'!$AQ$44:$AQ$45</c:f>
              <c:numCache>
                <c:formatCode>0.00E+00</c:formatCode>
                <c:ptCount val="2"/>
                <c:pt idx="0">
                  <c:v>10700000</c:v>
                </c:pt>
                <c:pt idx="1">
                  <c:v>33900000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484800"/>
        <c:axId val="225486336"/>
      </c:barChart>
      <c:catAx>
        <c:axId val="22548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486336"/>
        <c:crosses val="autoZero"/>
        <c:auto val="1"/>
        <c:lblAlgn val="ctr"/>
        <c:lblOffset val="100"/>
        <c:noMultiLvlLbl val="0"/>
      </c:catAx>
      <c:valAx>
        <c:axId val="225486336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22548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2zone Ref 2'!$AN$48:$AN$50</c:f>
              <c:strCache>
                <c:ptCount val="3"/>
                <c:pt idx="0">
                  <c:v>UfDN</c:v>
                </c:pt>
                <c:pt idx="1">
                  <c:v>Ufi</c:v>
                </c:pt>
                <c:pt idx="2">
                  <c:v>UfND</c:v>
                </c:pt>
              </c:strCache>
            </c:strRef>
          </c:cat>
          <c:val>
            <c:numRef>
              <c:f>'Tabula 2zone Ref 2'!$AO$48:$AO$50</c:f>
              <c:numCache>
                <c:formatCode>General</c:formatCode>
                <c:ptCount val="3"/>
                <c:pt idx="0">
                  <c:v>519.71362586605085</c:v>
                </c:pt>
                <c:pt idx="1">
                  <c:v>259.85681293302542</c:v>
                </c:pt>
                <c:pt idx="2">
                  <c:v>519.71362586605085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'Tabula 2zone Ref 2'!$AN$48:$AN$50</c:f>
              <c:strCache>
                <c:ptCount val="3"/>
                <c:pt idx="0">
                  <c:v>UfDN</c:v>
                </c:pt>
                <c:pt idx="1">
                  <c:v>Ufi</c:v>
                </c:pt>
                <c:pt idx="2">
                  <c:v>UfND</c:v>
                </c:pt>
              </c:strCache>
            </c:strRef>
          </c:cat>
          <c:val>
            <c:numRef>
              <c:f>'Tabula 2zone Ref 2'!$AQ$48:$AQ$50</c:f>
              <c:numCache>
                <c:formatCode>0.00E+00</c:formatCode>
                <c:ptCount val="3"/>
                <c:pt idx="0">
                  <c:v>599</c:v>
                </c:pt>
                <c:pt idx="1">
                  <c:v>537</c:v>
                </c:pt>
                <c:pt idx="2">
                  <c:v>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507200"/>
        <c:axId val="225508736"/>
      </c:barChart>
      <c:catAx>
        <c:axId val="2255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508736"/>
        <c:crosses val="autoZero"/>
        <c:auto val="1"/>
        <c:lblAlgn val="ctr"/>
        <c:lblOffset val="100"/>
        <c:noMultiLvlLbl val="0"/>
      </c:catAx>
      <c:valAx>
        <c:axId val="2255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RefULG 1'!$AO$9:$AO$12</c:f>
              <c:strCache>
                <c:ptCount val="4"/>
                <c:pt idx="0">
                  <c:v>CiD</c:v>
                </c:pt>
                <c:pt idx="1">
                  <c:v>CwD</c:v>
                </c:pt>
                <c:pt idx="2">
                  <c:v>CwiD</c:v>
                </c:pt>
                <c:pt idx="3">
                  <c:v>CflD</c:v>
                </c:pt>
              </c:strCache>
            </c:strRef>
          </c:cat>
          <c:val>
            <c:numRef>
              <c:f>'Tabula RefULG 1'!$AP$9:$AP$12</c:f>
              <c:numCache>
                <c:formatCode>0.00E+00</c:formatCode>
                <c:ptCount val="4"/>
                <c:pt idx="0">
                  <c:v>1904462.5600000003</c:v>
                </c:pt>
                <c:pt idx="1">
                  <c:v>8856365.1000000015</c:v>
                </c:pt>
                <c:pt idx="2">
                  <c:v>6524281.5000000019</c:v>
                </c:pt>
                <c:pt idx="3">
                  <c:v>11473264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'Tabula RefULG 1'!$AO$9:$AO$12</c:f>
              <c:strCache>
                <c:ptCount val="4"/>
                <c:pt idx="0">
                  <c:v>CiD</c:v>
                </c:pt>
                <c:pt idx="1">
                  <c:v>CwD</c:v>
                </c:pt>
                <c:pt idx="2">
                  <c:v>CwiD</c:v>
                </c:pt>
                <c:pt idx="3">
                  <c:v>CflD</c:v>
                </c:pt>
              </c:strCache>
            </c:strRef>
          </c:cat>
          <c:val>
            <c:numRef>
              <c:f>'Tabula RefULG 1'!$AR$9:$AR$12</c:f>
              <c:numCache>
                <c:formatCode>0.00E+00</c:formatCode>
                <c:ptCount val="4"/>
                <c:pt idx="0">
                  <c:v>2850000</c:v>
                </c:pt>
                <c:pt idx="1">
                  <c:v>19700000</c:v>
                </c:pt>
                <c:pt idx="2">
                  <c:v>33400000</c:v>
                </c:pt>
                <c:pt idx="3">
                  <c:v>14800000</c:v>
                </c:pt>
              </c:numCache>
            </c:numRef>
          </c:val>
        </c:ser>
        <c:ser>
          <c:idx val="2"/>
          <c:order val="2"/>
          <c:tx>
            <c:v>fitInUse</c:v>
          </c:tx>
          <c:invertIfNegative val="0"/>
          <c:val>
            <c:numRef>
              <c:f>'Tabula RefULG 1'!$BZ$9:$BZ$12</c:f>
              <c:numCache>
                <c:formatCode>0.00E+00</c:formatCode>
                <c:ptCount val="4"/>
                <c:pt idx="0">
                  <c:v>3460000</c:v>
                </c:pt>
                <c:pt idx="1">
                  <c:v>23000000</c:v>
                </c:pt>
                <c:pt idx="2">
                  <c:v>28700000</c:v>
                </c:pt>
                <c:pt idx="3">
                  <c:v>14600000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599680"/>
        <c:axId val="226601216"/>
      </c:barChart>
      <c:catAx>
        <c:axId val="22659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601216"/>
        <c:crosses val="autoZero"/>
        <c:auto val="1"/>
        <c:lblAlgn val="ctr"/>
        <c:lblOffset val="100"/>
        <c:noMultiLvlLbl val="0"/>
      </c:catAx>
      <c:valAx>
        <c:axId val="2266012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659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RefULG 1'!$AO$19:$AO$24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'Tabula RefULG 1'!$AP$19:$AP$24</c:f>
              <c:numCache>
                <c:formatCode>General</c:formatCode>
                <c:ptCount val="6"/>
                <c:pt idx="0">
                  <c:v>141.08757763975157</c:v>
                </c:pt>
                <c:pt idx="1">
                  <c:v>214.99009900990103</c:v>
                </c:pt>
                <c:pt idx="2">
                  <c:v>199.08073338295438</c:v>
                </c:pt>
                <c:pt idx="3" formatCode="0.00">
                  <c:v>91.923239162201668</c:v>
                </c:pt>
                <c:pt idx="4">
                  <c:v>49.736990917918547</c:v>
                </c:pt>
                <c:pt idx="5">
                  <c:v>20.614556962025318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'Tabula RefULG 1'!$AO$19:$AO$24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'Tabula RefULG 1'!$AR$19:$AR$24</c:f>
              <c:numCache>
                <c:formatCode>0.00E+00</c:formatCode>
                <c:ptCount val="6"/>
                <c:pt idx="0">
                  <c:v>654</c:v>
                </c:pt>
                <c:pt idx="1">
                  <c:v>701</c:v>
                </c:pt>
                <c:pt idx="2">
                  <c:v>1380</c:v>
                </c:pt>
                <c:pt idx="3">
                  <c:v>259</c:v>
                </c:pt>
                <c:pt idx="4" formatCode="General">
                  <c:v>123.91573729863691</c:v>
                </c:pt>
                <c:pt idx="5">
                  <c:v>63.9</c:v>
                </c:pt>
              </c:numCache>
            </c:numRef>
          </c:val>
        </c:ser>
        <c:ser>
          <c:idx val="2"/>
          <c:order val="2"/>
          <c:tx>
            <c:v>fitinuse</c:v>
          </c:tx>
          <c:invertIfNegative val="0"/>
          <c:val>
            <c:numRef>
              <c:f>'Tabula RefULG 1'!$BZ$19:$BZ$24</c:f>
              <c:numCache>
                <c:formatCode>0.00E+00</c:formatCode>
                <c:ptCount val="6"/>
                <c:pt idx="0">
                  <c:v>259</c:v>
                </c:pt>
                <c:pt idx="1">
                  <c:v>197</c:v>
                </c:pt>
                <c:pt idx="2">
                  <c:v>487</c:v>
                </c:pt>
                <c:pt idx="3">
                  <c:v>274</c:v>
                </c:pt>
                <c:pt idx="4">
                  <c:v>155.27950310559004</c:v>
                </c:pt>
                <c:pt idx="5">
                  <c:v>58.3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18752"/>
        <c:axId val="226653312"/>
      </c:barChart>
      <c:catAx>
        <c:axId val="22661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6653312"/>
        <c:crosses val="autoZero"/>
        <c:auto val="1"/>
        <c:lblAlgn val="ctr"/>
        <c:lblOffset val="100"/>
        <c:noMultiLvlLbl val="0"/>
      </c:catAx>
      <c:valAx>
        <c:axId val="22665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61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RefULG 1'!$AO$44:$AO$45</c:f>
              <c:strCache>
                <c:ptCount val="2"/>
                <c:pt idx="0">
                  <c:v>CfiD </c:v>
                </c:pt>
                <c:pt idx="1">
                  <c:v>CfiN</c:v>
                </c:pt>
              </c:strCache>
            </c:strRef>
          </c:cat>
          <c:val>
            <c:numRef>
              <c:f>'Tabula RefULG 1'!$AP$44:$AP$45</c:f>
              <c:numCache>
                <c:formatCode>General</c:formatCode>
                <c:ptCount val="2"/>
                <c:pt idx="0">
                  <c:v>20786361.000000004</c:v>
                </c:pt>
                <c:pt idx="1">
                  <c:v>20786361.000000004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'Tabula RefULG 1'!$AO$44:$AO$45</c:f>
              <c:strCache>
                <c:ptCount val="2"/>
                <c:pt idx="0">
                  <c:v>CfiD </c:v>
                </c:pt>
                <c:pt idx="1">
                  <c:v>CfiN</c:v>
                </c:pt>
              </c:strCache>
            </c:strRef>
          </c:cat>
          <c:val>
            <c:numRef>
              <c:f>'Tabula RefULG 1'!$AR$44:$AR$45</c:f>
              <c:numCache>
                <c:formatCode>0.00E+00</c:formatCode>
                <c:ptCount val="2"/>
                <c:pt idx="0">
                  <c:v>10700000</c:v>
                </c:pt>
                <c:pt idx="1">
                  <c:v>33900000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98752"/>
        <c:axId val="226700288"/>
      </c:barChart>
      <c:catAx>
        <c:axId val="22669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6700288"/>
        <c:crosses val="autoZero"/>
        <c:auto val="1"/>
        <c:lblAlgn val="ctr"/>
        <c:lblOffset val="100"/>
        <c:noMultiLvlLbl val="0"/>
      </c:catAx>
      <c:valAx>
        <c:axId val="226700288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22669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RefULG 1'!$AO$48:$AO$50</c:f>
              <c:strCache>
                <c:ptCount val="3"/>
                <c:pt idx="0">
                  <c:v>UfDN</c:v>
                </c:pt>
                <c:pt idx="1">
                  <c:v>Ufi</c:v>
                </c:pt>
                <c:pt idx="2">
                  <c:v>UfND</c:v>
                </c:pt>
              </c:strCache>
            </c:strRef>
          </c:cat>
          <c:val>
            <c:numRef>
              <c:f>'Tabula RefULG 1'!$AP$48:$AP$50</c:f>
              <c:numCache>
                <c:formatCode>General</c:formatCode>
                <c:ptCount val="3"/>
                <c:pt idx="0">
                  <c:v>374.43594009983366</c:v>
                </c:pt>
                <c:pt idx="1">
                  <c:v>187.21797004991683</c:v>
                </c:pt>
                <c:pt idx="2">
                  <c:v>374.43594009983366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'Tabula RefULG 1'!$AO$48:$AO$50</c:f>
              <c:strCache>
                <c:ptCount val="3"/>
                <c:pt idx="0">
                  <c:v>UfDN</c:v>
                </c:pt>
                <c:pt idx="1">
                  <c:v>Ufi</c:v>
                </c:pt>
                <c:pt idx="2">
                  <c:v>UfND</c:v>
                </c:pt>
              </c:strCache>
            </c:strRef>
          </c:cat>
          <c:val>
            <c:numRef>
              <c:f>'Tabula RefULG 1'!$AR$48:$AR$50</c:f>
              <c:numCache>
                <c:formatCode>0.00E+00</c:formatCode>
                <c:ptCount val="3"/>
                <c:pt idx="0">
                  <c:v>599</c:v>
                </c:pt>
                <c:pt idx="1">
                  <c:v>537</c:v>
                </c:pt>
                <c:pt idx="2">
                  <c:v>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729344"/>
        <c:axId val="226735232"/>
      </c:barChart>
      <c:catAx>
        <c:axId val="2267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735232"/>
        <c:crosses val="autoZero"/>
        <c:auto val="1"/>
        <c:lblAlgn val="ctr"/>
        <c:lblOffset val="100"/>
        <c:noMultiLvlLbl val="0"/>
      </c:catAx>
      <c:valAx>
        <c:axId val="22673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72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RefULG 2'!$AO$9:$AO$12</c:f>
              <c:strCache>
                <c:ptCount val="4"/>
                <c:pt idx="0">
                  <c:v>CiD</c:v>
                </c:pt>
                <c:pt idx="1">
                  <c:v>CwD</c:v>
                </c:pt>
                <c:pt idx="2">
                  <c:v>CwiD</c:v>
                </c:pt>
                <c:pt idx="3">
                  <c:v>CflD</c:v>
                </c:pt>
              </c:strCache>
            </c:strRef>
          </c:cat>
          <c:val>
            <c:numRef>
              <c:f>'Tabula RefULG 2'!$AP$9:$AP$12</c:f>
              <c:numCache>
                <c:formatCode>0.00E+00</c:formatCode>
                <c:ptCount val="4"/>
                <c:pt idx="0">
                  <c:v>1904462.5600000003</c:v>
                </c:pt>
                <c:pt idx="1">
                  <c:v>8856365.1000000015</c:v>
                </c:pt>
                <c:pt idx="2">
                  <c:v>6524281.5000000019</c:v>
                </c:pt>
                <c:pt idx="3">
                  <c:v>11473264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'Tabula RefULG 2'!$AO$9:$AO$12</c:f>
              <c:strCache>
                <c:ptCount val="4"/>
                <c:pt idx="0">
                  <c:v>CiD</c:v>
                </c:pt>
                <c:pt idx="1">
                  <c:v>CwD</c:v>
                </c:pt>
                <c:pt idx="2">
                  <c:v>CwiD</c:v>
                </c:pt>
                <c:pt idx="3">
                  <c:v>CflD</c:v>
                </c:pt>
              </c:strCache>
            </c:strRef>
          </c:cat>
          <c:val>
            <c:numRef>
              <c:f>'Tabula RefULG 2'!$AR$9:$AR$12</c:f>
              <c:numCache>
                <c:formatCode>0.00E+00</c:formatCode>
                <c:ptCount val="4"/>
                <c:pt idx="0">
                  <c:v>2850000</c:v>
                </c:pt>
                <c:pt idx="1">
                  <c:v>19700000</c:v>
                </c:pt>
                <c:pt idx="2">
                  <c:v>33400000</c:v>
                </c:pt>
                <c:pt idx="3">
                  <c:v>14800000</c:v>
                </c:pt>
              </c:numCache>
            </c:numRef>
          </c:val>
        </c:ser>
        <c:ser>
          <c:idx val="2"/>
          <c:order val="2"/>
          <c:tx>
            <c:v>fitInUse</c:v>
          </c:tx>
          <c:invertIfNegative val="0"/>
          <c:val>
            <c:numRef>
              <c:f>'Tabula RefULG 2'!$BZ$9:$BZ$12</c:f>
              <c:numCache>
                <c:formatCode>0.00E+00</c:formatCode>
                <c:ptCount val="4"/>
                <c:pt idx="0">
                  <c:v>3460000</c:v>
                </c:pt>
                <c:pt idx="1">
                  <c:v>23000000</c:v>
                </c:pt>
                <c:pt idx="2">
                  <c:v>28700000</c:v>
                </c:pt>
                <c:pt idx="3">
                  <c:v>14600000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303616"/>
        <c:axId val="228305152"/>
      </c:barChart>
      <c:catAx>
        <c:axId val="22830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305152"/>
        <c:crosses val="autoZero"/>
        <c:auto val="1"/>
        <c:lblAlgn val="ctr"/>
        <c:lblOffset val="100"/>
        <c:noMultiLvlLbl val="0"/>
      </c:catAx>
      <c:valAx>
        <c:axId val="2283051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830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RefULG 2'!$AO$19:$AO$24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'Tabula RefULG 2'!$AP$19:$AP$24</c:f>
              <c:numCache>
                <c:formatCode>General</c:formatCode>
                <c:ptCount val="6"/>
                <c:pt idx="0">
                  <c:v>141.08757763975157</c:v>
                </c:pt>
                <c:pt idx="1">
                  <c:v>214.99009900990103</c:v>
                </c:pt>
                <c:pt idx="2">
                  <c:v>199.08073338295438</c:v>
                </c:pt>
                <c:pt idx="3" formatCode="0.00">
                  <c:v>91.923239162201668</c:v>
                </c:pt>
                <c:pt idx="4">
                  <c:v>27.553651976295956</c:v>
                </c:pt>
                <c:pt idx="5">
                  <c:v>10.346482801274425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'Tabula RefULG 2'!$AO$19:$AO$24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'Tabula RefULG 2'!$AR$19:$AR$24</c:f>
              <c:numCache>
                <c:formatCode>0.00E+00</c:formatCode>
                <c:ptCount val="6"/>
                <c:pt idx="0">
                  <c:v>654</c:v>
                </c:pt>
                <c:pt idx="1">
                  <c:v>701</c:v>
                </c:pt>
                <c:pt idx="2">
                  <c:v>1380</c:v>
                </c:pt>
                <c:pt idx="3">
                  <c:v>259</c:v>
                </c:pt>
                <c:pt idx="4" formatCode="General">
                  <c:v>123.91573729863691</c:v>
                </c:pt>
                <c:pt idx="5">
                  <c:v>63.9</c:v>
                </c:pt>
              </c:numCache>
            </c:numRef>
          </c:val>
        </c:ser>
        <c:ser>
          <c:idx val="2"/>
          <c:order val="2"/>
          <c:tx>
            <c:v>fitinuse</c:v>
          </c:tx>
          <c:invertIfNegative val="0"/>
          <c:val>
            <c:numRef>
              <c:f>'Tabula RefULG 2'!$BZ$19:$BZ$24</c:f>
              <c:numCache>
                <c:formatCode>0.00E+00</c:formatCode>
                <c:ptCount val="6"/>
                <c:pt idx="0">
                  <c:v>259</c:v>
                </c:pt>
                <c:pt idx="1">
                  <c:v>197</c:v>
                </c:pt>
                <c:pt idx="2">
                  <c:v>487</c:v>
                </c:pt>
                <c:pt idx="3">
                  <c:v>274</c:v>
                </c:pt>
                <c:pt idx="4">
                  <c:v>155.27950310559004</c:v>
                </c:pt>
                <c:pt idx="5">
                  <c:v>58.3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318592"/>
        <c:axId val="228537472"/>
      </c:barChart>
      <c:catAx>
        <c:axId val="22831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37472"/>
        <c:crosses val="autoZero"/>
        <c:auto val="1"/>
        <c:lblAlgn val="ctr"/>
        <c:lblOffset val="100"/>
        <c:noMultiLvlLbl val="0"/>
      </c:catAx>
      <c:valAx>
        <c:axId val="22853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31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'Gebouwgegevens Tabula 2zone'!$AO$9:$AO$12</c:f>
              <c:strCache>
                <c:ptCount val="4"/>
                <c:pt idx="0">
                  <c:v>CiD</c:v>
                </c:pt>
                <c:pt idx="1">
                  <c:v>CwD</c:v>
                </c:pt>
                <c:pt idx="2">
                  <c:v>CwiD</c:v>
                </c:pt>
                <c:pt idx="3">
                  <c:v>CflD</c:v>
                </c:pt>
              </c:strCache>
            </c:strRef>
          </c:cat>
          <c:val>
            <c:numRef>
              <c:f>'Gebouwgegevens Tabula 2zone'!$AP$9:$AP$12</c:f>
              <c:numCache>
                <c:formatCode>0.00E+00</c:formatCode>
                <c:ptCount val="4"/>
                <c:pt idx="0">
                  <c:v>1904462.5600000003</c:v>
                </c:pt>
                <c:pt idx="1">
                  <c:v>8856365.1000000015</c:v>
                </c:pt>
                <c:pt idx="2">
                  <c:v>13048563.000000004</c:v>
                </c:pt>
                <c:pt idx="3">
                  <c:v>11473264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'Gebouwgegevens Tabula 2zone'!$AO$9:$AO$12</c:f>
              <c:strCache>
                <c:ptCount val="4"/>
                <c:pt idx="0">
                  <c:v>CiD</c:v>
                </c:pt>
                <c:pt idx="1">
                  <c:v>CwD</c:v>
                </c:pt>
                <c:pt idx="2">
                  <c:v>CwiD</c:v>
                </c:pt>
                <c:pt idx="3">
                  <c:v>CflD</c:v>
                </c:pt>
              </c:strCache>
            </c:strRef>
          </c:cat>
          <c:val>
            <c:numRef>
              <c:f>'Gebouwgegevens Tabula 2zone'!$AR$9:$AR$12</c:f>
              <c:numCache>
                <c:formatCode>0.00E+00</c:formatCode>
                <c:ptCount val="4"/>
                <c:pt idx="0">
                  <c:v>2850000</c:v>
                </c:pt>
                <c:pt idx="1">
                  <c:v>19700000</c:v>
                </c:pt>
                <c:pt idx="2">
                  <c:v>33400000</c:v>
                </c:pt>
                <c:pt idx="3">
                  <c:v>14800000</c:v>
                </c:pt>
              </c:numCache>
            </c:numRef>
          </c:val>
        </c:ser>
        <c:ser>
          <c:idx val="2"/>
          <c:order val="2"/>
          <c:tx>
            <c:v>fitInUse</c:v>
          </c:tx>
          <c:invertIfNegative val="0"/>
          <c:val>
            <c:numRef>
              <c:f>'Gebouwgegevens Tabula 2zone'!$BZ$9:$BZ$12</c:f>
              <c:numCache>
                <c:formatCode>0.00E+00</c:formatCode>
                <c:ptCount val="4"/>
                <c:pt idx="0">
                  <c:v>3460000</c:v>
                </c:pt>
                <c:pt idx="1">
                  <c:v>23000000</c:v>
                </c:pt>
                <c:pt idx="2">
                  <c:v>28700000</c:v>
                </c:pt>
                <c:pt idx="3">
                  <c:v>14600000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694784"/>
        <c:axId val="222696576"/>
      </c:barChart>
      <c:catAx>
        <c:axId val="22269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696576"/>
        <c:crosses val="autoZero"/>
        <c:auto val="1"/>
        <c:lblAlgn val="ctr"/>
        <c:lblOffset val="100"/>
        <c:noMultiLvlLbl val="0"/>
      </c:catAx>
      <c:valAx>
        <c:axId val="2226965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269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RefULG 2'!$AO$44:$AO$45</c:f>
              <c:strCache>
                <c:ptCount val="2"/>
                <c:pt idx="0">
                  <c:v>CfiD </c:v>
                </c:pt>
                <c:pt idx="1">
                  <c:v>CfiN</c:v>
                </c:pt>
              </c:strCache>
            </c:strRef>
          </c:cat>
          <c:val>
            <c:numRef>
              <c:f>'Tabula RefULG 2'!$AP$44:$AP$45</c:f>
              <c:numCache>
                <c:formatCode>General</c:formatCode>
                <c:ptCount val="2"/>
                <c:pt idx="0">
                  <c:v>20786361.000000004</c:v>
                </c:pt>
                <c:pt idx="1">
                  <c:v>20786361.000000004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'Tabula RefULG 2'!$AO$44:$AO$45</c:f>
              <c:strCache>
                <c:ptCount val="2"/>
                <c:pt idx="0">
                  <c:v>CfiD </c:v>
                </c:pt>
                <c:pt idx="1">
                  <c:v>CfiN</c:v>
                </c:pt>
              </c:strCache>
            </c:strRef>
          </c:cat>
          <c:val>
            <c:numRef>
              <c:f>'Tabula RefULG 2'!$AR$44:$AR$45</c:f>
              <c:numCache>
                <c:formatCode>0.00E+00</c:formatCode>
                <c:ptCount val="2"/>
                <c:pt idx="0">
                  <c:v>10700000</c:v>
                </c:pt>
                <c:pt idx="1">
                  <c:v>33900000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574720"/>
        <c:axId val="228576256"/>
      </c:barChart>
      <c:catAx>
        <c:axId val="22857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76256"/>
        <c:crosses val="autoZero"/>
        <c:auto val="1"/>
        <c:lblAlgn val="ctr"/>
        <c:lblOffset val="100"/>
        <c:noMultiLvlLbl val="0"/>
      </c:catAx>
      <c:valAx>
        <c:axId val="228576256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22857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RefULG 2'!$AO$48:$AO$50</c:f>
              <c:strCache>
                <c:ptCount val="3"/>
                <c:pt idx="0">
                  <c:v>UfDN</c:v>
                </c:pt>
                <c:pt idx="1">
                  <c:v>Ufi</c:v>
                </c:pt>
                <c:pt idx="2">
                  <c:v>UfND</c:v>
                </c:pt>
              </c:strCache>
            </c:strRef>
          </c:cat>
          <c:val>
            <c:numRef>
              <c:f>'Tabula RefULG 2'!$AP$48:$AP$50</c:f>
              <c:numCache>
                <c:formatCode>General</c:formatCode>
                <c:ptCount val="3"/>
                <c:pt idx="0">
                  <c:v>374.43594009983366</c:v>
                </c:pt>
                <c:pt idx="1">
                  <c:v>187.21797004991683</c:v>
                </c:pt>
                <c:pt idx="2">
                  <c:v>374.43594009983366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'Tabula RefULG 2'!$AO$48:$AO$50</c:f>
              <c:strCache>
                <c:ptCount val="3"/>
                <c:pt idx="0">
                  <c:v>UfDN</c:v>
                </c:pt>
                <c:pt idx="1">
                  <c:v>Ufi</c:v>
                </c:pt>
                <c:pt idx="2">
                  <c:v>UfND</c:v>
                </c:pt>
              </c:strCache>
            </c:strRef>
          </c:cat>
          <c:val>
            <c:numRef>
              <c:f>'Tabula RefULG 2'!$AR$48:$AR$50</c:f>
              <c:numCache>
                <c:formatCode>0.00E+00</c:formatCode>
                <c:ptCount val="3"/>
                <c:pt idx="0">
                  <c:v>599</c:v>
                </c:pt>
                <c:pt idx="1">
                  <c:v>537</c:v>
                </c:pt>
                <c:pt idx="2">
                  <c:v>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601216"/>
        <c:axId val="228603008"/>
      </c:barChart>
      <c:catAx>
        <c:axId val="22860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603008"/>
        <c:crosses val="autoZero"/>
        <c:auto val="1"/>
        <c:lblAlgn val="ctr"/>
        <c:lblOffset val="100"/>
        <c:noMultiLvlLbl val="0"/>
      </c:catAx>
      <c:valAx>
        <c:axId val="22860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60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'Gebouwgegevens Tabula 2zone'!$AO$19:$AO$24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'Gebouwgegevens Tabula 2zone'!$AP$19:$AP$24</c:f>
              <c:numCache>
                <c:formatCode>General</c:formatCode>
                <c:ptCount val="6"/>
                <c:pt idx="0">
                  <c:v>192.42672314208707</c:v>
                </c:pt>
                <c:pt idx="1">
                  <c:v>329</c:v>
                </c:pt>
                <c:pt idx="2">
                  <c:v>286.53877828714622</c:v>
                </c:pt>
                <c:pt idx="3" formatCode="0.00">
                  <c:v>142.0714783244033</c:v>
                </c:pt>
                <c:pt idx="4">
                  <c:v>49.736990917918547</c:v>
                </c:pt>
                <c:pt idx="5">
                  <c:v>45.874647887323945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'Gebouwgegevens Tabula 2zone'!$AO$19:$AO$24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'Gebouwgegevens Tabula 2zone'!$AR$19:$AR$24</c:f>
              <c:numCache>
                <c:formatCode>0.00E+00</c:formatCode>
                <c:ptCount val="6"/>
                <c:pt idx="0">
                  <c:v>654</c:v>
                </c:pt>
                <c:pt idx="1">
                  <c:v>701</c:v>
                </c:pt>
                <c:pt idx="2">
                  <c:v>1380</c:v>
                </c:pt>
                <c:pt idx="3">
                  <c:v>259</c:v>
                </c:pt>
                <c:pt idx="4" formatCode="General">
                  <c:v>123.91573729863691</c:v>
                </c:pt>
                <c:pt idx="5">
                  <c:v>63.9</c:v>
                </c:pt>
              </c:numCache>
            </c:numRef>
          </c:val>
        </c:ser>
        <c:ser>
          <c:idx val="2"/>
          <c:order val="2"/>
          <c:tx>
            <c:v>fitinuse</c:v>
          </c:tx>
          <c:invertIfNegative val="0"/>
          <c:val>
            <c:numRef>
              <c:f>'Gebouwgegevens Tabula 2zone'!$BZ$19:$BZ$24</c:f>
              <c:numCache>
                <c:formatCode>0.00E+00</c:formatCode>
                <c:ptCount val="6"/>
                <c:pt idx="0">
                  <c:v>259</c:v>
                </c:pt>
                <c:pt idx="1">
                  <c:v>197</c:v>
                </c:pt>
                <c:pt idx="2">
                  <c:v>487</c:v>
                </c:pt>
                <c:pt idx="3">
                  <c:v>274</c:v>
                </c:pt>
                <c:pt idx="4">
                  <c:v>155.27950310559004</c:v>
                </c:pt>
                <c:pt idx="5">
                  <c:v>58.3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714112"/>
        <c:axId val="222736384"/>
      </c:barChart>
      <c:catAx>
        <c:axId val="22271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2736384"/>
        <c:crosses val="autoZero"/>
        <c:auto val="1"/>
        <c:lblAlgn val="ctr"/>
        <c:lblOffset val="100"/>
        <c:noMultiLvlLbl val="0"/>
      </c:catAx>
      <c:valAx>
        <c:axId val="2227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71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'Gebouwgegevens Tabula 2zone'!$AO$44:$AO$45</c:f>
              <c:strCache>
                <c:ptCount val="2"/>
                <c:pt idx="0">
                  <c:v>CfiD </c:v>
                </c:pt>
                <c:pt idx="1">
                  <c:v>CfiN</c:v>
                </c:pt>
              </c:strCache>
            </c:strRef>
          </c:cat>
          <c:val>
            <c:numRef>
              <c:f>'Gebouwgegevens Tabula 2zone'!$AP$44:$AP$45</c:f>
              <c:numCache>
                <c:formatCode>General</c:formatCode>
                <c:ptCount val="2"/>
                <c:pt idx="0">
                  <c:v>20786361.000000004</c:v>
                </c:pt>
                <c:pt idx="1">
                  <c:v>20786361.000000004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'Gebouwgegevens Tabula 2zone'!$AO$44:$AO$45</c:f>
              <c:strCache>
                <c:ptCount val="2"/>
                <c:pt idx="0">
                  <c:v>CfiD </c:v>
                </c:pt>
                <c:pt idx="1">
                  <c:v>CfiN</c:v>
                </c:pt>
              </c:strCache>
            </c:strRef>
          </c:cat>
          <c:val>
            <c:numRef>
              <c:f>'Gebouwgegevens Tabula 2zone'!$AR$44:$AR$45</c:f>
              <c:numCache>
                <c:formatCode>0.00E+00</c:formatCode>
                <c:ptCount val="2"/>
                <c:pt idx="0">
                  <c:v>10700000</c:v>
                </c:pt>
                <c:pt idx="1">
                  <c:v>33900000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765440"/>
        <c:axId val="222766976"/>
      </c:barChart>
      <c:catAx>
        <c:axId val="22276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2766976"/>
        <c:crosses val="autoZero"/>
        <c:auto val="1"/>
        <c:lblAlgn val="ctr"/>
        <c:lblOffset val="100"/>
        <c:noMultiLvlLbl val="0"/>
      </c:catAx>
      <c:valAx>
        <c:axId val="222766976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22276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'Gebouwgegevens Tabula 2zone'!$AO$48:$AO$50</c:f>
              <c:strCache>
                <c:ptCount val="3"/>
                <c:pt idx="0">
                  <c:v>UfDN</c:v>
                </c:pt>
                <c:pt idx="1">
                  <c:v>Ufi</c:v>
                </c:pt>
                <c:pt idx="2">
                  <c:v>UfND</c:v>
                </c:pt>
              </c:strCache>
            </c:strRef>
          </c:cat>
          <c:val>
            <c:numRef>
              <c:f>'Gebouwgegevens Tabula 2zone'!$AP$48:$AP$50</c:f>
              <c:numCache>
                <c:formatCode>General</c:formatCode>
                <c:ptCount val="3"/>
                <c:pt idx="0">
                  <c:v>519.71362586605085</c:v>
                </c:pt>
                <c:pt idx="1">
                  <c:v>259.85681293302542</c:v>
                </c:pt>
                <c:pt idx="2">
                  <c:v>519.71362586605085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'Gebouwgegevens Tabula 2zone'!$AO$48:$AO$50</c:f>
              <c:strCache>
                <c:ptCount val="3"/>
                <c:pt idx="0">
                  <c:v>UfDN</c:v>
                </c:pt>
                <c:pt idx="1">
                  <c:v>Ufi</c:v>
                </c:pt>
                <c:pt idx="2">
                  <c:v>UfND</c:v>
                </c:pt>
              </c:strCache>
            </c:strRef>
          </c:cat>
          <c:val>
            <c:numRef>
              <c:f>'Gebouwgegevens Tabula 2zone'!$AR$48:$AR$50</c:f>
              <c:numCache>
                <c:formatCode>0.00E+00</c:formatCode>
                <c:ptCount val="3"/>
                <c:pt idx="0">
                  <c:v>599</c:v>
                </c:pt>
                <c:pt idx="1">
                  <c:v>537</c:v>
                </c:pt>
                <c:pt idx="2">
                  <c:v>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808320"/>
        <c:axId val="222814208"/>
      </c:barChart>
      <c:catAx>
        <c:axId val="22280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2814208"/>
        <c:crosses val="autoZero"/>
        <c:auto val="1"/>
        <c:lblAlgn val="ctr"/>
        <c:lblOffset val="100"/>
        <c:noMultiLvlLbl val="0"/>
      </c:catAx>
      <c:valAx>
        <c:axId val="22281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80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2zone Ref 1'!$AN$9:$AN$12</c:f>
              <c:strCache>
                <c:ptCount val="4"/>
                <c:pt idx="0">
                  <c:v>CiD</c:v>
                </c:pt>
                <c:pt idx="1">
                  <c:v>CwD</c:v>
                </c:pt>
                <c:pt idx="2">
                  <c:v>CwiD</c:v>
                </c:pt>
                <c:pt idx="3">
                  <c:v>CflD</c:v>
                </c:pt>
              </c:strCache>
            </c:strRef>
          </c:cat>
          <c:val>
            <c:numRef>
              <c:f>'Tabula 2zone Ref 1'!$AO$9:$AO$12</c:f>
              <c:numCache>
                <c:formatCode>0.00E+00</c:formatCode>
                <c:ptCount val="4"/>
                <c:pt idx="0">
                  <c:v>1904462.5600000003</c:v>
                </c:pt>
                <c:pt idx="1">
                  <c:v>8856365.1000000015</c:v>
                </c:pt>
                <c:pt idx="2">
                  <c:v>13048563.000000004</c:v>
                </c:pt>
                <c:pt idx="3">
                  <c:v>11473264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'Tabula 2zone Ref 1'!$AN$9:$AN$12</c:f>
              <c:strCache>
                <c:ptCount val="4"/>
                <c:pt idx="0">
                  <c:v>CiD</c:v>
                </c:pt>
                <c:pt idx="1">
                  <c:v>CwD</c:v>
                </c:pt>
                <c:pt idx="2">
                  <c:v>CwiD</c:v>
                </c:pt>
                <c:pt idx="3">
                  <c:v>CflD</c:v>
                </c:pt>
              </c:strCache>
            </c:strRef>
          </c:cat>
          <c:val>
            <c:numRef>
              <c:f>'Tabula 2zone Ref 1'!$AQ$9:$AQ$12</c:f>
              <c:numCache>
                <c:formatCode>0.00E+00</c:formatCode>
                <c:ptCount val="4"/>
                <c:pt idx="0">
                  <c:v>2850000</c:v>
                </c:pt>
                <c:pt idx="1">
                  <c:v>19700000</c:v>
                </c:pt>
                <c:pt idx="2">
                  <c:v>33400000</c:v>
                </c:pt>
                <c:pt idx="3">
                  <c:v>14800000</c:v>
                </c:pt>
              </c:numCache>
            </c:numRef>
          </c:val>
        </c:ser>
        <c:ser>
          <c:idx val="2"/>
          <c:order val="2"/>
          <c:tx>
            <c:v>fitInUse</c:v>
          </c:tx>
          <c:invertIfNegative val="0"/>
          <c:val>
            <c:numRef>
              <c:f>'Tabula 2zone Ref 1'!$BY$9:$BY$12</c:f>
              <c:numCache>
                <c:formatCode>0.00E+00</c:formatCode>
                <c:ptCount val="4"/>
                <c:pt idx="0">
                  <c:v>3460000</c:v>
                </c:pt>
                <c:pt idx="1">
                  <c:v>23000000</c:v>
                </c:pt>
                <c:pt idx="2">
                  <c:v>28700000</c:v>
                </c:pt>
                <c:pt idx="3">
                  <c:v>14600000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438336"/>
        <c:axId val="223439872"/>
      </c:barChart>
      <c:catAx>
        <c:axId val="22343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3439872"/>
        <c:crosses val="autoZero"/>
        <c:auto val="1"/>
        <c:lblAlgn val="ctr"/>
        <c:lblOffset val="100"/>
        <c:noMultiLvlLbl val="0"/>
      </c:catAx>
      <c:valAx>
        <c:axId val="2234398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343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2zone Ref 1'!$AN$19:$AN$24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'Tabula 2zone Ref 1'!$AO$19:$AO$24</c:f>
              <c:numCache>
                <c:formatCode>General</c:formatCode>
                <c:ptCount val="6"/>
                <c:pt idx="0">
                  <c:v>282.17515527950314</c:v>
                </c:pt>
                <c:pt idx="1">
                  <c:v>429.98019801980206</c:v>
                </c:pt>
                <c:pt idx="2">
                  <c:v>459.10169958658707</c:v>
                </c:pt>
                <c:pt idx="3" formatCode="0.00">
                  <c:v>83.246478324403313</c:v>
                </c:pt>
                <c:pt idx="4">
                  <c:v>26.35343672473644</c:v>
                </c:pt>
                <c:pt idx="5">
                  <c:v>30.942643391521198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'Tabula 2zone Ref 1'!$AN$19:$AN$24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UwD</c:v>
                </c:pt>
                <c:pt idx="5">
                  <c:v>UflD</c:v>
                </c:pt>
              </c:strCache>
            </c:strRef>
          </c:cat>
          <c:val>
            <c:numRef>
              <c:f>'Tabula 2zone Ref 1'!$AQ$19:$AQ$24</c:f>
              <c:numCache>
                <c:formatCode>0.00E+00</c:formatCode>
                <c:ptCount val="6"/>
                <c:pt idx="0">
                  <c:v>654</c:v>
                </c:pt>
                <c:pt idx="1">
                  <c:v>701</c:v>
                </c:pt>
                <c:pt idx="2">
                  <c:v>1380</c:v>
                </c:pt>
                <c:pt idx="3">
                  <c:v>259</c:v>
                </c:pt>
                <c:pt idx="4" formatCode="General">
                  <c:v>123.91573729863691</c:v>
                </c:pt>
                <c:pt idx="5">
                  <c:v>63.9</c:v>
                </c:pt>
              </c:numCache>
            </c:numRef>
          </c:val>
        </c:ser>
        <c:ser>
          <c:idx val="2"/>
          <c:order val="2"/>
          <c:tx>
            <c:v>fitinuse</c:v>
          </c:tx>
          <c:invertIfNegative val="0"/>
          <c:val>
            <c:numRef>
              <c:f>'Tabula 2zone Ref 1'!$BY$19:$BY$24</c:f>
              <c:numCache>
                <c:formatCode>0.00E+00</c:formatCode>
                <c:ptCount val="6"/>
                <c:pt idx="0">
                  <c:v>259</c:v>
                </c:pt>
                <c:pt idx="1">
                  <c:v>197</c:v>
                </c:pt>
                <c:pt idx="2">
                  <c:v>487</c:v>
                </c:pt>
                <c:pt idx="3">
                  <c:v>274</c:v>
                </c:pt>
                <c:pt idx="4">
                  <c:v>155.27950310559004</c:v>
                </c:pt>
                <c:pt idx="5">
                  <c:v>58.3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461760"/>
        <c:axId val="223463296"/>
      </c:barChart>
      <c:catAx>
        <c:axId val="22346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3463296"/>
        <c:crosses val="autoZero"/>
        <c:auto val="1"/>
        <c:lblAlgn val="ctr"/>
        <c:lblOffset val="100"/>
        <c:noMultiLvlLbl val="0"/>
      </c:catAx>
      <c:valAx>
        <c:axId val="22346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6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2zone Ref 1'!$AN$44:$AN$45</c:f>
              <c:strCache>
                <c:ptCount val="2"/>
                <c:pt idx="0">
                  <c:v>CfiD </c:v>
                </c:pt>
                <c:pt idx="1">
                  <c:v>CfiN</c:v>
                </c:pt>
              </c:strCache>
            </c:strRef>
          </c:cat>
          <c:val>
            <c:numRef>
              <c:f>'Tabula 2zone Ref 1'!$AO$44:$AO$45</c:f>
              <c:numCache>
                <c:formatCode>General</c:formatCode>
                <c:ptCount val="2"/>
                <c:pt idx="0">
                  <c:v>20786361.000000004</c:v>
                </c:pt>
                <c:pt idx="1">
                  <c:v>20786361.000000004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'Tabula 2zone Ref 1'!$AN$44:$AN$45</c:f>
              <c:strCache>
                <c:ptCount val="2"/>
                <c:pt idx="0">
                  <c:v>CfiD </c:v>
                </c:pt>
                <c:pt idx="1">
                  <c:v>CfiN</c:v>
                </c:pt>
              </c:strCache>
            </c:strRef>
          </c:cat>
          <c:val>
            <c:numRef>
              <c:f>'Tabula 2zone Ref 1'!$AQ$44:$AQ$45</c:f>
              <c:numCache>
                <c:formatCode>0.00E+00</c:formatCode>
                <c:ptCount val="2"/>
                <c:pt idx="0">
                  <c:v>10700000</c:v>
                </c:pt>
                <c:pt idx="1">
                  <c:v>33900000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492352"/>
        <c:axId val="223502336"/>
      </c:barChart>
      <c:catAx>
        <c:axId val="22349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502336"/>
        <c:crosses val="autoZero"/>
        <c:auto val="1"/>
        <c:lblAlgn val="ctr"/>
        <c:lblOffset val="100"/>
        <c:noMultiLvlLbl val="0"/>
      </c:catAx>
      <c:valAx>
        <c:axId val="223502336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2234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2zone Ref 1'!$AN$48:$AN$50</c:f>
              <c:strCache>
                <c:ptCount val="3"/>
                <c:pt idx="0">
                  <c:v>UfDN</c:v>
                </c:pt>
                <c:pt idx="1">
                  <c:v>Ufi</c:v>
                </c:pt>
                <c:pt idx="2">
                  <c:v>UfND</c:v>
                </c:pt>
              </c:strCache>
            </c:strRef>
          </c:cat>
          <c:val>
            <c:numRef>
              <c:f>'Tabula 2zone Ref 1'!$AO$48:$AO$50</c:f>
              <c:numCache>
                <c:formatCode>General</c:formatCode>
                <c:ptCount val="3"/>
                <c:pt idx="0">
                  <c:v>519.71362586605085</c:v>
                </c:pt>
                <c:pt idx="1">
                  <c:v>259.85681293302542</c:v>
                </c:pt>
                <c:pt idx="2">
                  <c:v>519.71362586605085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'Tabula 2zone Ref 1'!$AN$48:$AN$50</c:f>
              <c:strCache>
                <c:ptCount val="3"/>
                <c:pt idx="0">
                  <c:v>UfDN</c:v>
                </c:pt>
                <c:pt idx="1">
                  <c:v>Ufi</c:v>
                </c:pt>
                <c:pt idx="2">
                  <c:v>UfND</c:v>
                </c:pt>
              </c:strCache>
            </c:strRef>
          </c:cat>
          <c:val>
            <c:numRef>
              <c:f>'Tabula 2zone Ref 1'!$AQ$48:$AQ$50</c:f>
              <c:numCache>
                <c:formatCode>0.00E+00</c:formatCode>
                <c:ptCount val="3"/>
                <c:pt idx="0">
                  <c:v>599</c:v>
                </c:pt>
                <c:pt idx="1">
                  <c:v>537</c:v>
                </c:pt>
                <c:pt idx="2">
                  <c:v>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539584"/>
        <c:axId val="223541120"/>
      </c:barChart>
      <c:catAx>
        <c:axId val="22353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3541120"/>
        <c:crosses val="autoZero"/>
        <c:auto val="1"/>
        <c:lblAlgn val="ctr"/>
        <c:lblOffset val="100"/>
        <c:noMultiLvlLbl val="0"/>
      </c:catAx>
      <c:valAx>
        <c:axId val="22354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53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" name="CustomShape 1"/>
        <xdr:cNvSpPr/>
      </xdr:nvSpPr>
      <xdr:spPr>
        <a:xfrm>
          <a:off x="27000" y="0"/>
          <a:ext cx="143359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3" name="CustomShape 1"/>
        <xdr:cNvSpPr/>
      </xdr:nvSpPr>
      <xdr:spPr>
        <a:xfrm>
          <a:off x="27000" y="0"/>
          <a:ext cx="143359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" name="CustomShape 1"/>
        <xdr:cNvSpPr/>
      </xdr:nvSpPr>
      <xdr:spPr>
        <a:xfrm>
          <a:off x="27000" y="0"/>
          <a:ext cx="143359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5" name="CustomShape 1"/>
        <xdr:cNvSpPr/>
      </xdr:nvSpPr>
      <xdr:spPr>
        <a:xfrm>
          <a:off x="27000" y="0"/>
          <a:ext cx="143359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1083960</xdr:colOff>
      <xdr:row>49</xdr:row>
      <xdr:rowOff>114120</xdr:rowOff>
    </xdr:to>
    <xdr:sp macro="" textlink="">
      <xdr:nvSpPr>
        <xdr:cNvPr id="6" name="CustomShape 1"/>
        <xdr:cNvSpPr/>
      </xdr:nvSpPr>
      <xdr:spPr>
        <a:xfrm>
          <a:off x="27000" y="0"/>
          <a:ext cx="1265328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1083960</xdr:colOff>
      <xdr:row>49</xdr:row>
      <xdr:rowOff>114120</xdr:rowOff>
    </xdr:to>
    <xdr:sp macro="" textlink="">
      <xdr:nvSpPr>
        <xdr:cNvPr id="7" name="CustomShape 1"/>
        <xdr:cNvSpPr/>
      </xdr:nvSpPr>
      <xdr:spPr>
        <a:xfrm>
          <a:off x="27000" y="0"/>
          <a:ext cx="1265328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1083960</xdr:colOff>
      <xdr:row>49</xdr:row>
      <xdr:rowOff>114120</xdr:rowOff>
    </xdr:to>
    <xdr:sp macro="" textlink="">
      <xdr:nvSpPr>
        <xdr:cNvPr id="8" name="CustomShape 1"/>
        <xdr:cNvSpPr/>
      </xdr:nvSpPr>
      <xdr:spPr>
        <a:xfrm>
          <a:off x="27000" y="0"/>
          <a:ext cx="1265328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1083960</xdr:colOff>
      <xdr:row>49</xdr:row>
      <xdr:rowOff>114120</xdr:rowOff>
    </xdr:to>
    <xdr:sp macro="" textlink="">
      <xdr:nvSpPr>
        <xdr:cNvPr id="9" name="CustomShape 1"/>
        <xdr:cNvSpPr/>
      </xdr:nvSpPr>
      <xdr:spPr>
        <a:xfrm>
          <a:off x="27000" y="0"/>
          <a:ext cx="1265328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1083960</xdr:colOff>
      <xdr:row>49</xdr:row>
      <xdr:rowOff>114120</xdr:rowOff>
    </xdr:to>
    <xdr:sp macro="" textlink="">
      <xdr:nvSpPr>
        <xdr:cNvPr id="10" name="CustomShape 1"/>
        <xdr:cNvSpPr/>
      </xdr:nvSpPr>
      <xdr:spPr>
        <a:xfrm>
          <a:off x="27000" y="0"/>
          <a:ext cx="1265328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1083960</xdr:colOff>
      <xdr:row>49</xdr:row>
      <xdr:rowOff>114120</xdr:rowOff>
    </xdr:to>
    <xdr:sp macro="" textlink="">
      <xdr:nvSpPr>
        <xdr:cNvPr id="11" name="CustomShape 1"/>
        <xdr:cNvSpPr/>
      </xdr:nvSpPr>
      <xdr:spPr>
        <a:xfrm>
          <a:off x="27000" y="0"/>
          <a:ext cx="1265328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1083960</xdr:colOff>
      <xdr:row>49</xdr:row>
      <xdr:rowOff>114120</xdr:rowOff>
    </xdr:to>
    <xdr:sp macro="" textlink="">
      <xdr:nvSpPr>
        <xdr:cNvPr id="12" name="CustomShape 1"/>
        <xdr:cNvSpPr/>
      </xdr:nvSpPr>
      <xdr:spPr>
        <a:xfrm>
          <a:off x="27000" y="0"/>
          <a:ext cx="1265328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1083960</xdr:colOff>
      <xdr:row>49</xdr:row>
      <xdr:rowOff>114120</xdr:rowOff>
    </xdr:to>
    <xdr:sp macro="" textlink="">
      <xdr:nvSpPr>
        <xdr:cNvPr id="13" name="CustomShape 1"/>
        <xdr:cNvSpPr/>
      </xdr:nvSpPr>
      <xdr:spPr>
        <a:xfrm>
          <a:off x="27000" y="0"/>
          <a:ext cx="1265328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1083960</xdr:colOff>
      <xdr:row>49</xdr:row>
      <xdr:rowOff>114120</xdr:rowOff>
    </xdr:to>
    <xdr:sp macro="" textlink="">
      <xdr:nvSpPr>
        <xdr:cNvPr id="14" name="CustomShape 1"/>
        <xdr:cNvSpPr/>
      </xdr:nvSpPr>
      <xdr:spPr>
        <a:xfrm>
          <a:off x="27000" y="0"/>
          <a:ext cx="1265328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1083960</xdr:colOff>
      <xdr:row>49</xdr:row>
      <xdr:rowOff>114120</xdr:rowOff>
    </xdr:to>
    <xdr:sp macro="" textlink="">
      <xdr:nvSpPr>
        <xdr:cNvPr id="15" name="CustomShape 1"/>
        <xdr:cNvSpPr/>
      </xdr:nvSpPr>
      <xdr:spPr>
        <a:xfrm>
          <a:off x="27000" y="0"/>
          <a:ext cx="1265328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1083960</xdr:colOff>
      <xdr:row>49</xdr:row>
      <xdr:rowOff>114120</xdr:rowOff>
    </xdr:to>
    <xdr:sp macro="" textlink="">
      <xdr:nvSpPr>
        <xdr:cNvPr id="16" name="CustomShape 1"/>
        <xdr:cNvSpPr/>
      </xdr:nvSpPr>
      <xdr:spPr>
        <a:xfrm>
          <a:off x="27000" y="0"/>
          <a:ext cx="1265328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1083960</xdr:colOff>
      <xdr:row>49</xdr:row>
      <xdr:rowOff>114120</xdr:rowOff>
    </xdr:to>
    <xdr:sp macro="" textlink="">
      <xdr:nvSpPr>
        <xdr:cNvPr id="17" name="CustomShape 1"/>
        <xdr:cNvSpPr/>
      </xdr:nvSpPr>
      <xdr:spPr>
        <a:xfrm>
          <a:off x="27000" y="0"/>
          <a:ext cx="1265328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1083960</xdr:colOff>
      <xdr:row>49</xdr:row>
      <xdr:rowOff>114120</xdr:rowOff>
    </xdr:to>
    <xdr:sp macro="" textlink="">
      <xdr:nvSpPr>
        <xdr:cNvPr id="18" name="CustomShape 1"/>
        <xdr:cNvSpPr/>
      </xdr:nvSpPr>
      <xdr:spPr>
        <a:xfrm>
          <a:off x="27000" y="0"/>
          <a:ext cx="1265328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1083960</xdr:colOff>
      <xdr:row>49</xdr:row>
      <xdr:rowOff>114120</xdr:rowOff>
    </xdr:to>
    <xdr:sp macro="" textlink="">
      <xdr:nvSpPr>
        <xdr:cNvPr id="19" name="CustomShape 1"/>
        <xdr:cNvSpPr/>
      </xdr:nvSpPr>
      <xdr:spPr>
        <a:xfrm>
          <a:off x="27000" y="0"/>
          <a:ext cx="1265328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1083960</xdr:colOff>
      <xdr:row>49</xdr:row>
      <xdr:rowOff>114120</xdr:rowOff>
    </xdr:to>
    <xdr:sp macro="" textlink="">
      <xdr:nvSpPr>
        <xdr:cNvPr id="20" name="CustomShape 1"/>
        <xdr:cNvSpPr/>
      </xdr:nvSpPr>
      <xdr:spPr>
        <a:xfrm>
          <a:off x="27000" y="0"/>
          <a:ext cx="1265328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1083960</xdr:colOff>
      <xdr:row>49</xdr:row>
      <xdr:rowOff>114120</xdr:rowOff>
    </xdr:to>
    <xdr:sp macro="" textlink="">
      <xdr:nvSpPr>
        <xdr:cNvPr id="21" name="CustomShape 1"/>
        <xdr:cNvSpPr/>
      </xdr:nvSpPr>
      <xdr:spPr>
        <a:xfrm>
          <a:off x="27000" y="0"/>
          <a:ext cx="1265328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1083960</xdr:colOff>
      <xdr:row>49</xdr:row>
      <xdr:rowOff>114120</xdr:rowOff>
    </xdr:to>
    <xdr:sp macro="" textlink="">
      <xdr:nvSpPr>
        <xdr:cNvPr id="22" name="CustomShape 1"/>
        <xdr:cNvSpPr/>
      </xdr:nvSpPr>
      <xdr:spPr>
        <a:xfrm>
          <a:off x="27000" y="0"/>
          <a:ext cx="1265328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1083960</xdr:colOff>
      <xdr:row>49</xdr:row>
      <xdr:rowOff>114120</xdr:rowOff>
    </xdr:to>
    <xdr:sp macro="" textlink="">
      <xdr:nvSpPr>
        <xdr:cNvPr id="23" name="CustomShape 1"/>
        <xdr:cNvSpPr/>
      </xdr:nvSpPr>
      <xdr:spPr>
        <a:xfrm>
          <a:off x="27000" y="0"/>
          <a:ext cx="1265328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1083960</xdr:colOff>
      <xdr:row>49</xdr:row>
      <xdr:rowOff>114120</xdr:rowOff>
    </xdr:to>
    <xdr:sp macro="" textlink="">
      <xdr:nvSpPr>
        <xdr:cNvPr id="24" name="CustomShape 1"/>
        <xdr:cNvSpPr/>
      </xdr:nvSpPr>
      <xdr:spPr>
        <a:xfrm>
          <a:off x="27000" y="0"/>
          <a:ext cx="1265328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1083960</xdr:colOff>
      <xdr:row>49</xdr:row>
      <xdr:rowOff>114120</xdr:rowOff>
    </xdr:to>
    <xdr:sp macro="" textlink="">
      <xdr:nvSpPr>
        <xdr:cNvPr id="25" name="CustomShape 1"/>
        <xdr:cNvSpPr/>
      </xdr:nvSpPr>
      <xdr:spPr>
        <a:xfrm>
          <a:off x="27000" y="0"/>
          <a:ext cx="1265328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1083960</xdr:colOff>
      <xdr:row>49</xdr:row>
      <xdr:rowOff>114120</xdr:rowOff>
    </xdr:to>
    <xdr:sp macro="" textlink="">
      <xdr:nvSpPr>
        <xdr:cNvPr id="26" name="CustomShape 1"/>
        <xdr:cNvSpPr/>
      </xdr:nvSpPr>
      <xdr:spPr>
        <a:xfrm>
          <a:off x="27000" y="0"/>
          <a:ext cx="1265328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1083960</xdr:colOff>
      <xdr:row>49</xdr:row>
      <xdr:rowOff>114120</xdr:rowOff>
    </xdr:to>
    <xdr:sp macro="" textlink="">
      <xdr:nvSpPr>
        <xdr:cNvPr id="27" name="CustomShape 1"/>
        <xdr:cNvSpPr/>
      </xdr:nvSpPr>
      <xdr:spPr>
        <a:xfrm>
          <a:off x="27000" y="0"/>
          <a:ext cx="1265328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3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3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7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5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5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5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5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5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5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5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5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5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5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6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6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6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6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6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6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6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6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6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6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7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7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7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7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7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7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7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7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7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7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8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8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8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8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8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8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8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8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8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8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9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9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9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9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9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9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9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9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9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9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0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0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0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0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0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0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0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0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0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0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1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1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1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1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1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1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1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1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1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1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2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2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2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2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2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2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2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2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2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2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3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3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6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7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8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9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30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31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2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3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4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5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6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7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8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9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0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1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2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3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4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5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6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7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8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9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50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51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52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53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54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55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4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4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1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7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7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7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7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7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7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7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7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7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7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8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8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8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8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8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8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8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8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8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8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9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9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9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9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9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9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9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9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9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0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0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0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0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0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0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0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0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0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0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1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1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1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1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1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1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1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1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1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455760</xdr:colOff>
      <xdr:row>9</xdr:row>
      <xdr:rowOff>181440</xdr:rowOff>
    </xdr:from>
    <xdr:to>
      <xdr:col>22</xdr:col>
      <xdr:colOff>112680</xdr:colOff>
      <xdr:row>31</xdr:row>
      <xdr:rowOff>142920</xdr:rowOff>
    </xdr:to>
    <xdr:graphicFrame macro="">
      <xdr:nvGraphicFramePr>
        <xdr:cNvPr id="5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096" name="AutoShape 1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097" name="AutoShape 10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099" name="AutoShape 8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1" name="AutoShape 6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3" name="AutoShape 4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5" name="AutoShape 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7" name="AutoShape 1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9" name="AutoShape 10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0" name="AutoShape 8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1" name="AutoShape 6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2" name="AutoShape 4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3" name="AutoShape 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4" name="AutoShape 1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5" name="AutoShape 10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6" name="AutoShape 8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7" name="AutoShape 6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8" name="AutoShape 4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9" name="AutoShape 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0" name="AutoShape 1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1" name="AutoShape 10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2" name="AutoShape 8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3" name="AutoShape 6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4" name="AutoShape 4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5" name="AutoShape 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53</xdr:col>
      <xdr:colOff>264583</xdr:colOff>
      <xdr:row>32</xdr:row>
      <xdr:rowOff>110066</xdr:rowOff>
    </xdr:from>
    <xdr:to>
      <xdr:col>60</xdr:col>
      <xdr:colOff>539750</xdr:colOff>
      <xdr:row>46</xdr:row>
      <xdr:rowOff>186266</xdr:rowOff>
    </xdr:to>
    <xdr:graphicFrame macro="">
      <xdr:nvGraphicFramePr>
        <xdr:cNvPr id="4127" name="Chart 41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179917</xdr:colOff>
      <xdr:row>17</xdr:row>
      <xdr:rowOff>35984</xdr:rowOff>
    </xdr:from>
    <xdr:to>
      <xdr:col>60</xdr:col>
      <xdr:colOff>455084</xdr:colOff>
      <xdr:row>31</xdr:row>
      <xdr:rowOff>112184</xdr:rowOff>
    </xdr:to>
    <xdr:graphicFrame macro="">
      <xdr:nvGraphicFramePr>
        <xdr:cNvPr id="4128" name="Chart 41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603250</xdr:colOff>
      <xdr:row>58</xdr:row>
      <xdr:rowOff>88900</xdr:rowOff>
    </xdr:from>
    <xdr:to>
      <xdr:col>51</xdr:col>
      <xdr:colOff>264583</xdr:colOff>
      <xdr:row>71</xdr:row>
      <xdr:rowOff>80433</xdr:rowOff>
    </xdr:to>
    <xdr:graphicFrame macro="">
      <xdr:nvGraphicFramePr>
        <xdr:cNvPr id="4129" name="Chart 41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402167</xdr:colOff>
      <xdr:row>58</xdr:row>
      <xdr:rowOff>152401</xdr:rowOff>
    </xdr:from>
    <xdr:to>
      <xdr:col>43</xdr:col>
      <xdr:colOff>349250</xdr:colOff>
      <xdr:row>71</xdr:row>
      <xdr:rowOff>143934</xdr:rowOff>
    </xdr:to>
    <xdr:graphicFrame macro="">
      <xdr:nvGraphicFramePr>
        <xdr:cNvPr id="4130" name="Chart 41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6" name="AutoShape 1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1" name="AutoShape 10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2" name="AutoShape 8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3" name="AutoShape 6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4" name="AutoShape 4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5" name="AutoShape 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6" name="AutoShape 1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7" name="AutoShape 10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8" name="AutoShape 8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9" name="AutoShape 6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0" name="AutoShape 4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1" name="AutoShape 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2" name="AutoShape 1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3" name="AutoShape 10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4" name="AutoShape 8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5" name="AutoShape 6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6" name="AutoShape 4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7" name="AutoShape 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8" name="AutoShape 1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9" name="AutoShape 10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0" name="AutoShape 8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1" name="AutoShape 6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2" name="AutoShape 4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3" name="AutoShape 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4" name="AutoShape 1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5" name="AutoShape 10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6" name="AutoShape 8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7" name="AutoShape 6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8" name="AutoShape 4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9" name="AutoShape 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0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1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2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3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4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5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6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7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8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9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0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1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2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3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4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5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6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7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8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9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0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1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2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3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4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5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6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7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8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9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0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1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2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3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4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5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6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7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8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9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0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1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2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3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4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5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6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7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8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9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10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11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12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13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14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15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16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17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18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19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20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21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22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23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24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25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26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27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28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29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30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31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32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33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34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35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36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37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38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39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40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41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42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43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44" name="AutoShape 12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45" name="AutoShape 10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46" name="AutoShape 8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47" name="AutoShape 6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48" name="AutoShape 4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49" name="AutoShape 2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50" name="AutoShape 12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51" name="AutoShape 10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52" name="AutoShape 8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53" name="AutoShape 6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54" name="AutoShape 4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55" name="AutoShape 2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56" name="AutoShape 12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57" name="AutoShape 10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58" name="AutoShape 8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59" name="AutoShape 6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60" name="AutoShape 4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61" name="AutoShape 2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62" name="AutoShape 12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63" name="AutoShape 10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64" name="AutoShape 8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65" name="AutoShape 6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66" name="AutoShape 4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67" name="AutoShape 2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68" name="AutoShape 12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69" name="AutoShape 10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70" name="AutoShape 8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71" name="AutoShape 6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72" name="AutoShape 4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73" name="AutoShape 2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74" name="AutoShape 12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75" name="AutoShape 10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76" name="AutoShape 8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77" name="AutoShape 6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78" name="AutoShape 4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79" name="AutoShape 2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80" name="AutoShape 12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81" name="AutoShape 10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82" name="AutoShape 8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83" name="AutoShape 6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84" name="AutoShape 4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85" name="AutoShape 2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86" name="AutoShape 12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87" name="AutoShape 10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88" name="AutoShape 8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89" name="AutoShape 6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90" name="AutoShape 4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91" name="AutoShape 2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92" name="AutoShape 12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93" name="AutoShape 10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94" name="AutoShape 8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95" name="AutoShape 6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96" name="AutoShape 4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97" name="AutoShape 2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98" name="AutoShape 12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99" name="AutoShape 10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300" name="AutoShape 8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301" name="AutoShape 6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302" name="AutoShape 4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303" name="AutoShape 2"/>
        <xdr:cNvSpPr>
          <a:spLocks noChangeArrowheads="1"/>
        </xdr:cNvSpPr>
      </xdr:nvSpPr>
      <xdr:spPr bwMode="auto">
        <a:xfrm>
          <a:off x="0" y="0"/>
          <a:ext cx="9467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4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6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7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8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0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1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2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3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4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6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7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8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9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0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2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3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4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5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6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7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8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9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0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1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3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4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5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6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7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8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0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1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2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3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4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52</xdr:col>
      <xdr:colOff>264583</xdr:colOff>
      <xdr:row>32</xdr:row>
      <xdr:rowOff>110066</xdr:rowOff>
    </xdr:from>
    <xdr:to>
      <xdr:col>59</xdr:col>
      <xdr:colOff>539750</xdr:colOff>
      <xdr:row>46</xdr:row>
      <xdr:rowOff>186266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179917</xdr:colOff>
      <xdr:row>17</xdr:row>
      <xdr:rowOff>35984</xdr:rowOff>
    </xdr:from>
    <xdr:to>
      <xdr:col>59</xdr:col>
      <xdr:colOff>455084</xdr:colOff>
      <xdr:row>31</xdr:row>
      <xdr:rowOff>112184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603250</xdr:colOff>
      <xdr:row>58</xdr:row>
      <xdr:rowOff>88900</xdr:rowOff>
    </xdr:from>
    <xdr:to>
      <xdr:col>50</xdr:col>
      <xdr:colOff>264583</xdr:colOff>
      <xdr:row>71</xdr:row>
      <xdr:rowOff>80433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402167</xdr:colOff>
      <xdr:row>58</xdr:row>
      <xdr:rowOff>152401</xdr:rowOff>
    </xdr:from>
    <xdr:to>
      <xdr:col>42</xdr:col>
      <xdr:colOff>349250</xdr:colOff>
      <xdr:row>71</xdr:row>
      <xdr:rowOff>143934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0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1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2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3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4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6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7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8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9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0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2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3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4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5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6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8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9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0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1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2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3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4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5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6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7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8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9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0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1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2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3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4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5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6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7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8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9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0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1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3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4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5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6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7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8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9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0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1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3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4" name="AutoShape 1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5" name="AutoShape 10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6" name="AutoShape 8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7" name="AutoShape 6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8" name="AutoShape 4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9" name="AutoShape 2"/>
        <xdr:cNvSpPr>
          <a:spLocks noChangeArrowheads="1"/>
        </xdr:cNvSpPr>
      </xdr:nvSpPr>
      <xdr:spPr bwMode="auto">
        <a:xfrm>
          <a:off x="0" y="0"/>
          <a:ext cx="96583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54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53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52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51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50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49" name="AutoShape 9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0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1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2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4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5" name="AutoShape 9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6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7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40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41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42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43" name="AutoShape 9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44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45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46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47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48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55" name="AutoShape 9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56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57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58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59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60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61" name="AutoShape 9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62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63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64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65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66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67" name="AutoShape 9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68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69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70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71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72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73" name="AutoShape 9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74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75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76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77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78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79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80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81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82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83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84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85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" name="AutoShape 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4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6" name="AutoShape 8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7" name="AutoShape 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8" name="AutoShape 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0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1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2" name="AutoShape 8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3" name="AutoShape 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4" name="AutoShape 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6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7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8" name="AutoShape 8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9" name="AutoShape 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0" name="AutoShape 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2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3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4" name="AutoShape 8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5" name="AutoShape 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6" name="AutoShape 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7" name="AutoShape 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8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9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0" name="AutoShape 8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1" name="AutoShape 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" name="AutoShape 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3" name="AutoShape 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4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5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6" name="AutoShape 8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7" name="AutoShape 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8" name="AutoShape 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0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1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2" name="AutoShape 8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3" name="AutoShape 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4" name="AutoShape 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52</xdr:col>
      <xdr:colOff>264583</xdr:colOff>
      <xdr:row>32</xdr:row>
      <xdr:rowOff>110066</xdr:rowOff>
    </xdr:from>
    <xdr:to>
      <xdr:col>59</xdr:col>
      <xdr:colOff>539750</xdr:colOff>
      <xdr:row>46</xdr:row>
      <xdr:rowOff>186266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179917</xdr:colOff>
      <xdr:row>17</xdr:row>
      <xdr:rowOff>35984</xdr:rowOff>
    </xdr:from>
    <xdr:to>
      <xdr:col>59</xdr:col>
      <xdr:colOff>455084</xdr:colOff>
      <xdr:row>31</xdr:row>
      <xdr:rowOff>112184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603250</xdr:colOff>
      <xdr:row>58</xdr:row>
      <xdr:rowOff>88900</xdr:rowOff>
    </xdr:from>
    <xdr:to>
      <xdr:col>50</xdr:col>
      <xdr:colOff>264583</xdr:colOff>
      <xdr:row>71</xdr:row>
      <xdr:rowOff>80433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402167</xdr:colOff>
      <xdr:row>58</xdr:row>
      <xdr:rowOff>152401</xdr:rowOff>
    </xdr:from>
    <xdr:to>
      <xdr:col>42</xdr:col>
      <xdr:colOff>349250</xdr:colOff>
      <xdr:row>71</xdr:row>
      <xdr:rowOff>143934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0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1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2" name="AutoShape 8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3" name="AutoShape 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4" name="AutoShape 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6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7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8" name="AutoShape 8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9" name="AutoShape 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0" name="AutoShape 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2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3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4" name="AutoShape 8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5" name="AutoShape 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6" name="AutoShape 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8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9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0" name="AutoShape 8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1" name="AutoShape 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2" name="AutoShape 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3" name="AutoShape 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4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5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6" name="AutoShape 8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7" name="AutoShape 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8" name="AutoShape 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9" name="AutoShape 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0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1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2" name="AutoShape 8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3" name="AutoShape 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4" name="AutoShape 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5" name="AutoShape 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6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7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8" name="AutoShape 8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9" name="AutoShape 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0" name="AutoShape 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1" name="AutoShape 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2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3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4" name="AutoShape 8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5" name="AutoShape 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6" name="AutoShape 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7" name="AutoShape 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8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9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0" name="AutoShape 8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1" name="AutoShape 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" name="AutoShape 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3" name="AutoShape 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4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5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6" name="AutoShape 8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7" name="AutoShape 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8" name="AutoShape 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9" name="AutoShape 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78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77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76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75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74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73" name="AutoShape 9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64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65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66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67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68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69" name="AutoShape 9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70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71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72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79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80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81" name="AutoShape 9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82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83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84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85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86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87" name="AutoShape 9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88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89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90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91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92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93" name="AutoShape 9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94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95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0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1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2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" name="AutoShape 9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4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5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6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7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96" name="AutoShape 10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97" name="AutoShape 9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98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299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300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301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302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303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304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305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306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307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308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309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7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8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0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1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2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3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4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6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7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8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9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0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2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3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4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5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6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7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8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9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0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3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4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5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6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7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8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0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1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2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3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4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53</xdr:col>
      <xdr:colOff>264583</xdr:colOff>
      <xdr:row>32</xdr:row>
      <xdr:rowOff>110066</xdr:rowOff>
    </xdr:from>
    <xdr:to>
      <xdr:col>60</xdr:col>
      <xdr:colOff>539750</xdr:colOff>
      <xdr:row>46</xdr:row>
      <xdr:rowOff>186266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179917</xdr:colOff>
      <xdr:row>17</xdr:row>
      <xdr:rowOff>35984</xdr:rowOff>
    </xdr:from>
    <xdr:to>
      <xdr:col>60</xdr:col>
      <xdr:colOff>455084</xdr:colOff>
      <xdr:row>31</xdr:row>
      <xdr:rowOff>112184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603250</xdr:colOff>
      <xdr:row>58</xdr:row>
      <xdr:rowOff>88900</xdr:rowOff>
    </xdr:from>
    <xdr:to>
      <xdr:col>51</xdr:col>
      <xdr:colOff>264583</xdr:colOff>
      <xdr:row>71</xdr:row>
      <xdr:rowOff>80433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402167</xdr:colOff>
      <xdr:row>58</xdr:row>
      <xdr:rowOff>152401</xdr:rowOff>
    </xdr:from>
    <xdr:to>
      <xdr:col>43</xdr:col>
      <xdr:colOff>349250</xdr:colOff>
      <xdr:row>71</xdr:row>
      <xdr:rowOff>143934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0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1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2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3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4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6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7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8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9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0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2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3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4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5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6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8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9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0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1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2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3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4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5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6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7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8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9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0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1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2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3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4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5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6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7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8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9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0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1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2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3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4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5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6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7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8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9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0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1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2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3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4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5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6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7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8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9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0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1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2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3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4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5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6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7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8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9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0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1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2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3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4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5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6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7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8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9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0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1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2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3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4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5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6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7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8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9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0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1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2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3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4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5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6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7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8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9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0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1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2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3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4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5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6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7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8" name="AutoShape 1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9" name="AutoShape 10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70" name="AutoShape 8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71" name="AutoShape 6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72" name="AutoShape 4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73" name="AutoShape 2"/>
        <xdr:cNvSpPr>
          <a:spLocks noChangeArrowheads="1"/>
        </xdr:cNvSpPr>
      </xdr:nvSpPr>
      <xdr:spPr bwMode="auto">
        <a:xfrm>
          <a:off x="0" y="0"/>
          <a:ext cx="102679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03" name="AutoShape 15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02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01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00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299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74" name="AutoShape 15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75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76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77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78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79" name="AutoShape 15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80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81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82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83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84" name="AutoShape 15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85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86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87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88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89" name="AutoShape 15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90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91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288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289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290" name="AutoShape 15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291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292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293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294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295" name="AutoShape 15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296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297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298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04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05" name="AutoShape 15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06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07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08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09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10" name="AutoShape 15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11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12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13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14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15" name="AutoShape 15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16" name="AutoShape 14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17" name="AutoShape 13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18" name="AutoShape 12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19" name="AutoShape 11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7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8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0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1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2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3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4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6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7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8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9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0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2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3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4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5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6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7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8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9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0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3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4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5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6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7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8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0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1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2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3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4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53</xdr:col>
      <xdr:colOff>264583</xdr:colOff>
      <xdr:row>32</xdr:row>
      <xdr:rowOff>110066</xdr:rowOff>
    </xdr:from>
    <xdr:to>
      <xdr:col>60</xdr:col>
      <xdr:colOff>539750</xdr:colOff>
      <xdr:row>46</xdr:row>
      <xdr:rowOff>186266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179917</xdr:colOff>
      <xdr:row>17</xdr:row>
      <xdr:rowOff>35984</xdr:rowOff>
    </xdr:from>
    <xdr:to>
      <xdr:col>60</xdr:col>
      <xdr:colOff>455084</xdr:colOff>
      <xdr:row>31</xdr:row>
      <xdr:rowOff>112184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603250</xdr:colOff>
      <xdr:row>58</xdr:row>
      <xdr:rowOff>88900</xdr:rowOff>
    </xdr:from>
    <xdr:to>
      <xdr:col>51</xdr:col>
      <xdr:colOff>264583</xdr:colOff>
      <xdr:row>71</xdr:row>
      <xdr:rowOff>80433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402167</xdr:colOff>
      <xdr:row>58</xdr:row>
      <xdr:rowOff>152401</xdr:rowOff>
    </xdr:from>
    <xdr:to>
      <xdr:col>43</xdr:col>
      <xdr:colOff>349250</xdr:colOff>
      <xdr:row>71</xdr:row>
      <xdr:rowOff>143934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0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1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2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3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4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6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7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8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9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0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2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3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4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5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6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8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9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0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1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2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3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4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5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6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7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8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9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0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1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2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3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4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5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6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7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8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9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0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1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2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3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4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5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6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7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8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9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0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1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2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3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4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5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6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7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8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9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0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1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2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3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4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5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6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7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8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9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0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1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2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3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4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5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6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7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8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9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0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1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2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3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4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5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6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7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8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9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0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1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2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3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4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5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6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7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8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9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0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1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2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3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4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5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6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7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8" name="AutoShape 1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9" name="AutoShape 10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70" name="AutoShape 8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71" name="AutoShape 6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72" name="AutoShape 4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73" name="AutoShape 2"/>
        <xdr:cNvSpPr>
          <a:spLocks noChangeArrowheads="1"/>
        </xdr:cNvSpPr>
      </xdr:nvSpPr>
      <xdr:spPr bwMode="auto">
        <a:xfrm>
          <a:off x="0" y="0"/>
          <a:ext cx="83248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3328" name="AutoShape 1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3312" name="AutoShape 1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3313" name="AutoShape 1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3314" name="AutoShape 1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3315" name="AutoShape 1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3316" name="AutoShape 1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3317" name="AutoShape 1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3318" name="AutoShape 1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3319" name="AutoShape 1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3320" name="AutoShape 16"/>
        <xdr:cNvSpPr>
          <a:spLocks noChangeArrowheads="1"/>
        </xdr:cNvSpPr>
      </xdr:nvSpPr>
      <xdr:spPr bwMode="auto">
        <a:xfrm>
          <a:off x="0" y="0"/>
          <a:ext cx="771525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bouweigenschappen%20SFH_SD_3_2z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bouwgegevens Tabula"/>
      <sheetName val="Gebouwgegevens Allacker"/>
      <sheetName val="Tabula data"/>
      <sheetName val="Verwarming Allacker"/>
      <sheetName val="Verwarming Tabula"/>
      <sheetName val="Gebouwgegevens Tabula 2zone"/>
      <sheetName val="Tabula 2zone Ref 1"/>
      <sheetName val="Tabula 2zone Ref 2"/>
      <sheetName val="Tabula RefULG 1"/>
      <sheetName val="Tabula RefULG 2"/>
      <sheetName val="Verwarming Tabula 2zone"/>
      <sheetName val="Verwarming Tabula 2zone Ref 1"/>
      <sheetName val="Verwarming Tabula 2zone Ref 2"/>
      <sheetName val="Verwarming Tabula 2zone RefULG1"/>
      <sheetName val="Verwarming Tabula 2zone RefULG2"/>
      <sheetName val="PropertiesGB_Theoretical"/>
      <sheetName val="Sheet8"/>
      <sheetName val="Sheet9"/>
    </sheetNames>
    <sheetDataSet>
      <sheetData sheetId="0" refreshError="1"/>
      <sheetData sheetId="1" refreshError="1"/>
      <sheetData sheetId="2">
        <row r="4">
          <cell r="B4">
            <v>185.3</v>
          </cell>
        </row>
        <row r="7">
          <cell r="B7">
            <v>108.5</v>
          </cell>
        </row>
        <row r="14">
          <cell r="B14">
            <v>96</v>
          </cell>
        </row>
        <row r="19">
          <cell r="B19">
            <v>38.106987222324868</v>
          </cell>
        </row>
        <row r="20">
          <cell r="B20">
            <v>66.986025555350281</v>
          </cell>
        </row>
        <row r="21">
          <cell r="B21">
            <v>9.5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8">
          <cell r="H28">
            <v>0.32699059695931532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Table1" displayName="Table1" ref="A45:M56" totalsRowShown="0" dataDxfId="13">
  <autoFilter ref="A45:M56"/>
  <tableColumns count="13">
    <tableColumn id="1" name="kamer" dataDxfId="12"/>
    <tableColumn id="2" name="1" dataDxfId="11"/>
    <tableColumn id="3" name="2" dataDxfId="10"/>
    <tableColumn id="4" name="Column1" dataDxfId="9"/>
    <tableColumn id="5" name="Column2" dataDxfId="8"/>
    <tableColumn id="6" name="Column3" dataDxfId="7"/>
    <tableColumn id="7" name="Column4" dataDxfId="6"/>
    <tableColumn id="8" name="Column5" dataDxfId="5"/>
    <tableColumn id="9" name="Column6" dataDxfId="4"/>
    <tableColumn id="10" name="Column7" dataDxfId="3"/>
    <tableColumn id="11" name="Column8" dataDxfId="2"/>
    <tableColumn id="12" name="Column9" dataDxfId="1"/>
    <tableColumn id="13" name="Column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1"/>
  <sheetViews>
    <sheetView topLeftCell="A4" zoomScale="90" zoomScaleNormal="90" workbookViewId="0">
      <selection activeCell="P12" activeCellId="1" sqref="A27:B27 P12"/>
    </sheetView>
  </sheetViews>
  <sheetFormatPr defaultRowHeight="15" x14ac:dyDescent="0.25"/>
  <cols>
    <col min="1" max="1" width="20.5703125"/>
    <col min="2" max="2" width="12.28515625"/>
    <col min="4" max="4" width="22.140625"/>
    <col min="6" max="6" width="7.140625"/>
    <col min="7" max="7" width="5.5703125"/>
    <col min="8" max="8" width="7.7109375"/>
    <col min="9" max="9" width="9.140625" style="1"/>
    <col min="11" max="11" width="10.42578125" style="2"/>
    <col min="12" max="12" width="8" style="2"/>
    <col min="13" max="13" width="16.85546875" style="2"/>
    <col min="14" max="14" width="12.5703125"/>
    <col min="15" max="15" width="11.28515625"/>
    <col min="16" max="17" width="9.28515625" style="3"/>
    <col min="18" max="18" width="12.140625"/>
    <col min="19" max="19" width="11.7109375"/>
    <col min="20" max="20" width="12.140625"/>
    <col min="21" max="21" width="3.140625" style="1"/>
    <col min="22" max="22" width="3"/>
  </cols>
  <sheetData>
    <row r="1" spans="1:33" ht="20.25" customHeight="1" x14ac:dyDescent="0.25">
      <c r="A1" s="341" t="s">
        <v>0</v>
      </c>
      <c r="B1" s="341"/>
      <c r="C1" s="341"/>
      <c r="D1" s="341"/>
      <c r="E1" s="341"/>
      <c r="F1" s="341"/>
      <c r="G1" s="341"/>
    </row>
    <row r="3" spans="1:33" x14ac:dyDescent="0.25">
      <c r="A3" s="338" t="s">
        <v>1</v>
      </c>
      <c r="B3" s="338"/>
      <c r="C3" s="338"/>
      <c r="D3" s="338"/>
      <c r="E3" s="338"/>
      <c r="F3" s="338"/>
      <c r="G3" s="338"/>
      <c r="H3" s="338"/>
      <c r="J3" s="338" t="s">
        <v>2</v>
      </c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4"/>
      <c r="V3" s="338" t="s">
        <v>3</v>
      </c>
      <c r="W3" s="338"/>
      <c r="X3" s="338"/>
      <c r="Y3" s="338"/>
      <c r="Z3" s="338"/>
      <c r="AA3" s="338"/>
      <c r="AB3" s="338"/>
      <c r="AC3" s="338"/>
      <c r="AD3" s="338"/>
      <c r="AE3" s="338"/>
      <c r="AF3" s="338"/>
      <c r="AG3" s="338"/>
    </row>
    <row r="4" spans="1:33" ht="15.75" customHeight="1" x14ac:dyDescent="0.25">
      <c r="Y4" s="5" t="s">
        <v>4</v>
      </c>
      <c r="Z4" s="5">
        <v>1.7</v>
      </c>
      <c r="AA4" s="5" t="s">
        <v>5</v>
      </c>
    </row>
    <row r="5" spans="1:33" ht="15" customHeight="1" x14ac:dyDescent="0.25">
      <c r="A5" s="6" t="s">
        <v>6</v>
      </c>
      <c r="B5" s="7">
        <v>766</v>
      </c>
      <c r="C5" s="7" t="s">
        <v>7</v>
      </c>
      <c r="D5" s="6" t="s">
        <v>8</v>
      </c>
      <c r="E5" s="7"/>
      <c r="F5" s="7"/>
      <c r="G5" s="8">
        <f>SUM(H7:H14)</f>
        <v>41.199999999999996</v>
      </c>
      <c r="H5" s="9" t="s">
        <v>9</v>
      </c>
      <c r="J5" t="s">
        <v>10</v>
      </c>
      <c r="K5" s="10" t="s">
        <v>11</v>
      </c>
      <c r="L5" s="11" t="s">
        <v>12</v>
      </c>
      <c r="M5" s="11" t="s">
        <v>13</v>
      </c>
      <c r="N5" s="11" t="s">
        <v>14</v>
      </c>
      <c r="O5" s="12" t="s">
        <v>15</v>
      </c>
      <c r="P5" s="13" t="s">
        <v>16</v>
      </c>
      <c r="Q5" s="13" t="s">
        <v>17</v>
      </c>
      <c r="R5" s="14" t="s">
        <v>18</v>
      </c>
      <c r="S5" s="14"/>
      <c r="T5" s="14" t="s">
        <v>19</v>
      </c>
      <c r="U5" s="15"/>
      <c r="W5" s="16" t="s">
        <v>20</v>
      </c>
      <c r="X5" s="17"/>
      <c r="Y5" s="18" t="s">
        <v>21</v>
      </c>
      <c r="Z5" s="19">
        <f>1/(1/10+SUM(AC7:AC11)+1/23)</f>
        <v>1.6975498473547073</v>
      </c>
      <c r="AA5" s="17" t="s">
        <v>5</v>
      </c>
      <c r="AB5" s="17"/>
      <c r="AC5" s="17" t="s">
        <v>22</v>
      </c>
      <c r="AD5" s="20">
        <f>SUM(AD7:AD11)</f>
        <v>77930</v>
      </c>
      <c r="AE5" s="14" t="s">
        <v>23</v>
      </c>
      <c r="AF5" s="14">
        <f>SUM(AD9:AD11)</f>
        <v>42230</v>
      </c>
      <c r="AG5" s="14"/>
    </row>
    <row r="6" spans="1:33" ht="15" customHeight="1" x14ac:dyDescent="0.25">
      <c r="A6" s="21"/>
      <c r="B6" s="22"/>
      <c r="C6" s="22"/>
      <c r="D6" s="23"/>
      <c r="E6" s="24"/>
      <c r="F6" s="24"/>
      <c r="G6" s="24"/>
      <c r="H6" s="25"/>
      <c r="J6" t="s">
        <v>24</v>
      </c>
      <c r="K6" s="26">
        <v>0</v>
      </c>
      <c r="L6" s="27">
        <v>1</v>
      </c>
      <c r="M6" s="27" t="s">
        <v>25</v>
      </c>
      <c r="N6" s="28">
        <f>'Tabula data'!B10*0.55/2</f>
        <v>37.922500000000007</v>
      </c>
      <c r="O6" s="29" t="s">
        <v>26</v>
      </c>
      <c r="P6" s="30">
        <f t="shared" ref="P6:P28" si="0">VLOOKUP(M6,$W$5:$Z$391,4,0)</f>
        <v>2.2022341505875525</v>
      </c>
      <c r="Q6" s="30">
        <f t="shared" ref="Q6:Q28" si="1">P6*N6</f>
        <v>83.514224575656471</v>
      </c>
      <c r="R6" s="30">
        <f t="shared" ref="R6:R28" si="2">VLOOKUP(M6,$W$5:$AD$391,8,0)*N6</f>
        <v>17060574.300000004</v>
      </c>
      <c r="S6" s="30">
        <f t="shared" ref="S6:S28" si="3">R6/N6</f>
        <v>449880.00000000006</v>
      </c>
      <c r="T6" s="30">
        <f t="shared" ref="T6:T28" si="4">VLOOKUP(M6,$W$5:$AF$391,10,0)*N6</f>
        <v>17060574.300000004</v>
      </c>
      <c r="U6" s="31"/>
      <c r="V6" s="3"/>
      <c r="W6" s="32"/>
      <c r="X6" s="33" t="s">
        <v>27</v>
      </c>
      <c r="Y6" s="33" t="s">
        <v>28</v>
      </c>
      <c r="Z6" s="33" t="s">
        <v>29</v>
      </c>
      <c r="AA6" s="33" t="s">
        <v>30</v>
      </c>
      <c r="AB6" s="33" t="s">
        <v>31</v>
      </c>
      <c r="AC6" s="33" t="s">
        <v>32</v>
      </c>
      <c r="AD6" s="34" t="s">
        <v>33</v>
      </c>
      <c r="AE6" s="14"/>
      <c r="AF6" s="14"/>
      <c r="AG6" s="14"/>
    </row>
    <row r="7" spans="1:33" ht="15" customHeight="1" x14ac:dyDescent="0.25">
      <c r="A7" s="6" t="s">
        <v>34</v>
      </c>
      <c r="B7" s="35">
        <v>279</v>
      </c>
      <c r="C7" s="36" t="s">
        <v>9</v>
      </c>
      <c r="D7" s="37" t="s">
        <v>35</v>
      </c>
      <c r="E7" s="24" t="s">
        <v>36</v>
      </c>
      <c r="F7" s="38">
        <f t="shared" ref="F7:F14" si="5">H7/$G$5</f>
        <v>0.26213592233009714</v>
      </c>
      <c r="G7" s="24" t="s">
        <v>37</v>
      </c>
      <c r="H7" s="39">
        <v>10.8</v>
      </c>
      <c r="J7" t="s">
        <v>38</v>
      </c>
      <c r="K7" s="40">
        <v>0</v>
      </c>
      <c r="L7" s="41">
        <v>1</v>
      </c>
      <c r="M7" s="41" t="s">
        <v>25</v>
      </c>
      <c r="N7" s="42">
        <f>'Tabula data'!B10*0.45*0.5</f>
        <v>31.027500000000003</v>
      </c>
      <c r="O7" s="43" t="s">
        <v>39</v>
      </c>
      <c r="P7" s="30">
        <f t="shared" si="0"/>
        <v>2.2022341505875525</v>
      </c>
      <c r="Q7" s="30">
        <f t="shared" si="1"/>
        <v>68.329820107355289</v>
      </c>
      <c r="R7" s="30">
        <f t="shared" si="2"/>
        <v>13958651.700000001</v>
      </c>
      <c r="S7" s="30">
        <f t="shared" si="3"/>
        <v>449880</v>
      </c>
      <c r="T7" s="30">
        <f t="shared" si="4"/>
        <v>13958651.700000001</v>
      </c>
      <c r="U7" s="31"/>
      <c r="V7" s="3"/>
      <c r="W7" s="23"/>
      <c r="X7" s="24" t="s">
        <v>40</v>
      </c>
      <c r="Y7" s="24">
        <v>2.5000000000000001E-2</v>
      </c>
      <c r="Z7" s="24">
        <v>1</v>
      </c>
      <c r="AA7" s="24">
        <v>1700</v>
      </c>
      <c r="AB7" s="24">
        <v>840</v>
      </c>
      <c r="AC7" s="44">
        <f>Y7/Z7</f>
        <v>2.5000000000000001E-2</v>
      </c>
      <c r="AD7" s="25">
        <f>Y7*AA7*AB7</f>
        <v>35700</v>
      </c>
      <c r="AE7" s="14" t="s">
        <v>41</v>
      </c>
      <c r="AF7" s="14"/>
      <c r="AG7" s="14"/>
    </row>
    <row r="8" spans="1:33" ht="15" customHeight="1" x14ac:dyDescent="0.25">
      <c r="A8" s="45" t="s">
        <v>42</v>
      </c>
      <c r="B8" s="46">
        <f>B7-B9</f>
        <v>167.39999999999998</v>
      </c>
      <c r="C8" s="47" t="s">
        <v>9</v>
      </c>
      <c r="D8" s="37" t="s">
        <v>43</v>
      </c>
      <c r="E8" s="24" t="s">
        <v>36</v>
      </c>
      <c r="F8" s="38">
        <f t="shared" si="5"/>
        <v>0.22572815533980586</v>
      </c>
      <c r="G8" s="24" t="s">
        <v>37</v>
      </c>
      <c r="H8" s="39">
        <v>9.3000000000000007</v>
      </c>
      <c r="J8" t="s">
        <v>44</v>
      </c>
      <c r="K8" s="40">
        <v>0</v>
      </c>
      <c r="L8" s="41">
        <v>1</v>
      </c>
      <c r="M8" s="41" t="s">
        <v>25</v>
      </c>
      <c r="N8" s="42">
        <f>N6</f>
        <v>37.922500000000007</v>
      </c>
      <c r="O8" s="43" t="s">
        <v>45</v>
      </c>
      <c r="P8" s="30">
        <f t="shared" si="0"/>
        <v>2.2022341505875525</v>
      </c>
      <c r="Q8" s="30">
        <f t="shared" si="1"/>
        <v>83.514224575656471</v>
      </c>
      <c r="R8" s="30">
        <f t="shared" si="2"/>
        <v>17060574.300000004</v>
      </c>
      <c r="S8" s="30">
        <f t="shared" si="3"/>
        <v>449880.00000000006</v>
      </c>
      <c r="T8" s="30">
        <f t="shared" si="4"/>
        <v>17060574.300000004</v>
      </c>
      <c r="U8" s="31"/>
      <c r="V8" s="3"/>
      <c r="W8" s="23"/>
      <c r="X8" s="24" t="s">
        <v>46</v>
      </c>
      <c r="Y8" s="24">
        <v>0</v>
      </c>
      <c r="Z8" s="24">
        <v>0</v>
      </c>
      <c r="AA8" s="24">
        <v>0</v>
      </c>
      <c r="AB8" s="24">
        <v>0</v>
      </c>
      <c r="AC8" s="44">
        <v>0.16</v>
      </c>
      <c r="AD8" s="25">
        <f>Y8*AA8*AB8</f>
        <v>0</v>
      </c>
      <c r="AE8" s="14"/>
      <c r="AF8" s="14"/>
      <c r="AG8" s="14"/>
    </row>
    <row r="9" spans="1:33" ht="15" customHeight="1" x14ac:dyDescent="0.25">
      <c r="A9" s="48" t="s">
        <v>47</v>
      </c>
      <c r="B9" s="49">
        <f>0.4*B7</f>
        <v>111.60000000000001</v>
      </c>
      <c r="C9" s="24"/>
      <c r="D9" s="37" t="s">
        <v>48</v>
      </c>
      <c r="E9" s="24" t="s">
        <v>36</v>
      </c>
      <c r="F9" s="38">
        <f t="shared" si="5"/>
        <v>0.29611650485436897</v>
      </c>
      <c r="G9" s="24" t="s">
        <v>37</v>
      </c>
      <c r="H9" s="39">
        <v>12.2</v>
      </c>
      <c r="J9" t="s">
        <v>49</v>
      </c>
      <c r="K9" s="40">
        <v>0</v>
      </c>
      <c r="L9" s="41">
        <v>1</v>
      </c>
      <c r="M9" s="41" t="s">
        <v>25</v>
      </c>
      <c r="N9" s="42">
        <f>N7</f>
        <v>31.027500000000003</v>
      </c>
      <c r="O9" s="43" t="s">
        <v>50</v>
      </c>
      <c r="P9" s="30">
        <f t="shared" si="0"/>
        <v>2.2022341505875525</v>
      </c>
      <c r="Q9" s="30">
        <f t="shared" si="1"/>
        <v>68.329820107355289</v>
      </c>
      <c r="R9" s="30">
        <f t="shared" si="2"/>
        <v>13958651.700000001</v>
      </c>
      <c r="S9" s="30">
        <f t="shared" si="3"/>
        <v>449880</v>
      </c>
      <c r="T9" s="30">
        <f t="shared" si="4"/>
        <v>13958651.700000001</v>
      </c>
      <c r="U9" s="31"/>
      <c r="V9" s="3"/>
      <c r="W9" s="23"/>
      <c r="X9" s="50" t="s">
        <v>51</v>
      </c>
      <c r="Y9" s="24">
        <v>0</v>
      </c>
      <c r="Z9" s="24">
        <v>1.4</v>
      </c>
      <c r="AA9" s="24">
        <v>2100</v>
      </c>
      <c r="AB9" s="24">
        <v>840</v>
      </c>
      <c r="AC9" s="44">
        <f>Y9/Z9</f>
        <v>0</v>
      </c>
      <c r="AD9" s="25">
        <f>Y9*AA9*AB9</f>
        <v>0</v>
      </c>
      <c r="AE9" s="14"/>
      <c r="AF9" s="14"/>
      <c r="AG9" s="14"/>
    </row>
    <row r="10" spans="1:33" ht="15" customHeight="1" x14ac:dyDescent="0.25">
      <c r="A10" s="23"/>
      <c r="B10" s="24"/>
      <c r="C10" s="24"/>
      <c r="D10" s="37" t="s">
        <v>52</v>
      </c>
      <c r="E10" s="50" t="s">
        <v>36</v>
      </c>
      <c r="F10" s="38">
        <f t="shared" si="5"/>
        <v>0.2160194174757282</v>
      </c>
      <c r="G10" s="24" t="s">
        <v>37</v>
      </c>
      <c r="H10" s="39">
        <v>8.9</v>
      </c>
      <c r="J10" t="s">
        <v>53</v>
      </c>
      <c r="K10" s="40">
        <v>0</v>
      </c>
      <c r="L10" s="41">
        <v>1</v>
      </c>
      <c r="M10" s="41" t="s">
        <v>54</v>
      </c>
      <c r="N10" s="42">
        <f>H7</f>
        <v>10.8</v>
      </c>
      <c r="O10" s="43" t="s">
        <v>26</v>
      </c>
      <c r="P10" s="30">
        <f t="shared" si="0"/>
        <v>5</v>
      </c>
      <c r="Q10" s="30">
        <f t="shared" si="1"/>
        <v>54</v>
      </c>
      <c r="R10" s="30">
        <f t="shared" si="2"/>
        <v>0</v>
      </c>
      <c r="S10" s="30">
        <f t="shared" si="3"/>
        <v>0</v>
      </c>
      <c r="T10" s="30">
        <f t="shared" si="4"/>
        <v>0</v>
      </c>
      <c r="U10" s="31"/>
      <c r="V10" s="3"/>
      <c r="W10" s="23"/>
      <c r="X10" s="50" t="s">
        <v>55</v>
      </c>
      <c r="Y10">
        <v>2.5000000000000001E-2</v>
      </c>
      <c r="Z10" s="50">
        <v>0.11</v>
      </c>
      <c r="AA10" s="50">
        <v>550</v>
      </c>
      <c r="AB10" s="50">
        <v>1880</v>
      </c>
      <c r="AC10" s="44">
        <f>Y10/Z10</f>
        <v>0.22727272727272729</v>
      </c>
      <c r="AD10" s="25">
        <f>Y10*AA10*AB10</f>
        <v>25850</v>
      </c>
      <c r="AE10" s="14" t="s">
        <v>41</v>
      </c>
      <c r="AF10" s="14"/>
      <c r="AG10" s="14"/>
    </row>
    <row r="11" spans="1:33" ht="15" customHeight="1" x14ac:dyDescent="0.25">
      <c r="A11" s="23"/>
      <c r="B11" s="24"/>
      <c r="C11" s="24"/>
      <c r="D11" s="37" t="s">
        <v>35</v>
      </c>
      <c r="E11" s="50" t="s">
        <v>56</v>
      </c>
      <c r="F11" s="51">
        <f t="shared" si="5"/>
        <v>0</v>
      </c>
      <c r="G11" s="24"/>
      <c r="H11" s="52">
        <f>N21</f>
        <v>0</v>
      </c>
      <c r="J11" t="s">
        <v>57</v>
      </c>
      <c r="K11" s="40">
        <v>0</v>
      </c>
      <c r="L11" s="41">
        <v>1</v>
      </c>
      <c r="M11" s="41" t="s">
        <v>54</v>
      </c>
      <c r="N11" s="42">
        <v>9.3000000000000007</v>
      </c>
      <c r="O11" s="43" t="s">
        <v>39</v>
      </c>
      <c r="P11" s="30">
        <f t="shared" si="0"/>
        <v>5</v>
      </c>
      <c r="Q11" s="30">
        <f t="shared" si="1"/>
        <v>46.5</v>
      </c>
      <c r="R11" s="30">
        <f t="shared" si="2"/>
        <v>0</v>
      </c>
      <c r="S11" s="30">
        <f t="shared" si="3"/>
        <v>0</v>
      </c>
      <c r="T11" s="30">
        <f t="shared" si="4"/>
        <v>0</v>
      </c>
      <c r="U11" s="31"/>
      <c r="V11" s="3"/>
      <c r="W11" s="53"/>
      <c r="X11" s="22" t="s">
        <v>58</v>
      </c>
      <c r="Y11" s="22">
        <v>0.02</v>
      </c>
      <c r="Z11" s="22">
        <v>0.6</v>
      </c>
      <c r="AA11" s="22">
        <v>975</v>
      </c>
      <c r="AB11" s="22">
        <v>840</v>
      </c>
      <c r="AC11" s="54">
        <f>Y11/Z11</f>
        <v>3.3333333333333333E-2</v>
      </c>
      <c r="AD11" s="55">
        <f>Y11*AA11*AB11</f>
        <v>16380</v>
      </c>
      <c r="AE11" s="14"/>
      <c r="AF11" s="14"/>
      <c r="AG11" s="14"/>
    </row>
    <row r="12" spans="1:33" ht="15" customHeight="1" x14ac:dyDescent="0.25">
      <c r="A12" s="23"/>
      <c r="B12" s="24"/>
      <c r="C12" s="24"/>
      <c r="D12" s="37" t="s">
        <v>43</v>
      </c>
      <c r="E12" s="50" t="s">
        <v>56</v>
      </c>
      <c r="F12" s="51">
        <f t="shared" si="5"/>
        <v>0</v>
      </c>
      <c r="G12" s="24"/>
      <c r="H12" s="52">
        <v>0</v>
      </c>
      <c r="J12" t="s">
        <v>59</v>
      </c>
      <c r="K12" s="40">
        <v>0</v>
      </c>
      <c r="L12" s="41">
        <v>1</v>
      </c>
      <c r="M12" s="41" t="s">
        <v>54</v>
      </c>
      <c r="N12" s="42">
        <f>H9</f>
        <v>12.2</v>
      </c>
      <c r="O12" s="43" t="s">
        <v>45</v>
      </c>
      <c r="P12" s="30">
        <f t="shared" si="0"/>
        <v>5</v>
      </c>
      <c r="Q12" s="30">
        <f t="shared" si="1"/>
        <v>61</v>
      </c>
      <c r="R12" s="30">
        <f t="shared" si="2"/>
        <v>0</v>
      </c>
      <c r="S12" s="30">
        <f t="shared" si="3"/>
        <v>0</v>
      </c>
      <c r="T12" s="30">
        <f t="shared" si="4"/>
        <v>0</v>
      </c>
      <c r="U12" s="31"/>
      <c r="V12" s="3"/>
      <c r="W12" s="24"/>
      <c r="X12" s="24"/>
      <c r="Y12" s="24"/>
      <c r="Z12" s="24"/>
      <c r="AA12" s="24"/>
      <c r="AB12" s="24"/>
      <c r="AC12" s="44"/>
      <c r="AD12" s="24"/>
      <c r="AE12" s="14"/>
      <c r="AF12" s="14"/>
      <c r="AG12" s="14"/>
    </row>
    <row r="13" spans="1:33" ht="15" customHeight="1" x14ac:dyDescent="0.25">
      <c r="A13" s="23"/>
      <c r="B13" s="24"/>
      <c r="C13" s="24"/>
      <c r="D13" s="37" t="s">
        <v>48</v>
      </c>
      <c r="E13" s="50" t="s">
        <v>56</v>
      </c>
      <c r="F13" s="51">
        <f t="shared" si="5"/>
        <v>0</v>
      </c>
      <c r="G13" s="24"/>
      <c r="H13" s="52">
        <f>N23</f>
        <v>0</v>
      </c>
      <c r="J13" t="s">
        <v>60</v>
      </c>
      <c r="K13" s="40">
        <v>0</v>
      </c>
      <c r="L13" s="41">
        <v>1</v>
      </c>
      <c r="M13" s="41" t="s">
        <v>54</v>
      </c>
      <c r="N13" s="42">
        <f>H10</f>
        <v>8.9</v>
      </c>
      <c r="O13" s="43" t="s">
        <v>50</v>
      </c>
      <c r="P13" s="30">
        <f t="shared" si="0"/>
        <v>5</v>
      </c>
      <c r="Q13" s="30">
        <f t="shared" si="1"/>
        <v>44.5</v>
      </c>
      <c r="R13" s="30">
        <f t="shared" si="2"/>
        <v>0</v>
      </c>
      <c r="S13" s="30">
        <f t="shared" si="3"/>
        <v>0</v>
      </c>
      <c r="T13" s="30">
        <f t="shared" si="4"/>
        <v>0</v>
      </c>
      <c r="U13" s="31"/>
      <c r="V13" s="3"/>
      <c r="Y13" s="5" t="s">
        <v>4</v>
      </c>
      <c r="Z13" s="5">
        <v>2.2000000000000002</v>
      </c>
      <c r="AA13" s="5" t="s">
        <v>5</v>
      </c>
      <c r="AE13" s="14"/>
      <c r="AF13" s="14"/>
      <c r="AG13" s="14"/>
    </row>
    <row r="14" spans="1:33" ht="15" customHeight="1" x14ac:dyDescent="0.25">
      <c r="A14" s="23"/>
      <c r="B14" s="24"/>
      <c r="C14" s="24"/>
      <c r="D14" s="37" t="s">
        <v>52</v>
      </c>
      <c r="E14" s="50" t="s">
        <v>56</v>
      </c>
      <c r="F14" s="51">
        <f t="shared" si="5"/>
        <v>0</v>
      </c>
      <c r="G14" s="24"/>
      <c r="H14" s="52">
        <f>N24</f>
        <v>0</v>
      </c>
      <c r="J14" t="s">
        <v>61</v>
      </c>
      <c r="K14" s="40" t="s">
        <v>62</v>
      </c>
      <c r="L14" s="41">
        <v>1</v>
      </c>
      <c r="M14" s="41" t="s">
        <v>63</v>
      </c>
      <c r="N14" s="42">
        <f>'Tabula data'!B14</f>
        <v>103.4</v>
      </c>
      <c r="O14" s="43"/>
      <c r="P14" s="30">
        <f t="shared" si="0"/>
        <v>2.5990099009900991</v>
      </c>
      <c r="Q14" s="30">
        <f t="shared" si="1"/>
        <v>268.73762376237624</v>
      </c>
      <c r="R14" s="30">
        <f t="shared" si="2"/>
        <v>46493603.200000003</v>
      </c>
      <c r="S14" s="30">
        <f t="shared" si="3"/>
        <v>449648</v>
      </c>
      <c r="T14" s="30">
        <f t="shared" si="4"/>
        <v>46493603.200000003</v>
      </c>
      <c r="U14" s="31"/>
      <c r="V14" s="3"/>
      <c r="W14" s="16" t="s">
        <v>64</v>
      </c>
      <c r="X14" s="17"/>
      <c r="Y14" s="18" t="s">
        <v>21</v>
      </c>
      <c r="Z14" s="19">
        <f>1/(1/8+SUM(AC16:AC19)+1/23)</f>
        <v>2.2022341505875525</v>
      </c>
      <c r="AA14" s="17" t="s">
        <v>5</v>
      </c>
      <c r="AB14" s="17"/>
      <c r="AC14" s="17" t="s">
        <v>22</v>
      </c>
      <c r="AD14" s="20">
        <f>SUM(AD16:AD20)</f>
        <v>449880</v>
      </c>
      <c r="AE14" s="14" t="s">
        <v>23</v>
      </c>
      <c r="AF14" s="14">
        <f>SUM(AD17:AD19)</f>
        <v>449880</v>
      </c>
      <c r="AG14" s="14"/>
    </row>
    <row r="15" spans="1:33" ht="15" customHeight="1" x14ac:dyDescent="0.25">
      <c r="A15" s="23"/>
      <c r="B15" s="24"/>
      <c r="C15" s="24"/>
      <c r="D15" s="56" t="s">
        <v>65</v>
      </c>
      <c r="E15" s="7"/>
      <c r="F15" s="7"/>
      <c r="G15" s="7"/>
      <c r="H15" s="9"/>
      <c r="J15" t="s">
        <v>66</v>
      </c>
      <c r="K15" s="40">
        <v>0</v>
      </c>
      <c r="L15" s="41">
        <v>1</v>
      </c>
      <c r="M15" s="41" t="s">
        <v>20</v>
      </c>
      <c r="N15" s="42">
        <f>'Tabula data'!B7</f>
        <v>125.2</v>
      </c>
      <c r="O15" s="43"/>
      <c r="P15" s="30">
        <f t="shared" si="0"/>
        <v>1.6975498473547073</v>
      </c>
      <c r="Q15" s="30">
        <f t="shared" si="1"/>
        <v>212.53324088880936</v>
      </c>
      <c r="R15" s="30">
        <f t="shared" si="2"/>
        <v>9756836</v>
      </c>
      <c r="S15" s="30">
        <f t="shared" si="3"/>
        <v>77930</v>
      </c>
      <c r="T15" s="30">
        <f t="shared" si="4"/>
        <v>5287196</v>
      </c>
      <c r="U15" s="31"/>
      <c r="V15" s="3"/>
      <c r="W15" s="32"/>
      <c r="X15" s="33" t="s">
        <v>27</v>
      </c>
      <c r="Y15" s="33" t="s">
        <v>28</v>
      </c>
      <c r="Z15" s="33" t="s">
        <v>29</v>
      </c>
      <c r="AA15" s="33" t="s">
        <v>30</v>
      </c>
      <c r="AB15" s="33" t="s">
        <v>31</v>
      </c>
      <c r="AC15" s="33" t="s">
        <v>32</v>
      </c>
      <c r="AD15" s="34" t="s">
        <v>33</v>
      </c>
      <c r="AE15" s="14"/>
      <c r="AF15" s="14"/>
      <c r="AG15" s="14"/>
    </row>
    <row r="16" spans="1:33" ht="15" customHeight="1" x14ac:dyDescent="0.25">
      <c r="A16" s="23"/>
      <c r="B16" s="24"/>
      <c r="C16" s="24"/>
      <c r="D16" s="57"/>
      <c r="E16" s="24"/>
      <c r="F16" s="24"/>
      <c r="G16" s="24"/>
      <c r="H16" s="25"/>
      <c r="J16" t="s">
        <v>67</v>
      </c>
      <c r="K16" s="40">
        <v>0</v>
      </c>
      <c r="L16" s="41">
        <v>1</v>
      </c>
      <c r="M16" s="41" t="s">
        <v>68</v>
      </c>
      <c r="N16" s="42">
        <f>'Tabula data'!B21</f>
        <v>9.5</v>
      </c>
      <c r="O16" s="43"/>
      <c r="P16" s="30">
        <f t="shared" si="0"/>
        <v>4</v>
      </c>
      <c r="Q16" s="30">
        <f t="shared" si="1"/>
        <v>38</v>
      </c>
      <c r="R16" s="30">
        <f t="shared" si="2"/>
        <v>346940</v>
      </c>
      <c r="S16" s="30">
        <f t="shared" si="3"/>
        <v>36520</v>
      </c>
      <c r="T16" s="30">
        <f t="shared" si="4"/>
        <v>0</v>
      </c>
      <c r="U16" s="31"/>
      <c r="V16" s="3"/>
      <c r="W16" s="23"/>
      <c r="X16" s="24"/>
      <c r="Y16" s="24"/>
      <c r="Z16" s="24"/>
      <c r="AA16" s="24"/>
      <c r="AB16" s="24"/>
      <c r="AC16" s="44"/>
      <c r="AD16" s="25"/>
      <c r="AE16" s="14"/>
      <c r="AF16" s="14"/>
      <c r="AG16" s="14"/>
    </row>
    <row r="17" spans="1:33" ht="15" customHeight="1" x14ac:dyDescent="0.25">
      <c r="A17" s="53"/>
      <c r="B17" s="22"/>
      <c r="C17" s="22"/>
      <c r="D17" s="37" t="s">
        <v>69</v>
      </c>
      <c r="E17" s="24"/>
      <c r="F17" s="58">
        <f>B5/B27</f>
        <v>1.2783711615487316</v>
      </c>
      <c r="G17" s="59" t="s">
        <v>70</v>
      </c>
      <c r="H17" s="25"/>
      <c r="J17" t="s">
        <v>71</v>
      </c>
      <c r="K17" s="40">
        <v>0</v>
      </c>
      <c r="L17" s="41">
        <v>3</v>
      </c>
      <c r="M17" s="41" t="s">
        <v>25</v>
      </c>
      <c r="N17" s="42">
        <v>0</v>
      </c>
      <c r="O17" s="43" t="s">
        <v>26</v>
      </c>
      <c r="P17" s="30">
        <f t="shared" si="0"/>
        <v>2.2022341505875525</v>
      </c>
      <c r="Q17" s="30">
        <f t="shared" si="1"/>
        <v>0</v>
      </c>
      <c r="R17" s="30">
        <f t="shared" si="2"/>
        <v>0</v>
      </c>
      <c r="S17" s="30" t="e">
        <f t="shared" si="3"/>
        <v>#DIV/0!</v>
      </c>
      <c r="T17" s="30">
        <f t="shared" si="4"/>
        <v>0</v>
      </c>
      <c r="U17" s="31"/>
      <c r="V17" s="3"/>
      <c r="W17" s="23"/>
      <c r="X17" s="24" t="s">
        <v>72</v>
      </c>
      <c r="Y17" s="24">
        <v>2.5000000000000001E-2</v>
      </c>
      <c r="Z17" s="24">
        <v>1</v>
      </c>
      <c r="AA17" s="24">
        <v>1800</v>
      </c>
      <c r="AB17" s="24">
        <v>1000</v>
      </c>
      <c r="AC17" s="44">
        <f>Y17/Z17</f>
        <v>2.5000000000000001E-2</v>
      </c>
      <c r="AD17" s="25">
        <f>Y17*AA17*AB17</f>
        <v>45000</v>
      </c>
      <c r="AE17" s="14"/>
      <c r="AF17" s="14"/>
      <c r="AG17" s="14"/>
    </row>
    <row r="18" spans="1:33" ht="15" customHeight="1" x14ac:dyDescent="0.25">
      <c r="A18" s="6" t="s">
        <v>73</v>
      </c>
      <c r="B18" s="60">
        <v>0</v>
      </c>
      <c r="C18" s="7" t="s">
        <v>9</v>
      </c>
      <c r="D18" s="37" t="s">
        <v>74</v>
      </c>
      <c r="E18" s="24"/>
      <c r="F18" s="58">
        <f>B27/B24</f>
        <v>2.1476702508960575</v>
      </c>
      <c r="G18" s="59"/>
      <c r="H18" s="25"/>
      <c r="J18" t="s">
        <v>75</v>
      </c>
      <c r="K18" s="40">
        <v>0</v>
      </c>
      <c r="L18" s="41">
        <v>3</v>
      </c>
      <c r="M18" s="41" t="s">
        <v>25</v>
      </c>
      <c r="N18" s="42">
        <v>0</v>
      </c>
      <c r="O18" s="43" t="s">
        <v>39</v>
      </c>
      <c r="P18" s="30">
        <f t="shared" si="0"/>
        <v>2.2022341505875525</v>
      </c>
      <c r="Q18" s="30">
        <f t="shared" si="1"/>
        <v>0</v>
      </c>
      <c r="R18" s="30">
        <f t="shared" si="2"/>
        <v>0</v>
      </c>
      <c r="S18" s="30" t="e">
        <f t="shared" si="3"/>
        <v>#DIV/0!</v>
      </c>
      <c r="T18" s="30">
        <f t="shared" si="4"/>
        <v>0</v>
      </c>
      <c r="U18" s="31"/>
      <c r="V18" s="3"/>
      <c r="W18" s="23"/>
      <c r="X18" s="24" t="s">
        <v>76</v>
      </c>
      <c r="Y18" s="24">
        <v>0.25</v>
      </c>
      <c r="Z18" s="24">
        <v>1.1000000000000001</v>
      </c>
      <c r="AA18" s="24">
        <v>1850</v>
      </c>
      <c r="AB18" s="24">
        <v>840</v>
      </c>
      <c r="AC18" s="44">
        <f>Y18/Z18</f>
        <v>0.22727272727272727</v>
      </c>
      <c r="AD18" s="25">
        <f>Y18*AA18*AB18</f>
        <v>388500</v>
      </c>
      <c r="AE18" s="14"/>
      <c r="AF18" s="14"/>
      <c r="AG18" s="14"/>
    </row>
    <row r="19" spans="1:33" ht="15" customHeight="1" x14ac:dyDescent="0.25">
      <c r="A19" s="23" t="s">
        <v>77</v>
      </c>
      <c r="B19" s="24">
        <v>0</v>
      </c>
      <c r="C19" s="24"/>
      <c r="D19" s="37" t="s">
        <v>78</v>
      </c>
      <c r="E19" s="24"/>
      <c r="F19" s="58">
        <f>B27/B7</f>
        <v>2.1476702508960575</v>
      </c>
      <c r="G19" s="59"/>
      <c r="H19" s="25"/>
      <c r="J19" t="s">
        <v>79</v>
      </c>
      <c r="K19" s="40">
        <v>0</v>
      </c>
      <c r="L19" s="41">
        <v>3</v>
      </c>
      <c r="M19" s="41" t="s">
        <v>25</v>
      </c>
      <c r="N19" s="42">
        <v>0</v>
      </c>
      <c r="O19" s="43" t="s">
        <v>45</v>
      </c>
      <c r="P19" s="30">
        <f t="shared" si="0"/>
        <v>2.2022341505875525</v>
      </c>
      <c r="Q19" s="30">
        <f t="shared" si="1"/>
        <v>0</v>
      </c>
      <c r="R19" s="30">
        <f t="shared" si="2"/>
        <v>0</v>
      </c>
      <c r="S19" s="30" t="e">
        <f t="shared" si="3"/>
        <v>#DIV/0!</v>
      </c>
      <c r="T19" s="30">
        <f t="shared" si="4"/>
        <v>0</v>
      </c>
      <c r="U19" s="31"/>
      <c r="V19" s="3"/>
      <c r="W19" s="53"/>
      <c r="X19" s="22" t="s">
        <v>80</v>
      </c>
      <c r="Y19" s="22">
        <v>0.02</v>
      </c>
      <c r="Z19" s="22">
        <v>0.6</v>
      </c>
      <c r="AA19" s="22">
        <v>975</v>
      </c>
      <c r="AB19" s="22">
        <v>840</v>
      </c>
      <c r="AC19" s="54">
        <f>Y19/Z19</f>
        <v>3.3333333333333333E-2</v>
      </c>
      <c r="AD19" s="55">
        <f>Y19*AA19*AB19</f>
        <v>16380</v>
      </c>
      <c r="AE19" s="14"/>
      <c r="AF19" s="14"/>
      <c r="AG19" s="14"/>
    </row>
    <row r="20" spans="1:33" ht="15" customHeight="1" x14ac:dyDescent="0.25">
      <c r="A20" s="23" t="s">
        <v>81</v>
      </c>
      <c r="B20" s="49">
        <f>B18-B19</f>
        <v>0</v>
      </c>
      <c r="C20" s="24"/>
      <c r="D20" s="57"/>
      <c r="E20" s="59"/>
      <c r="F20" s="59"/>
      <c r="G20" s="59"/>
      <c r="H20" s="61"/>
      <c r="J20" t="s">
        <v>82</v>
      </c>
      <c r="K20" s="40">
        <v>0</v>
      </c>
      <c r="L20" s="41">
        <v>3</v>
      </c>
      <c r="M20" s="41" t="s">
        <v>25</v>
      </c>
      <c r="N20" s="42">
        <v>0</v>
      </c>
      <c r="O20" s="43" t="s">
        <v>50</v>
      </c>
      <c r="P20" s="30">
        <f t="shared" si="0"/>
        <v>2.2022341505875525</v>
      </c>
      <c r="Q20" s="30">
        <f t="shared" si="1"/>
        <v>0</v>
      </c>
      <c r="R20" s="30">
        <f t="shared" si="2"/>
        <v>0</v>
      </c>
      <c r="S20" s="30" t="e">
        <f t="shared" si="3"/>
        <v>#DIV/0!</v>
      </c>
      <c r="T20" s="30">
        <f t="shared" si="4"/>
        <v>0</v>
      </c>
      <c r="U20" s="31"/>
      <c r="V20" s="3"/>
      <c r="AE20" s="14"/>
      <c r="AF20" s="14"/>
      <c r="AG20" s="14"/>
    </row>
    <row r="21" spans="1:33" ht="15" customHeight="1" x14ac:dyDescent="0.25">
      <c r="A21" s="23"/>
      <c r="B21" s="24"/>
      <c r="C21" s="24"/>
      <c r="D21" s="37" t="s">
        <v>83</v>
      </c>
      <c r="E21" s="59"/>
      <c r="F21" s="62">
        <f>G5/B24</f>
        <v>0.14767025089605734</v>
      </c>
      <c r="G21" s="59"/>
      <c r="H21" s="25"/>
      <c r="J21" t="s">
        <v>84</v>
      </c>
      <c r="K21" s="40">
        <v>0</v>
      </c>
      <c r="L21" s="41">
        <v>3</v>
      </c>
      <c r="M21" s="41" t="s">
        <v>54</v>
      </c>
      <c r="N21" s="42">
        <v>0</v>
      </c>
      <c r="O21" s="43" t="s">
        <v>26</v>
      </c>
      <c r="P21" s="30">
        <f t="shared" si="0"/>
        <v>5</v>
      </c>
      <c r="Q21" s="30">
        <f t="shared" si="1"/>
        <v>0</v>
      </c>
      <c r="R21" s="30">
        <f t="shared" si="2"/>
        <v>0</v>
      </c>
      <c r="S21" s="30" t="e">
        <f t="shared" si="3"/>
        <v>#DIV/0!</v>
      </c>
      <c r="T21" s="30">
        <f t="shared" si="4"/>
        <v>0</v>
      </c>
      <c r="U21" s="31"/>
      <c r="V21" s="3"/>
      <c r="W21" s="16" t="s">
        <v>85</v>
      </c>
      <c r="X21" s="17"/>
      <c r="Y21" s="18" t="s">
        <v>21</v>
      </c>
      <c r="Z21" s="19">
        <f>(1/(1/8+SUM(AC23:AC25)+1/8))</f>
        <v>1.9926199261992623</v>
      </c>
      <c r="AA21" s="17" t="s">
        <v>5</v>
      </c>
      <c r="AB21" s="17"/>
      <c r="AC21" s="17" t="s">
        <v>22</v>
      </c>
      <c r="AD21" s="20">
        <f>SUM(AD23:AD26)</f>
        <v>150360</v>
      </c>
      <c r="AE21" s="14" t="s">
        <v>23</v>
      </c>
      <c r="AF21" s="14">
        <f>SUM(AD23:AD25)</f>
        <v>150360</v>
      </c>
      <c r="AG21" s="14"/>
    </row>
    <row r="22" spans="1:33" ht="15" customHeight="1" x14ac:dyDescent="0.25">
      <c r="A22" s="23"/>
      <c r="B22" s="24"/>
      <c r="C22" s="24"/>
      <c r="D22" s="37" t="s">
        <v>86</v>
      </c>
      <c r="E22" s="59"/>
      <c r="F22" s="62">
        <f>G5/B7</f>
        <v>0.14767025089605734</v>
      </c>
      <c r="G22" s="59"/>
      <c r="H22" s="25"/>
      <c r="J22" t="s">
        <v>87</v>
      </c>
      <c r="K22" s="40">
        <v>0</v>
      </c>
      <c r="L22" s="41">
        <v>3</v>
      </c>
      <c r="M22" s="41" t="s">
        <v>54</v>
      </c>
      <c r="N22" s="42">
        <v>0</v>
      </c>
      <c r="O22" s="43" t="s">
        <v>39</v>
      </c>
      <c r="P22" s="30">
        <f t="shared" si="0"/>
        <v>5</v>
      </c>
      <c r="Q22" s="30">
        <f t="shared" si="1"/>
        <v>0</v>
      </c>
      <c r="R22" s="30">
        <f t="shared" si="2"/>
        <v>0</v>
      </c>
      <c r="S22" s="30" t="e">
        <f t="shared" si="3"/>
        <v>#DIV/0!</v>
      </c>
      <c r="T22" s="30">
        <f t="shared" si="4"/>
        <v>0</v>
      </c>
      <c r="U22" s="31"/>
      <c r="V22" s="3"/>
      <c r="W22" s="32"/>
      <c r="X22" s="33" t="s">
        <v>27</v>
      </c>
      <c r="Y22" s="33" t="s">
        <v>28</v>
      </c>
      <c r="Z22" s="33" t="s">
        <v>29</v>
      </c>
      <c r="AA22" s="33" t="s">
        <v>30</v>
      </c>
      <c r="AB22" s="33" t="s">
        <v>31</v>
      </c>
      <c r="AC22" s="33" t="s">
        <v>32</v>
      </c>
      <c r="AD22" s="34" t="s">
        <v>33</v>
      </c>
      <c r="AE22" s="14"/>
      <c r="AF22" s="14"/>
      <c r="AG22" s="14"/>
    </row>
    <row r="23" spans="1:33" ht="15" customHeight="1" x14ac:dyDescent="0.25">
      <c r="A23" s="53"/>
      <c r="B23" s="22"/>
      <c r="C23" s="22"/>
      <c r="D23" s="23" t="s">
        <v>88</v>
      </c>
      <c r="E23" s="24"/>
      <c r="F23" s="38">
        <f>G5/B27</f>
        <v>6.875834445927903E-2</v>
      </c>
      <c r="G23" s="24"/>
      <c r="H23" s="25"/>
      <c r="J23" t="s">
        <v>89</v>
      </c>
      <c r="K23" s="40">
        <v>0</v>
      </c>
      <c r="L23" s="41">
        <v>3</v>
      </c>
      <c r="M23" s="41" t="s">
        <v>54</v>
      </c>
      <c r="N23" s="42">
        <v>0</v>
      </c>
      <c r="O23" s="43" t="s">
        <v>45</v>
      </c>
      <c r="P23" s="30">
        <f t="shared" si="0"/>
        <v>5</v>
      </c>
      <c r="Q23" s="30">
        <f t="shared" si="1"/>
        <v>0</v>
      </c>
      <c r="R23" s="30">
        <f t="shared" si="2"/>
        <v>0</v>
      </c>
      <c r="S23" s="30" t="e">
        <f t="shared" si="3"/>
        <v>#DIV/0!</v>
      </c>
      <c r="T23" s="30">
        <f t="shared" si="4"/>
        <v>0</v>
      </c>
      <c r="U23" s="31"/>
      <c r="V23" s="3"/>
      <c r="W23" s="23"/>
      <c r="X23" s="24" t="s">
        <v>90</v>
      </c>
      <c r="Y23" s="24">
        <v>0.02</v>
      </c>
      <c r="Z23" s="24">
        <v>0.6</v>
      </c>
      <c r="AA23" s="24">
        <v>975</v>
      </c>
      <c r="AB23" s="24">
        <v>840</v>
      </c>
      <c r="AC23" s="44">
        <f>Y23/Z23</f>
        <v>3.3333333333333333E-2</v>
      </c>
      <c r="AD23" s="25">
        <f>Y23*AA23*AB23</f>
        <v>16380</v>
      </c>
      <c r="AE23" s="14"/>
      <c r="AF23" s="14"/>
      <c r="AG23" s="14"/>
    </row>
    <row r="24" spans="1:33" ht="15" customHeight="1" x14ac:dyDescent="0.25">
      <c r="A24" s="6" t="s">
        <v>91</v>
      </c>
      <c r="B24" s="60">
        <f>B18+B7</f>
        <v>279</v>
      </c>
      <c r="C24" s="7" t="s">
        <v>9</v>
      </c>
      <c r="D24" s="23"/>
      <c r="E24" s="24"/>
      <c r="F24" s="24"/>
      <c r="G24" s="24"/>
      <c r="H24" s="25"/>
      <c r="J24" t="s">
        <v>92</v>
      </c>
      <c r="K24" s="40">
        <v>0</v>
      </c>
      <c r="L24" s="41">
        <v>3</v>
      </c>
      <c r="M24" s="41" t="s">
        <v>54</v>
      </c>
      <c r="N24" s="42">
        <f>H20</f>
        <v>0</v>
      </c>
      <c r="O24" s="43" t="s">
        <v>50</v>
      </c>
      <c r="P24" s="30">
        <f t="shared" si="0"/>
        <v>5</v>
      </c>
      <c r="Q24" s="30">
        <f t="shared" si="1"/>
        <v>0</v>
      </c>
      <c r="R24" s="30">
        <f t="shared" si="2"/>
        <v>0</v>
      </c>
      <c r="S24" s="30" t="e">
        <f t="shared" si="3"/>
        <v>#DIV/0!</v>
      </c>
      <c r="T24" s="30">
        <f t="shared" si="4"/>
        <v>0</v>
      </c>
      <c r="U24" s="31"/>
      <c r="V24" s="3"/>
      <c r="W24" s="23"/>
      <c r="X24" s="24" t="s">
        <v>93</v>
      </c>
      <c r="Y24" s="24">
        <v>0.1</v>
      </c>
      <c r="Z24" s="24">
        <v>0.54</v>
      </c>
      <c r="AA24" s="24">
        <v>1400</v>
      </c>
      <c r="AB24" s="24">
        <v>840</v>
      </c>
      <c r="AC24" s="44">
        <f>Y24/Z24</f>
        <v>0.18518518518518517</v>
      </c>
      <c r="AD24" s="25">
        <f>Y24*AA24*AB24</f>
        <v>117600</v>
      </c>
      <c r="AE24" s="14"/>
      <c r="AF24" s="14"/>
      <c r="AG24" s="14"/>
    </row>
    <row r="25" spans="1:33" ht="15" customHeight="1" x14ac:dyDescent="0.25">
      <c r="A25" s="23" t="s">
        <v>94</v>
      </c>
      <c r="B25" s="63">
        <f>B24/B7</f>
        <v>1</v>
      </c>
      <c r="C25" s="24"/>
      <c r="D25" s="23" t="s">
        <v>95</v>
      </c>
      <c r="E25" s="24"/>
      <c r="F25" s="63">
        <f>B9/B7</f>
        <v>0.4</v>
      </c>
      <c r="G25" s="24"/>
      <c r="H25" s="25"/>
      <c r="J25" t="s">
        <v>96</v>
      </c>
      <c r="K25" s="40">
        <v>0</v>
      </c>
      <c r="L25" s="41">
        <v>3</v>
      </c>
      <c r="M25" s="41" t="s">
        <v>20</v>
      </c>
      <c r="N25" s="42">
        <v>0</v>
      </c>
      <c r="O25" s="43" t="s">
        <v>97</v>
      </c>
      <c r="P25" s="30">
        <f t="shared" si="0"/>
        <v>1.6975498473547073</v>
      </c>
      <c r="Q25" s="30">
        <f t="shared" si="1"/>
        <v>0</v>
      </c>
      <c r="R25" s="30">
        <f t="shared" si="2"/>
        <v>0</v>
      </c>
      <c r="S25" s="30" t="e">
        <f t="shared" si="3"/>
        <v>#DIV/0!</v>
      </c>
      <c r="T25" s="30">
        <f t="shared" si="4"/>
        <v>0</v>
      </c>
      <c r="U25" s="31"/>
      <c r="V25" s="3"/>
      <c r="W25" s="53"/>
      <c r="X25" s="22" t="s">
        <v>90</v>
      </c>
      <c r="Y25" s="22">
        <v>0.02</v>
      </c>
      <c r="Z25" s="22">
        <v>0.6</v>
      </c>
      <c r="AA25" s="22">
        <v>975</v>
      </c>
      <c r="AB25" s="22">
        <v>840</v>
      </c>
      <c r="AC25" s="54">
        <f>Y25/Z25</f>
        <v>3.3333333333333333E-2</v>
      </c>
      <c r="AD25" s="55">
        <f>Y25*AA25*AB25</f>
        <v>16380</v>
      </c>
      <c r="AE25" s="14"/>
      <c r="AF25" s="14"/>
      <c r="AG25" s="14"/>
    </row>
    <row r="26" spans="1:33" ht="15" customHeight="1" x14ac:dyDescent="0.25">
      <c r="A26" s="53"/>
      <c r="B26" s="22"/>
      <c r="C26" s="22"/>
      <c r="D26" s="23"/>
      <c r="E26" s="24"/>
      <c r="F26" s="24"/>
      <c r="G26" s="24"/>
      <c r="H26" s="25"/>
      <c r="J26" t="s">
        <v>98</v>
      </c>
      <c r="K26" s="40">
        <v>1</v>
      </c>
      <c r="L26" s="41">
        <v>3</v>
      </c>
      <c r="M26" s="41" t="s">
        <v>99</v>
      </c>
      <c r="N26" s="42">
        <f>'Tabula data'!B4-'Tabula data'!B14</f>
        <v>120.6</v>
      </c>
      <c r="O26" s="43"/>
      <c r="P26" s="30">
        <f t="shared" si="0"/>
        <v>2.0224719101123596</v>
      </c>
      <c r="Q26" s="30">
        <f t="shared" si="1"/>
        <v>243.91011235955057</v>
      </c>
      <c r="R26" s="30">
        <f t="shared" si="2"/>
        <v>20298186</v>
      </c>
      <c r="S26" s="30">
        <f t="shared" si="3"/>
        <v>168310</v>
      </c>
      <c r="T26" s="30">
        <f t="shared" si="4"/>
        <v>20298186</v>
      </c>
      <c r="U26" s="31"/>
      <c r="V26" s="3"/>
      <c r="AE26" s="14"/>
      <c r="AF26" s="14"/>
      <c r="AG26" s="14"/>
    </row>
    <row r="27" spans="1:33" ht="15" customHeight="1" x14ac:dyDescent="0.25">
      <c r="A27" s="6" t="s">
        <v>100</v>
      </c>
      <c r="B27" s="8">
        <v>599.20000000000005</v>
      </c>
      <c r="C27" s="9" t="s">
        <v>9</v>
      </c>
      <c r="D27" s="23"/>
      <c r="E27" s="24"/>
      <c r="F27" s="24"/>
      <c r="G27" s="24"/>
      <c r="H27" s="25"/>
      <c r="J27" t="s">
        <v>101</v>
      </c>
      <c r="K27" s="40">
        <v>1</v>
      </c>
      <c r="L27" s="41">
        <v>2</v>
      </c>
      <c r="M27" s="41" t="s">
        <v>85</v>
      </c>
      <c r="N27" s="42">
        <f>SUM(N6:N9)</f>
        <v>137.90000000000003</v>
      </c>
      <c r="O27" s="43"/>
      <c r="P27" s="30">
        <f t="shared" si="0"/>
        <v>1.9926199261992623</v>
      </c>
      <c r="Q27" s="30">
        <f t="shared" si="1"/>
        <v>274.78228782287835</v>
      </c>
      <c r="R27" s="30">
        <f t="shared" si="2"/>
        <v>20734644.000000004</v>
      </c>
      <c r="S27" s="30">
        <f t="shared" si="3"/>
        <v>150360</v>
      </c>
      <c r="T27" s="30">
        <f t="shared" si="4"/>
        <v>20734644.000000004</v>
      </c>
      <c r="U27" s="31"/>
      <c r="V27" s="3"/>
      <c r="W27" s="16" t="s">
        <v>99</v>
      </c>
      <c r="X27" s="17"/>
      <c r="Y27" s="18" t="s">
        <v>21</v>
      </c>
      <c r="Z27" s="19">
        <f>1/(1/10+SUM(AC29:AC32)+1/6)</f>
        <v>2.0224719101123596</v>
      </c>
      <c r="AA27" s="17" t="s">
        <v>5</v>
      </c>
      <c r="AB27" s="17"/>
      <c r="AC27" s="17" t="s">
        <v>22</v>
      </c>
      <c r="AD27" s="20">
        <f>SUM(AD29:AD33)</f>
        <v>168310</v>
      </c>
      <c r="AE27" s="14" t="s">
        <v>23</v>
      </c>
      <c r="AF27" s="14">
        <f>SUM(AD29:AD32)</f>
        <v>168310</v>
      </c>
      <c r="AG27" s="14"/>
    </row>
    <row r="28" spans="1:33" ht="15" customHeight="1" x14ac:dyDescent="0.25">
      <c r="A28" s="23"/>
      <c r="B28" s="24"/>
      <c r="C28" s="25"/>
      <c r="D28" s="23"/>
      <c r="E28" s="24"/>
      <c r="F28" s="24"/>
      <c r="G28" s="24"/>
      <c r="H28" s="25"/>
      <c r="J28" t="s">
        <v>102</v>
      </c>
      <c r="K28" s="40">
        <v>2</v>
      </c>
      <c r="L28" s="41">
        <v>2</v>
      </c>
      <c r="M28" s="41" t="s">
        <v>85</v>
      </c>
      <c r="N28" s="42">
        <v>0</v>
      </c>
      <c r="O28" s="43"/>
      <c r="P28" s="30">
        <f t="shared" si="0"/>
        <v>1.9926199261992623</v>
      </c>
      <c r="Q28" s="30">
        <f t="shared" si="1"/>
        <v>0</v>
      </c>
      <c r="R28" s="30">
        <f t="shared" si="2"/>
        <v>0</v>
      </c>
      <c r="S28" s="30" t="e">
        <f t="shared" si="3"/>
        <v>#DIV/0!</v>
      </c>
      <c r="T28" s="30">
        <f t="shared" si="4"/>
        <v>0</v>
      </c>
      <c r="U28" s="31"/>
      <c r="V28" s="3"/>
      <c r="W28" s="32"/>
      <c r="X28" s="33" t="s">
        <v>27</v>
      </c>
      <c r="Y28" s="33" t="s">
        <v>28</v>
      </c>
      <c r="Z28" s="33" t="s">
        <v>29</v>
      </c>
      <c r="AA28" s="33" t="s">
        <v>30</v>
      </c>
      <c r="AB28" s="33" t="s">
        <v>31</v>
      </c>
      <c r="AC28" s="33" t="s">
        <v>32</v>
      </c>
      <c r="AD28" s="34" t="s">
        <v>33</v>
      </c>
      <c r="AE28" s="14"/>
      <c r="AF28" s="14"/>
      <c r="AG28" s="14"/>
    </row>
    <row r="29" spans="1:33" ht="15" customHeight="1" x14ac:dyDescent="0.25">
      <c r="A29" s="23"/>
      <c r="B29" s="24"/>
      <c r="C29" s="25"/>
      <c r="D29" s="23"/>
      <c r="E29" s="24"/>
      <c r="F29" s="24"/>
      <c r="G29" s="24"/>
      <c r="H29" s="25"/>
      <c r="K29" s="64"/>
      <c r="L29" s="65"/>
      <c r="M29" s="65"/>
      <c r="N29" s="65"/>
      <c r="O29" s="66"/>
      <c r="W29" s="45"/>
      <c r="X29" s="47" t="s">
        <v>103</v>
      </c>
      <c r="Y29" s="47">
        <v>0.02</v>
      </c>
      <c r="Z29" s="47">
        <v>0.9</v>
      </c>
      <c r="AA29" s="47">
        <v>1950</v>
      </c>
      <c r="AB29" s="47">
        <v>840</v>
      </c>
      <c r="AC29" s="67">
        <f>Y29/Z29</f>
        <v>2.2222222222222223E-2</v>
      </c>
      <c r="AD29" s="68">
        <f>Y29*AA29*AB29</f>
        <v>32760</v>
      </c>
      <c r="AE29" s="14" t="s">
        <v>104</v>
      </c>
      <c r="AF29" s="14"/>
      <c r="AG29" s="14"/>
    </row>
    <row r="30" spans="1:33" ht="15" customHeight="1" x14ac:dyDescent="0.25">
      <c r="A30" s="23"/>
      <c r="B30" s="24"/>
      <c r="C30" s="25"/>
      <c r="D30" s="23"/>
      <c r="E30" s="24"/>
      <c r="F30" s="24"/>
      <c r="G30" s="24"/>
      <c r="H30" s="25"/>
      <c r="K30"/>
      <c r="L30"/>
      <c r="M30"/>
      <c r="P30"/>
      <c r="Q30"/>
      <c r="W30" s="23"/>
      <c r="X30" s="24" t="s">
        <v>105</v>
      </c>
      <c r="Y30" s="24">
        <v>0.1</v>
      </c>
      <c r="Z30" s="24">
        <v>0.6</v>
      </c>
      <c r="AA30" s="24">
        <v>1100</v>
      </c>
      <c r="AB30" s="24">
        <v>860</v>
      </c>
      <c r="AC30" s="44">
        <f>Y30/Z30</f>
        <v>0.16666666666666669</v>
      </c>
      <c r="AD30" s="25">
        <f>Y30*AA30*AB30</f>
        <v>94600</v>
      </c>
      <c r="AE30" s="14"/>
      <c r="AF30" s="14"/>
      <c r="AG30" s="14"/>
    </row>
    <row r="31" spans="1:33" ht="15" customHeight="1" x14ac:dyDescent="0.25">
      <c r="A31" s="53"/>
      <c r="B31" s="22"/>
      <c r="C31" s="55"/>
      <c r="D31" s="53"/>
      <c r="E31" s="22"/>
      <c r="F31" s="22"/>
      <c r="G31" s="22"/>
      <c r="H31" s="55"/>
      <c r="K31"/>
      <c r="L31"/>
      <c r="M31"/>
      <c r="P31" s="69" t="s">
        <v>106</v>
      </c>
      <c r="Q31" s="70">
        <f>SUM(Q4:Q28)</f>
        <v>1547.651354199638</v>
      </c>
      <c r="R31" s="69" t="s">
        <v>107</v>
      </c>
      <c r="W31" s="23"/>
      <c r="X31" s="24" t="s">
        <v>108</v>
      </c>
      <c r="Y31" s="24">
        <v>0.02</v>
      </c>
      <c r="Z31" s="24">
        <v>0.9</v>
      </c>
      <c r="AA31" s="24">
        <v>1950</v>
      </c>
      <c r="AB31" s="24">
        <v>840</v>
      </c>
      <c r="AC31" s="44">
        <f>Y31/Z31</f>
        <v>2.2222222222222223E-2</v>
      </c>
      <c r="AD31" s="25">
        <f>Y31*AA31*AB31</f>
        <v>32760</v>
      </c>
      <c r="AE31" s="14"/>
      <c r="AF31" s="14"/>
      <c r="AG31" s="14"/>
    </row>
    <row r="32" spans="1:33" ht="15" customHeight="1" x14ac:dyDescent="0.25">
      <c r="K32"/>
      <c r="L32"/>
      <c r="M32"/>
      <c r="P32"/>
      <c r="Q32"/>
      <c r="W32" s="53"/>
      <c r="X32" s="22" t="s">
        <v>80</v>
      </c>
      <c r="Y32" s="71">
        <v>0.01</v>
      </c>
      <c r="Z32" s="22">
        <v>0.6</v>
      </c>
      <c r="AA32" s="22">
        <v>975</v>
      </c>
      <c r="AB32" s="22">
        <v>840</v>
      </c>
      <c r="AC32" s="54">
        <f>Y32/Z32</f>
        <v>1.6666666666666666E-2</v>
      </c>
      <c r="AD32" s="55">
        <f>Y32*AA32*AB32</f>
        <v>8190</v>
      </c>
      <c r="AE32" s="14"/>
      <c r="AF32" s="14"/>
      <c r="AG32" s="14"/>
    </row>
    <row r="33" spans="1:33" ht="15" customHeight="1" x14ac:dyDescent="0.25">
      <c r="K33"/>
      <c r="L33"/>
      <c r="M33"/>
      <c r="P33"/>
      <c r="Q33"/>
      <c r="W33" s="24"/>
      <c r="X33" s="24"/>
      <c r="Y33" s="24"/>
      <c r="Z33" s="24"/>
      <c r="AA33" s="24"/>
      <c r="AB33" s="24"/>
      <c r="AC33" s="44"/>
      <c r="AD33" s="24"/>
      <c r="AE33" s="14"/>
      <c r="AF33" s="14"/>
      <c r="AG33" s="14"/>
    </row>
    <row r="34" spans="1:33" ht="15" customHeight="1" x14ac:dyDescent="0.25">
      <c r="A34" s="72" t="s">
        <v>109</v>
      </c>
      <c r="B34" s="72" t="s">
        <v>110</v>
      </c>
      <c r="C34" s="72"/>
      <c r="D34" s="72" t="s">
        <v>111</v>
      </c>
      <c r="E34" s="338" t="s">
        <v>112</v>
      </c>
      <c r="F34" s="338"/>
      <c r="G34" s="72" t="s">
        <v>113</v>
      </c>
      <c r="K34"/>
      <c r="L34"/>
      <c r="M34"/>
      <c r="P34"/>
      <c r="Q34"/>
      <c r="AE34" s="14"/>
      <c r="AF34" s="14"/>
      <c r="AG34" s="14"/>
    </row>
    <row r="35" spans="1:33" ht="15" customHeight="1" x14ac:dyDescent="0.25">
      <c r="A35" s="73">
        <v>1</v>
      </c>
      <c r="B35" s="74">
        <f>3.2*G35</f>
        <v>535.67999999999995</v>
      </c>
      <c r="C35" s="73"/>
      <c r="D35" s="73" t="s">
        <v>42</v>
      </c>
      <c r="E35" s="339">
        <v>21</v>
      </c>
      <c r="F35" s="339"/>
      <c r="G35" s="76">
        <f>VLOOKUP(D35,A7:B23,2,0)</f>
        <v>167.39999999999998</v>
      </c>
      <c r="K35"/>
      <c r="L35"/>
      <c r="M35" t="s">
        <v>114</v>
      </c>
      <c r="N35" s="3">
        <f>SUM(Q6:Q9,Q15)</f>
        <v>516.22133025483288</v>
      </c>
      <c r="O35" s="3"/>
      <c r="P35"/>
      <c r="Q35"/>
      <c r="W35" s="16" t="s">
        <v>115</v>
      </c>
      <c r="X35" s="17"/>
      <c r="Y35" s="18" t="s">
        <v>21</v>
      </c>
      <c r="Z35" s="11">
        <v>5</v>
      </c>
      <c r="AA35" s="17" t="s">
        <v>5</v>
      </c>
      <c r="AB35" s="17"/>
      <c r="AC35" s="17" t="s">
        <v>22</v>
      </c>
      <c r="AD35" s="20">
        <f>SUM(AD36:AD37)</f>
        <v>0</v>
      </c>
      <c r="AE35" s="14" t="s">
        <v>23</v>
      </c>
      <c r="AF35" s="14">
        <f>SUM(AD37:AD38)</f>
        <v>0</v>
      </c>
      <c r="AG35" s="14"/>
    </row>
    <row r="36" spans="1:33" ht="15" customHeight="1" x14ac:dyDescent="0.25">
      <c r="A36" s="73">
        <v>2</v>
      </c>
      <c r="B36" s="74">
        <f>2.2*G36</f>
        <v>245.52000000000004</v>
      </c>
      <c r="C36" s="73"/>
      <c r="D36" s="73" t="s">
        <v>116</v>
      </c>
      <c r="E36" s="77">
        <v>16</v>
      </c>
      <c r="F36" s="77"/>
      <c r="G36" s="76">
        <f>VLOOKUP(D36,A8:B24,2,0)</f>
        <v>111.60000000000001</v>
      </c>
      <c r="K36"/>
      <c r="L36"/>
      <c r="M36" t="s">
        <v>117</v>
      </c>
      <c r="N36" s="3">
        <f>SUM(Q10:Q13)</f>
        <v>206</v>
      </c>
      <c r="P36"/>
      <c r="Q36"/>
      <c r="W36" s="45"/>
      <c r="X36" s="47" t="s">
        <v>16</v>
      </c>
      <c r="Y36" s="47">
        <v>5</v>
      </c>
      <c r="Z36" s="47" t="s">
        <v>5</v>
      </c>
      <c r="AA36" s="47"/>
      <c r="AB36" s="47"/>
      <c r="AC36" s="47"/>
      <c r="AD36" s="78"/>
      <c r="AE36" s="14"/>
      <c r="AF36" s="14"/>
      <c r="AG36" s="14"/>
    </row>
    <row r="37" spans="1:33" ht="15" customHeight="1" x14ac:dyDescent="0.25">
      <c r="A37" s="73">
        <v>3</v>
      </c>
      <c r="B37" s="74">
        <f>G37*2</f>
        <v>0</v>
      </c>
      <c r="C37" s="73"/>
      <c r="D37" s="73" t="s">
        <v>118</v>
      </c>
      <c r="E37" s="340" t="s">
        <v>119</v>
      </c>
      <c r="F37" s="340"/>
      <c r="G37" s="76">
        <f>B18</f>
        <v>0</v>
      </c>
      <c r="K37"/>
      <c r="L37"/>
      <c r="M37" t="s">
        <v>120</v>
      </c>
      <c r="N37" s="3">
        <f>'Verwarming Tabula'!B60</f>
        <v>138.03320000000002</v>
      </c>
      <c r="P37"/>
      <c r="Q37"/>
      <c r="W37" s="53"/>
      <c r="X37" s="22" t="s">
        <v>121</v>
      </c>
      <c r="Y37" s="22">
        <v>0.59</v>
      </c>
      <c r="Z37" s="22"/>
      <c r="AA37" s="22"/>
      <c r="AB37" s="22"/>
      <c r="AC37" s="22"/>
      <c r="AD37" s="55"/>
      <c r="AE37" s="14"/>
      <c r="AF37" s="14"/>
      <c r="AG37" s="14"/>
    </row>
    <row r="38" spans="1:33" ht="15" customHeight="1" x14ac:dyDescent="0.25">
      <c r="K38"/>
      <c r="L38"/>
      <c r="M38"/>
      <c r="N38" s="3"/>
      <c r="P38"/>
      <c r="Q38"/>
      <c r="AE38" s="14"/>
      <c r="AF38" s="14"/>
      <c r="AG38" s="14"/>
    </row>
    <row r="39" spans="1:33" ht="15" customHeight="1" x14ac:dyDescent="0.25">
      <c r="B39" s="3"/>
      <c r="K39"/>
      <c r="L39"/>
      <c r="M39" t="s">
        <v>122</v>
      </c>
      <c r="N39" s="3">
        <f>B5*1.204*1012*5/1000000</f>
        <v>4.6666558399999998</v>
      </c>
      <c r="O39" t="s">
        <v>123</v>
      </c>
      <c r="Q39"/>
      <c r="AE39" s="14"/>
      <c r="AF39" s="14"/>
      <c r="AG39" s="14"/>
    </row>
    <row r="40" spans="1:33" ht="15" customHeight="1" x14ac:dyDescent="0.25">
      <c r="K40"/>
      <c r="L40"/>
      <c r="M40" t="s">
        <v>124</v>
      </c>
      <c r="N40" s="3">
        <f>SUM(R6:R9,R15)/1000000</f>
        <v>71.795288000000014</v>
      </c>
      <c r="O40" t="s">
        <v>125</v>
      </c>
      <c r="P40" s="3">
        <f>SUM(T6:T9,T15)/1000000</f>
        <v>67.325648000000015</v>
      </c>
      <c r="Q40"/>
      <c r="W40" s="16" t="s">
        <v>63</v>
      </c>
      <c r="X40" s="17"/>
      <c r="Y40" s="18" t="s">
        <v>21</v>
      </c>
      <c r="Z40" s="19">
        <f>1/(1/10+SUM(AC42:AC46))</f>
        <v>2.5990099009900991</v>
      </c>
      <c r="AA40" s="17" t="s">
        <v>5</v>
      </c>
      <c r="AB40" s="17"/>
      <c r="AC40" s="17" t="s">
        <v>22</v>
      </c>
      <c r="AD40" s="20">
        <f>SUM(AD42:AD46)</f>
        <v>449648</v>
      </c>
      <c r="AE40" s="14" t="s">
        <v>23</v>
      </c>
      <c r="AF40" s="14">
        <f>SUM(AD42:AD45)</f>
        <v>449648</v>
      </c>
      <c r="AG40" s="14"/>
    </row>
    <row r="41" spans="1:33" ht="15" customHeight="1" x14ac:dyDescent="0.25">
      <c r="K41"/>
      <c r="L41"/>
      <c r="M41" t="s">
        <v>126</v>
      </c>
      <c r="N41" s="3">
        <f>SUM(R26:R27)/1000000</f>
        <v>41.032829999999997</v>
      </c>
      <c r="O41" t="s">
        <v>125</v>
      </c>
      <c r="P41" s="3">
        <f>SUM(T26:T27)/1000000</f>
        <v>41.032829999999997</v>
      </c>
      <c r="Q41"/>
      <c r="W41" s="32"/>
      <c r="X41" s="33" t="s">
        <v>27</v>
      </c>
      <c r="Y41" s="33" t="s">
        <v>28</v>
      </c>
      <c r="Z41" s="33" t="s">
        <v>29</v>
      </c>
      <c r="AA41" s="33" t="s">
        <v>30</v>
      </c>
      <c r="AB41" s="33" t="s">
        <v>31</v>
      </c>
      <c r="AC41" s="33" t="s">
        <v>32</v>
      </c>
      <c r="AD41" s="34" t="s">
        <v>33</v>
      </c>
      <c r="AE41" s="14"/>
      <c r="AF41" s="14"/>
      <c r="AG41" s="14"/>
    </row>
    <row r="42" spans="1:33" ht="15" customHeight="1" x14ac:dyDescent="0.25">
      <c r="K42"/>
      <c r="L42"/>
      <c r="M42" t="s">
        <v>127</v>
      </c>
      <c r="N42" s="3">
        <f>R14/1000000</f>
        <v>46.493603200000003</v>
      </c>
      <c r="P42" s="3">
        <f>T14/1000000</f>
        <v>46.493603200000003</v>
      </c>
      <c r="Q42"/>
      <c r="W42" s="45"/>
      <c r="X42" s="47" t="s">
        <v>128</v>
      </c>
      <c r="Y42" s="47">
        <v>1.2E-2</v>
      </c>
      <c r="Z42" s="47">
        <v>1.4</v>
      </c>
      <c r="AA42" s="47">
        <v>2100</v>
      </c>
      <c r="AB42" s="47">
        <v>840</v>
      </c>
      <c r="AC42" s="67">
        <f>Y42/Z42</f>
        <v>8.5714285714285719E-3</v>
      </c>
      <c r="AD42" s="68">
        <f>Y42*AA42*AB42</f>
        <v>21168</v>
      </c>
      <c r="AE42" s="14" t="s">
        <v>104</v>
      </c>
      <c r="AF42" s="14"/>
      <c r="AG42" s="14"/>
    </row>
    <row r="43" spans="1:33" ht="15" customHeight="1" x14ac:dyDescent="0.25">
      <c r="K43"/>
      <c r="L43"/>
      <c r="M43"/>
      <c r="P43"/>
      <c r="Q43"/>
      <c r="W43" s="23"/>
      <c r="X43" s="24" t="s">
        <v>129</v>
      </c>
      <c r="Y43" s="24">
        <v>0.08</v>
      </c>
      <c r="Z43" s="24">
        <v>0.6</v>
      </c>
      <c r="AA43" s="24">
        <v>1100</v>
      </c>
      <c r="AB43" s="24">
        <v>860</v>
      </c>
      <c r="AC43" s="44">
        <f>Y43/Z43</f>
        <v>0.13333333333333333</v>
      </c>
      <c r="AD43" s="25">
        <f>Y43*AA43*AB43</f>
        <v>75680</v>
      </c>
      <c r="AE43" s="14"/>
      <c r="AF43" s="14"/>
      <c r="AG43" s="14"/>
    </row>
    <row r="44" spans="1:33" ht="15" customHeight="1" x14ac:dyDescent="0.25">
      <c r="K44"/>
      <c r="L44"/>
      <c r="M44"/>
      <c r="P44"/>
      <c r="Q44"/>
      <c r="W44" s="23"/>
      <c r="X44" s="24" t="s">
        <v>130</v>
      </c>
      <c r="Y44" s="24">
        <v>0</v>
      </c>
      <c r="Z44" s="24">
        <v>0.02</v>
      </c>
      <c r="AA44" s="24">
        <v>30</v>
      </c>
      <c r="AB44" s="24">
        <v>1470</v>
      </c>
      <c r="AC44" s="44">
        <f>Y44/Z44</f>
        <v>0</v>
      </c>
      <c r="AD44" s="25">
        <f>Y44*AA44*AB44</f>
        <v>0</v>
      </c>
      <c r="AE44" s="14"/>
      <c r="AF44" s="14"/>
      <c r="AG44" s="14"/>
    </row>
    <row r="45" spans="1:33" ht="15" customHeight="1" x14ac:dyDescent="0.25">
      <c r="E45" s="79"/>
      <c r="K45"/>
      <c r="L45"/>
      <c r="M45"/>
      <c r="P45"/>
      <c r="Q45"/>
      <c r="W45" s="23"/>
      <c r="X45" s="24" t="s">
        <v>131</v>
      </c>
      <c r="Y45" s="24">
        <v>0.2</v>
      </c>
      <c r="Z45" s="24">
        <v>1.4</v>
      </c>
      <c r="AA45" s="24">
        <v>2100</v>
      </c>
      <c r="AB45" s="24">
        <v>840</v>
      </c>
      <c r="AC45" s="44">
        <f>Y45/Z45</f>
        <v>0.14285714285714288</v>
      </c>
      <c r="AD45" s="25">
        <f>Y45*AA45*AB45</f>
        <v>352800</v>
      </c>
      <c r="AE45" s="14"/>
      <c r="AF45" s="14"/>
      <c r="AG45" s="14"/>
    </row>
    <row r="46" spans="1:33" ht="15" customHeight="1" x14ac:dyDescent="0.25">
      <c r="E46" s="79"/>
      <c r="K46"/>
      <c r="L46"/>
      <c r="M46"/>
      <c r="P46"/>
      <c r="Q46"/>
      <c r="W46" s="53"/>
      <c r="X46" s="22" t="s">
        <v>132</v>
      </c>
      <c r="Y46" s="22">
        <v>0</v>
      </c>
      <c r="Z46" s="22">
        <v>0.02</v>
      </c>
      <c r="AA46" s="22">
        <v>30</v>
      </c>
      <c r="AB46" s="22">
        <v>1470</v>
      </c>
      <c r="AC46" s="54">
        <f>Y46/Z46</f>
        <v>0</v>
      </c>
      <c r="AD46" s="55">
        <f>Y46*AA46*AB46</f>
        <v>0</v>
      </c>
      <c r="AE46" s="14"/>
      <c r="AF46" s="14"/>
      <c r="AG46" s="14"/>
    </row>
    <row r="47" spans="1:33" ht="15" customHeight="1" x14ac:dyDescent="0.25">
      <c r="K47"/>
      <c r="L47"/>
      <c r="M47"/>
      <c r="P47"/>
      <c r="Q47"/>
      <c r="W47" s="24"/>
      <c r="X47" s="24"/>
      <c r="Y47" s="24"/>
      <c r="Z47" s="24"/>
      <c r="AA47" s="24"/>
      <c r="AB47" s="24"/>
      <c r="AC47" s="44"/>
      <c r="AD47" s="24"/>
      <c r="AE47" s="14"/>
      <c r="AF47" s="14"/>
      <c r="AG47" s="14"/>
    </row>
    <row r="48" spans="1:33" ht="15" customHeight="1" x14ac:dyDescent="0.25">
      <c r="B48" s="3"/>
      <c r="K48"/>
      <c r="L48"/>
      <c r="M48"/>
      <c r="P48"/>
      <c r="Q48"/>
      <c r="AE48" s="14"/>
      <c r="AF48" s="14"/>
      <c r="AG48" s="14"/>
    </row>
    <row r="49" spans="2:33" ht="15" customHeight="1" x14ac:dyDescent="0.25">
      <c r="B49" s="3"/>
      <c r="K49"/>
      <c r="L49"/>
      <c r="M49"/>
      <c r="P49"/>
      <c r="Q49"/>
      <c r="W49" s="16" t="s">
        <v>68</v>
      </c>
      <c r="X49" s="17"/>
      <c r="Y49" s="18" t="s">
        <v>21</v>
      </c>
      <c r="Z49" s="11">
        <v>4</v>
      </c>
      <c r="AA49" s="17" t="s">
        <v>5</v>
      </c>
      <c r="AB49" s="17"/>
      <c r="AC49" s="17" t="s">
        <v>22</v>
      </c>
      <c r="AD49" s="20">
        <f>0.04*550*1660</f>
        <v>36520</v>
      </c>
      <c r="AE49" s="14" t="s">
        <v>23</v>
      </c>
      <c r="AF49" s="14">
        <f>SUM(AD51:AD52)</f>
        <v>0</v>
      </c>
      <c r="AG49" s="14"/>
    </row>
    <row r="50" spans="2:33" ht="15" customHeight="1" x14ac:dyDescent="0.25">
      <c r="B50" s="3"/>
      <c r="K50"/>
      <c r="L50"/>
      <c r="M50"/>
      <c r="P50"/>
      <c r="Q50"/>
      <c r="W50" s="45"/>
      <c r="X50" s="47" t="s">
        <v>16</v>
      </c>
      <c r="Y50" s="47">
        <v>4</v>
      </c>
      <c r="Z50" s="47" t="s">
        <v>5</v>
      </c>
      <c r="AA50" s="47"/>
      <c r="AB50" s="47"/>
      <c r="AC50" s="47"/>
      <c r="AD50" s="78"/>
      <c r="AE50" s="14"/>
      <c r="AF50" s="14"/>
      <c r="AG50" s="14"/>
    </row>
    <row r="51" spans="2:33" ht="15" customHeight="1" x14ac:dyDescent="0.25">
      <c r="K51"/>
      <c r="L51"/>
      <c r="M51"/>
      <c r="P51"/>
      <c r="Q51"/>
      <c r="W51" s="53"/>
      <c r="X51" s="22" t="s">
        <v>121</v>
      </c>
      <c r="Y51" s="22">
        <v>0</v>
      </c>
      <c r="Z51" s="22"/>
      <c r="AA51" s="22"/>
      <c r="AB51" s="22"/>
      <c r="AC51" s="22"/>
      <c r="AD51" s="55"/>
      <c r="AE51" s="14"/>
      <c r="AF51" s="14"/>
      <c r="AG51" s="14"/>
    </row>
  </sheetData>
  <mergeCells count="7">
    <mergeCell ref="V3:AG3"/>
    <mergeCell ref="E34:F34"/>
    <mergeCell ref="E35:F35"/>
    <mergeCell ref="E37:F37"/>
    <mergeCell ref="A1:G1"/>
    <mergeCell ref="A3:H3"/>
    <mergeCell ref="J3:T3"/>
  </mergeCells>
  <pageMargins left="0.25" right="0.25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I127"/>
  <sheetViews>
    <sheetView tabSelected="1" topLeftCell="DA42" zoomScale="70" zoomScaleNormal="70" workbookViewId="0">
      <selection activeCell="DI81" sqref="DI81"/>
    </sheetView>
  </sheetViews>
  <sheetFormatPr defaultRowHeight="16.5" thickTop="1" thickBottom="1" x14ac:dyDescent="0.3"/>
  <cols>
    <col min="1" max="5" width="9.140625" style="81"/>
    <col min="6" max="6" width="8.28515625" style="81" bestFit="1" customWidth="1"/>
    <col min="7" max="7" width="6.85546875" style="81" bestFit="1" customWidth="1"/>
    <col min="8" max="9" width="9.140625" style="81"/>
    <col min="10" max="10" width="9.140625" style="1"/>
    <col min="11" max="11" width="9.140625" style="81"/>
    <col min="12" max="14" width="9.140625" style="2"/>
    <col min="15" max="16" width="9.140625" style="81"/>
    <col min="17" max="18" width="9.140625" style="3"/>
    <col min="19" max="21" width="9.140625" style="81"/>
    <col min="22" max="22" width="9.140625" style="1"/>
    <col min="23" max="35" width="9.140625" style="81"/>
    <col min="36" max="37" width="9.140625" style="173"/>
    <col min="38" max="38" width="9.140625" style="154"/>
    <col min="39" max="39" width="10.28515625" style="154" bestFit="1" customWidth="1"/>
    <col min="40" max="41" width="9.140625" style="81"/>
    <col min="42" max="42" width="12.7109375" style="81" bestFit="1" customWidth="1"/>
    <col min="43" max="43" width="12.7109375" style="81" customWidth="1"/>
    <col min="44" max="47" width="9.140625" style="81"/>
    <col min="48" max="51" width="9.140625" style="199"/>
    <col min="52" max="52" width="16.140625" style="206" customWidth="1"/>
    <col min="53" max="53" width="9.140625" style="199"/>
    <col min="54" max="65" width="9.140625" style="81" customWidth="1"/>
    <col min="66" max="67" width="9.140625" style="173"/>
    <col min="68" max="68" width="9.140625" style="154"/>
    <col min="69" max="69" width="10.28515625" style="154" bestFit="1" customWidth="1"/>
    <col min="70" max="71" width="9.140625" style="81"/>
    <col min="72" max="72" width="12.7109375" style="81" bestFit="1" customWidth="1"/>
    <col min="73" max="74" width="12.7109375" style="81" customWidth="1"/>
    <col min="75" max="77" width="9.140625" style="81"/>
    <col min="78" max="78" width="10.42578125" style="210" bestFit="1" customWidth="1"/>
    <col min="79" max="79" width="10.42578125" style="210" customWidth="1"/>
    <col min="80" max="80" width="9.140625" style="81"/>
    <col min="81" max="81" width="10.5703125" style="81" bestFit="1" customWidth="1"/>
    <col min="82" max="86" width="9.140625" style="81"/>
    <col min="87" max="87" width="11" style="81" customWidth="1"/>
    <col min="88" max="92" width="9.140625" style="81"/>
    <col min="93" max="93" width="19.42578125" style="81" bestFit="1" customWidth="1"/>
    <col min="94" max="94" width="12" style="81" customWidth="1"/>
    <col min="95" max="95" width="11" style="81" customWidth="1"/>
    <col min="96" max="99" width="9.140625" style="81"/>
    <col min="100" max="100" width="9.140625" style="212"/>
    <col min="101" max="101" width="9.140625" style="81"/>
    <col min="102" max="102" width="19.42578125" style="81" bestFit="1" customWidth="1"/>
    <col min="103" max="113" width="9.140625" style="81"/>
    <col min="114" max="114" width="9.7109375" style="81" bestFit="1" customWidth="1"/>
    <col min="115" max="116" width="9.140625" style="81"/>
    <col min="117" max="119" width="9.85546875" style="81" bestFit="1" customWidth="1"/>
    <col min="120" max="120" width="9.140625" style="81"/>
    <col min="121" max="127" width="9.140625" style="290"/>
    <col min="128" max="128" width="9.140625" style="81"/>
    <col min="129" max="129" width="15.5703125" style="212" bestFit="1" customWidth="1"/>
    <col min="130" max="131" width="9.140625" style="212"/>
    <col min="132" max="132" width="10.5703125" style="212" bestFit="1" customWidth="1"/>
    <col min="133" max="133" width="9.140625" style="212"/>
    <col min="134" max="16384" width="9.140625" style="81"/>
  </cols>
  <sheetData>
    <row r="1" spans="1:139" ht="20.25" customHeight="1" thickTop="1" thickBot="1" x14ac:dyDescent="0.35">
      <c r="A1" s="341" t="s">
        <v>0</v>
      </c>
      <c r="B1" s="341"/>
      <c r="C1" s="341"/>
      <c r="D1" s="341"/>
      <c r="E1" s="341"/>
      <c r="F1" s="341"/>
      <c r="G1" s="341"/>
      <c r="AO1" s="191" t="s">
        <v>384</v>
      </c>
      <c r="BD1" s="81" t="s">
        <v>435</v>
      </c>
      <c r="BE1" s="191"/>
      <c r="BF1" s="191" t="s">
        <v>436</v>
      </c>
      <c r="BS1" s="191" t="s">
        <v>384</v>
      </c>
      <c r="EE1" s="160"/>
      <c r="EF1" s="160"/>
      <c r="EG1" s="160"/>
      <c r="EH1" s="160"/>
      <c r="EI1" s="160"/>
    </row>
    <row r="2" spans="1:139" thickTop="1" thickBot="1" x14ac:dyDescent="0.3">
      <c r="AO2" s="81" t="s">
        <v>385</v>
      </c>
      <c r="BS2" s="81" t="s">
        <v>385</v>
      </c>
      <c r="DL2" s="81" t="s">
        <v>386</v>
      </c>
      <c r="DM2" s="79" t="s">
        <v>534</v>
      </c>
      <c r="DN2" s="79" t="s">
        <v>535</v>
      </c>
      <c r="DO2" s="79" t="s">
        <v>536</v>
      </c>
      <c r="DQ2" s="290" t="s">
        <v>537</v>
      </c>
      <c r="EE2" s="160"/>
      <c r="EF2" s="160"/>
      <c r="EG2" s="160"/>
      <c r="EH2" s="160"/>
      <c r="EI2" s="160"/>
    </row>
    <row r="3" spans="1:139" thickTop="1" thickBot="1" x14ac:dyDescent="0.3">
      <c r="A3" s="347" t="s">
        <v>1</v>
      </c>
      <c r="B3" s="348"/>
      <c r="C3" s="348"/>
      <c r="D3" s="348"/>
      <c r="E3" s="348"/>
      <c r="F3" s="348"/>
      <c r="G3" s="348"/>
      <c r="H3" s="349"/>
      <c r="I3" s="321"/>
      <c r="K3" s="338" t="s">
        <v>2</v>
      </c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4"/>
      <c r="W3" s="338" t="s">
        <v>3</v>
      </c>
      <c r="X3" s="338"/>
      <c r="Y3" s="338"/>
      <c r="Z3" s="338"/>
      <c r="AA3" s="338"/>
      <c r="AB3" s="338"/>
      <c r="AC3" s="338"/>
      <c r="AD3" s="338"/>
      <c r="AE3" s="338"/>
      <c r="AF3" s="338"/>
      <c r="AG3" s="338"/>
      <c r="AH3" s="338"/>
      <c r="AO3" s="200" t="s">
        <v>386</v>
      </c>
      <c r="AP3" s="201" t="s">
        <v>387</v>
      </c>
      <c r="AQ3" s="201"/>
      <c r="AR3" s="209" t="s">
        <v>458</v>
      </c>
      <c r="AS3" s="202"/>
      <c r="AT3" s="202"/>
      <c r="AV3" s="203" t="s">
        <v>388</v>
      </c>
      <c r="BE3" s="208"/>
      <c r="BF3" s="208" t="s">
        <v>437</v>
      </c>
      <c r="BJ3" s="208" t="s">
        <v>438</v>
      </c>
      <c r="BK3" s="208"/>
      <c r="BS3" s="200" t="s">
        <v>386</v>
      </c>
      <c r="BT3" s="201" t="s">
        <v>387</v>
      </c>
      <c r="BU3" s="201"/>
      <c r="BV3" s="213" t="s">
        <v>533</v>
      </c>
      <c r="CB3" s="81" t="s">
        <v>465</v>
      </c>
      <c r="CC3" s="204">
        <v>292</v>
      </c>
      <c r="CD3" s="204">
        <v>0.10299999999999999</v>
      </c>
      <c r="DL3" s="81" t="s">
        <v>391</v>
      </c>
      <c r="DM3" s="286">
        <f>AP4</f>
        <v>0.15058202140242583</v>
      </c>
      <c r="DN3" s="286">
        <f>BV4</f>
        <v>0.1641929</v>
      </c>
      <c r="DO3" s="286">
        <f>BZ4</f>
        <v>0.19500000000000001</v>
      </c>
      <c r="DY3" s="212" t="s">
        <v>567</v>
      </c>
      <c r="EE3" s="212" t="s">
        <v>620</v>
      </c>
      <c r="EF3" s="160"/>
      <c r="EG3" s="160"/>
      <c r="EH3" s="160"/>
      <c r="EI3" s="160"/>
    </row>
    <row r="4" spans="1:139" ht="15.75" customHeight="1" thickTop="1" thickBot="1" x14ac:dyDescent="0.3">
      <c r="A4" s="214" t="s">
        <v>6</v>
      </c>
      <c r="B4" s="215">
        <f>'Tabula data'!B5</f>
        <v>615.9</v>
      </c>
      <c r="C4" s="215" t="s">
        <v>7</v>
      </c>
      <c r="D4" s="214" t="s">
        <v>8</v>
      </c>
      <c r="E4" s="215"/>
      <c r="F4" s="215"/>
      <c r="G4" s="216">
        <f>SUM(H6:H13)</f>
        <v>34.1</v>
      </c>
      <c r="H4" s="217" t="s">
        <v>9</v>
      </c>
      <c r="I4" s="225"/>
      <c r="L4" s="350" t="s">
        <v>2</v>
      </c>
      <c r="M4" s="351"/>
      <c r="N4" s="351"/>
      <c r="O4" s="351"/>
      <c r="P4" s="352"/>
      <c r="X4" s="258"/>
      <c r="Y4" s="258"/>
      <c r="Z4" s="259" t="s">
        <v>4</v>
      </c>
      <c r="AA4" s="259">
        <v>0.6</v>
      </c>
      <c r="AB4" s="259" t="s">
        <v>5</v>
      </c>
      <c r="AC4" s="258"/>
      <c r="AD4" s="258"/>
      <c r="AE4" s="258"/>
      <c r="AM4" s="154" t="s">
        <v>389</v>
      </c>
      <c r="AN4" s="81" t="s">
        <v>390</v>
      </c>
      <c r="AO4" s="81" t="s">
        <v>391</v>
      </c>
      <c r="AP4" s="81">
        <f>SUM(O6:O9)/(SUM($O$6:$O$14,$O$26,O30)+2*SUM($O$27))</f>
        <v>0.15058202140242583</v>
      </c>
      <c r="AQ4" s="81" t="s">
        <v>392</v>
      </c>
      <c r="AR4" s="204">
        <v>0.1641929</v>
      </c>
      <c r="AV4" s="205" t="s">
        <v>389</v>
      </c>
      <c r="AW4" s="205" t="s">
        <v>390</v>
      </c>
      <c r="AX4" s="205" t="s">
        <v>391</v>
      </c>
      <c r="AY4" s="207" t="s">
        <v>434</v>
      </c>
      <c r="AZ4" s="206">
        <f>BZ4</f>
        <v>0.19500000000000001</v>
      </c>
      <c r="BA4" s="205" t="s">
        <v>392</v>
      </c>
      <c r="BF4" s="81" t="s">
        <v>281</v>
      </c>
      <c r="BG4" s="81">
        <f>1/(1/AP19+1/AP23)</f>
        <v>23.051765106997451</v>
      </c>
      <c r="BJ4" s="81" t="s">
        <v>439</v>
      </c>
      <c r="BK4" s="81">
        <f>BG4</f>
        <v>23.051765106997451</v>
      </c>
      <c r="BQ4" s="154" t="s">
        <v>389</v>
      </c>
      <c r="BR4" s="81" t="s">
        <v>390</v>
      </c>
      <c r="BS4" s="81" t="s">
        <v>391</v>
      </c>
      <c r="BT4" s="204">
        <f>AR4</f>
        <v>0.1641929</v>
      </c>
      <c r="BU4" s="81" t="s">
        <v>392</v>
      </c>
      <c r="BV4" s="204">
        <v>0.1641929</v>
      </c>
      <c r="BZ4" s="211">
        <f>CC8</f>
        <v>0.19500000000000001</v>
      </c>
      <c r="CA4" s="211"/>
      <c r="CB4" s="81" t="s">
        <v>466</v>
      </c>
      <c r="CC4" s="204">
        <v>291</v>
      </c>
      <c r="CD4" s="204">
        <v>0.105</v>
      </c>
      <c r="CH4" s="81" t="s">
        <v>497</v>
      </c>
      <c r="CI4" s="81" t="s">
        <v>498</v>
      </c>
      <c r="CN4" s="81" t="s">
        <v>497</v>
      </c>
      <c r="CO4" s="81" t="s">
        <v>507</v>
      </c>
      <c r="DL4" s="81" t="s">
        <v>393</v>
      </c>
      <c r="DM4" s="286">
        <f t="shared" ref="DM4:DM49" si="0">AP5</f>
        <v>0.37160322670037677</v>
      </c>
      <c r="DN4" s="286">
        <f t="shared" ref="DN4:DN49" si="1">BV5</f>
        <v>0.32600000000000001</v>
      </c>
      <c r="DO4" s="286">
        <f t="shared" ref="DO4:DO48" si="2">BZ5</f>
        <v>0.38800000000000001</v>
      </c>
      <c r="DQ4" s="290" t="s">
        <v>506</v>
      </c>
      <c r="DR4" s="290" t="s">
        <v>497</v>
      </c>
      <c r="DS4" s="290" t="s">
        <v>540</v>
      </c>
      <c r="EE4" s="160"/>
      <c r="EF4" s="160"/>
      <c r="EG4" s="160"/>
      <c r="EH4" s="160"/>
      <c r="EI4" s="160"/>
    </row>
    <row r="5" spans="1:139" ht="15" customHeight="1" thickTop="1" thickBot="1" x14ac:dyDescent="0.3">
      <c r="A5" s="218"/>
      <c r="B5" s="219"/>
      <c r="C5" s="219"/>
      <c r="D5" s="220"/>
      <c r="E5" s="221"/>
      <c r="F5" s="221"/>
      <c r="G5" s="221"/>
      <c r="H5" s="222"/>
      <c r="I5" s="221"/>
      <c r="K5" s="81" t="s">
        <v>10</v>
      </c>
      <c r="L5" s="243" t="s">
        <v>11</v>
      </c>
      <c r="M5" s="244" t="s">
        <v>12</v>
      </c>
      <c r="N5" s="244" t="s">
        <v>13</v>
      </c>
      <c r="O5" s="244" t="s">
        <v>14</v>
      </c>
      <c r="P5" s="245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60" t="s">
        <v>20</v>
      </c>
      <c r="Y5" s="261"/>
      <c r="Z5" s="262" t="s">
        <v>21</v>
      </c>
      <c r="AA5" s="263">
        <f>1/(1/10+SUM(AD7:AD10)+1/23)</f>
        <v>0.27062537995411134</v>
      </c>
      <c r="AB5" s="261" t="s">
        <v>5</v>
      </c>
      <c r="AC5" s="261"/>
      <c r="AD5" s="261" t="s">
        <v>22</v>
      </c>
      <c r="AE5" s="264">
        <f>SUM(AE7:AE10)</f>
        <v>66192</v>
      </c>
      <c r="AF5" s="14" t="s">
        <v>23</v>
      </c>
      <c r="AG5" s="14">
        <f>SUM(AE9:AE10)</f>
        <v>30492</v>
      </c>
      <c r="AH5" s="14"/>
      <c r="AM5" s="154" t="s">
        <v>389</v>
      </c>
      <c r="AN5" s="81" t="s">
        <v>390</v>
      </c>
      <c r="AO5" s="81" t="s">
        <v>393</v>
      </c>
      <c r="AP5" s="81">
        <f>(2*O27+O30)/(SUM($O$6:$O$14,$O$26,O30)+2*SUM($O$27))</f>
        <v>0.37160322670037677</v>
      </c>
      <c r="AQ5" s="81" t="s">
        <v>392</v>
      </c>
      <c r="AR5" s="204">
        <v>0.32600000000000001</v>
      </c>
      <c r="AV5" s="205" t="s">
        <v>389</v>
      </c>
      <c r="AW5" s="205" t="s">
        <v>390</v>
      </c>
      <c r="AX5" s="205" t="s">
        <v>393</v>
      </c>
      <c r="AY5" s="207" t="s">
        <v>434</v>
      </c>
      <c r="AZ5" s="206">
        <f t="shared" ref="AZ5:AZ50" si="3">BZ5</f>
        <v>0.38800000000000001</v>
      </c>
      <c r="BA5" s="205" t="s">
        <v>392</v>
      </c>
      <c r="BF5" s="81" t="s">
        <v>291</v>
      </c>
      <c r="BG5" s="204">
        <f>AP10</f>
        <v>8856365.1000000015</v>
      </c>
      <c r="BJ5" s="81" t="s">
        <v>440</v>
      </c>
      <c r="BK5" s="81">
        <f>BG24</f>
        <v>63.365634693637332</v>
      </c>
      <c r="BQ5" s="154" t="s">
        <v>389</v>
      </c>
      <c r="BR5" s="81" t="s">
        <v>390</v>
      </c>
      <c r="BS5" s="81" t="s">
        <v>393</v>
      </c>
      <c r="BT5" s="204">
        <f t="shared" ref="BT5:BT7" si="4">AR5</f>
        <v>0.32600000000000001</v>
      </c>
      <c r="BU5" s="81" t="s">
        <v>392</v>
      </c>
      <c r="BV5" s="204">
        <v>0.32600000000000001</v>
      </c>
      <c r="BZ5" s="211">
        <f>CC9</f>
        <v>0.38800000000000001</v>
      </c>
      <c r="CA5" s="211"/>
      <c r="CB5" s="81" t="s">
        <v>467</v>
      </c>
      <c r="CC5" s="204">
        <v>294</v>
      </c>
      <c r="CD5" s="204">
        <v>5.4199999999999998E-2</v>
      </c>
      <c r="CH5" s="81" t="s">
        <v>499</v>
      </c>
      <c r="CN5" s="81" t="s">
        <v>499</v>
      </c>
      <c r="DL5" s="81" t="s">
        <v>394</v>
      </c>
      <c r="DM5" s="286">
        <f t="shared" si="0"/>
        <v>3.884024562501652E-2</v>
      </c>
      <c r="DN5" s="286">
        <f t="shared" si="1"/>
        <v>0.251</v>
      </c>
      <c r="DO5" s="286">
        <f t="shared" si="2"/>
        <v>6.13E-2</v>
      </c>
      <c r="DQ5" s="290" t="s">
        <v>506</v>
      </c>
      <c r="DR5" s="290" t="s">
        <v>499</v>
      </c>
      <c r="DY5" s="212" t="s">
        <v>568</v>
      </c>
      <c r="DZ5" s="292" t="s">
        <v>569</v>
      </c>
      <c r="EA5" s="292" t="s">
        <v>434</v>
      </c>
      <c r="EB5" s="293">
        <f>DS12</f>
        <v>0.29899999999999999</v>
      </c>
      <c r="EC5" s="212" t="s">
        <v>392</v>
      </c>
      <c r="EE5" s="160" t="s">
        <v>568</v>
      </c>
      <c r="EF5" s="322" t="s">
        <v>569</v>
      </c>
      <c r="EG5" s="322" t="s">
        <v>434</v>
      </c>
      <c r="EH5" s="160">
        <f>$O$11*$Z$37*$AP$4</f>
        <v>0.24416874770403346</v>
      </c>
      <c r="EI5" s="160" t="s">
        <v>392</v>
      </c>
    </row>
    <row r="6" spans="1:139" ht="15" customHeight="1" thickTop="1" thickBot="1" x14ac:dyDescent="0.3">
      <c r="A6" s="223" t="s">
        <v>34</v>
      </c>
      <c r="B6" s="224">
        <f>'Tabula data'!B4</f>
        <v>224</v>
      </c>
      <c r="C6" s="225" t="s">
        <v>9</v>
      </c>
      <c r="D6" s="226" t="s">
        <v>35</v>
      </c>
      <c r="E6" s="221" t="s">
        <v>36</v>
      </c>
      <c r="F6" s="227">
        <f t="shared" ref="F6:F13" si="5">H6/$G$4</f>
        <v>0.11876832844574779</v>
      </c>
      <c r="G6" s="221"/>
      <c r="H6" s="228">
        <f>'Tabula data'!B22*'Tabula RefULG 2'!C45</f>
        <v>4.05</v>
      </c>
      <c r="I6" s="240"/>
      <c r="K6" s="81" t="s">
        <v>24</v>
      </c>
      <c r="L6" s="246">
        <v>0</v>
      </c>
      <c r="M6" s="247">
        <v>1</v>
      </c>
      <c r="N6" s="247" t="s">
        <v>25</v>
      </c>
      <c r="O6" s="248">
        <f>'[1]Tabula data'!B19*C43</f>
        <v>17.590457494591035</v>
      </c>
      <c r="P6" s="249" t="s">
        <v>26</v>
      </c>
      <c r="Q6" s="30">
        <f t="shared" ref="Q6:Q31" si="6">VLOOKUP(N6,$X$5:$AA$391,4,0)</f>
        <v>0.36462385321100915</v>
      </c>
      <c r="R6" s="30">
        <f t="shared" ref="R6:R31" si="7">Q6*O6</f>
        <v>6.4139003914222572</v>
      </c>
      <c r="S6" s="30">
        <f t="shared" ref="S6:S14" si="8">VLOOKUP(N6,$X$5:$AE$391,8,0)*O6</f>
        <v>4479191.8793246746</v>
      </c>
      <c r="T6" s="30">
        <f t="shared" ref="T6:T14" si="9">S6/O6</f>
        <v>254637.6</v>
      </c>
      <c r="U6" s="30">
        <f t="shared" ref="U6:U14" si="10">VLOOKUP(N6,$X$5:$AG$391,10,0)*O6</f>
        <v>2356769.4951253068</v>
      </c>
      <c r="V6" s="31"/>
      <c r="W6" s="3"/>
      <c r="X6" s="265"/>
      <c r="Y6" s="266" t="s">
        <v>27</v>
      </c>
      <c r="Z6" s="266" t="s">
        <v>28</v>
      </c>
      <c r="AA6" s="266" t="s">
        <v>29</v>
      </c>
      <c r="AB6" s="266" t="s">
        <v>30</v>
      </c>
      <c r="AC6" s="266" t="s">
        <v>31</v>
      </c>
      <c r="AD6" s="266" t="s">
        <v>32</v>
      </c>
      <c r="AE6" s="267" t="s">
        <v>33</v>
      </c>
      <c r="AF6" s="14"/>
      <c r="AG6" s="14"/>
      <c r="AH6" s="14"/>
      <c r="AM6" s="154" t="s">
        <v>389</v>
      </c>
      <c r="AN6" s="81" t="s">
        <v>390</v>
      </c>
      <c r="AO6" s="81" t="s">
        <v>394</v>
      </c>
      <c r="AP6" s="81">
        <f>SUM(O10:O13)/(SUM($O$6:$O$14,$O$26,O30)+2*SUM($O$27))</f>
        <v>3.884024562501652E-2</v>
      </c>
      <c r="AQ6" s="81" t="s">
        <v>392</v>
      </c>
      <c r="AR6" s="204">
        <v>0.251</v>
      </c>
      <c r="AV6" s="205" t="s">
        <v>389</v>
      </c>
      <c r="AW6" s="205" t="s">
        <v>390</v>
      </c>
      <c r="AX6" s="205" t="s">
        <v>394</v>
      </c>
      <c r="AY6" s="207" t="s">
        <v>434</v>
      </c>
      <c r="AZ6" s="206">
        <f t="shared" si="3"/>
        <v>6.13E-2</v>
      </c>
      <c r="BA6" s="205" t="s">
        <v>392</v>
      </c>
      <c r="BF6" s="81" t="s">
        <v>282</v>
      </c>
      <c r="BG6" s="3">
        <f>AP22</f>
        <v>91.923239162201668</v>
      </c>
      <c r="BJ6" s="81" t="s">
        <v>441</v>
      </c>
      <c r="BK6" s="3">
        <f>BG6</f>
        <v>91.923239162201668</v>
      </c>
      <c r="BQ6" s="154" t="s">
        <v>389</v>
      </c>
      <c r="BR6" s="81" t="s">
        <v>390</v>
      </c>
      <c r="BS6" s="81" t="s">
        <v>394</v>
      </c>
      <c r="BT6" s="204">
        <f t="shared" si="4"/>
        <v>0.251</v>
      </c>
      <c r="BU6" s="81" t="s">
        <v>392</v>
      </c>
      <c r="BV6" s="204">
        <v>0.251</v>
      </c>
      <c r="BZ6" s="211">
        <f>CC10</f>
        <v>6.13E-2</v>
      </c>
      <c r="CA6" s="211"/>
      <c r="CB6" s="81" t="s">
        <v>468</v>
      </c>
      <c r="CC6" s="204">
        <v>290</v>
      </c>
      <c r="CD6" s="204">
        <v>0.111</v>
      </c>
      <c r="CH6" s="81" t="s">
        <v>500</v>
      </c>
      <c r="CI6" s="81" t="s">
        <v>501</v>
      </c>
      <c r="CJ6" s="81" t="s">
        <v>502</v>
      </c>
      <c r="CK6" s="81" t="s">
        <v>503</v>
      </c>
      <c r="CL6" s="81" t="s">
        <v>504</v>
      </c>
      <c r="CN6" s="81" t="s">
        <v>500</v>
      </c>
      <c r="CO6" s="81" t="s">
        <v>501</v>
      </c>
      <c r="CP6" s="81" t="s">
        <v>502</v>
      </c>
      <c r="CQ6" s="81" t="s">
        <v>503</v>
      </c>
      <c r="CR6" s="81" t="s">
        <v>504</v>
      </c>
      <c r="CS6" s="81" t="s">
        <v>508</v>
      </c>
      <c r="CV6" s="212" t="s">
        <v>506</v>
      </c>
      <c r="CW6" s="81" t="s">
        <v>497</v>
      </c>
      <c r="CX6" s="81" t="s">
        <v>521</v>
      </c>
      <c r="DL6" s="81" t="s">
        <v>395</v>
      </c>
      <c r="DM6" s="286">
        <f t="shared" si="0"/>
        <v>0.23554729604848729</v>
      </c>
      <c r="DN6" s="286">
        <f t="shared" si="1"/>
        <v>0.13800000000000001</v>
      </c>
      <c r="DO6" s="286">
        <f t="shared" si="2"/>
        <v>0.17799999999999999</v>
      </c>
      <c r="DQ6" s="290" t="s">
        <v>506</v>
      </c>
      <c r="DR6" s="290" t="s">
        <v>500</v>
      </c>
      <c r="DS6" s="290" t="s">
        <v>501</v>
      </c>
      <c r="DT6" s="290" t="s">
        <v>502</v>
      </c>
      <c r="DU6" s="290" t="s">
        <v>503</v>
      </c>
      <c r="DV6" s="290" t="s">
        <v>504</v>
      </c>
      <c r="DW6" s="290" t="s">
        <v>508</v>
      </c>
      <c r="DY6" s="212" t="s">
        <v>568</v>
      </c>
      <c r="DZ6" s="292" t="s">
        <v>570</v>
      </c>
      <c r="EA6" s="292" t="s">
        <v>434</v>
      </c>
      <c r="EB6" s="293">
        <f t="shared" ref="EB6:EB24" si="11">DS13</f>
        <v>0.35199999999999998</v>
      </c>
      <c r="EC6" s="212" t="s">
        <v>392</v>
      </c>
      <c r="EE6" s="160" t="s">
        <v>568</v>
      </c>
      <c r="EF6" s="322" t="s">
        <v>570</v>
      </c>
      <c r="EG6" s="322" t="s">
        <v>434</v>
      </c>
      <c r="EH6" s="160">
        <f>$O$10*$Z$37*$AP$4</f>
        <v>0.28663287773951751</v>
      </c>
      <c r="EI6" s="160" t="s">
        <v>392</v>
      </c>
    </row>
    <row r="7" spans="1:139" ht="15" customHeight="1" thickTop="1" thickBot="1" x14ac:dyDescent="0.3">
      <c r="A7" s="226" t="s">
        <v>42</v>
      </c>
      <c r="B7" s="229">
        <f>'Tabula data'!B14</f>
        <v>103.4</v>
      </c>
      <c r="C7" s="230" t="s">
        <v>9</v>
      </c>
      <c r="D7" s="226" t="s">
        <v>43</v>
      </c>
      <c r="E7" s="221" t="s">
        <v>36</v>
      </c>
      <c r="F7" s="227">
        <f t="shared" si="5"/>
        <v>0.10117302052785924</v>
      </c>
      <c r="G7" s="221"/>
      <c r="H7" s="228">
        <f>'Tabula data'!B23*'Tabula RefULG 2'!C45</f>
        <v>3.45</v>
      </c>
      <c r="I7" s="240"/>
      <c r="K7" s="81" t="s">
        <v>38</v>
      </c>
      <c r="L7" s="250">
        <v>0</v>
      </c>
      <c r="M7" s="251">
        <v>1</v>
      </c>
      <c r="N7" s="251" t="s">
        <v>25</v>
      </c>
      <c r="O7" s="252">
        <f>'[1]Tabula data'!B20*C43</f>
        <v>30.921227867960802</v>
      </c>
      <c r="P7" s="253" t="s">
        <v>39</v>
      </c>
      <c r="Q7" s="30">
        <f t="shared" si="6"/>
        <v>0.36462385321100915</v>
      </c>
      <c r="R7" s="30">
        <f t="shared" si="7"/>
        <v>11.274617251231504</v>
      </c>
      <c r="S7" s="30">
        <f t="shared" si="8"/>
        <v>7873707.2533506555</v>
      </c>
      <c r="T7" s="30">
        <f t="shared" si="9"/>
        <v>254637.6</v>
      </c>
      <c r="U7" s="30">
        <f t="shared" si="10"/>
        <v>4142826.1097493884</v>
      </c>
      <c r="V7" s="31"/>
      <c r="W7" s="3"/>
      <c r="X7" s="220"/>
      <c r="Y7" s="221" t="s">
        <v>40</v>
      </c>
      <c r="Z7" s="221">
        <v>2.5000000000000001E-2</v>
      </c>
      <c r="AA7" s="221">
        <v>1</v>
      </c>
      <c r="AB7" s="221">
        <v>1700</v>
      </c>
      <c r="AC7" s="221">
        <v>840</v>
      </c>
      <c r="AD7" s="268">
        <f>Z7/AA7</f>
        <v>2.5000000000000001E-2</v>
      </c>
      <c r="AE7" s="222">
        <f>Z7*AB7*AC7</f>
        <v>35700</v>
      </c>
      <c r="AF7" s="14" t="s">
        <v>41</v>
      </c>
      <c r="AG7" s="14"/>
      <c r="AH7" s="14"/>
      <c r="AM7" s="154" t="s">
        <v>389</v>
      </c>
      <c r="AN7" s="81" t="s">
        <v>390</v>
      </c>
      <c r="AO7" s="81" t="s">
        <v>395</v>
      </c>
      <c r="AP7" s="81">
        <f>SUM(O14)/(SUM($O$6:$O$14,$O$26,O30)+2*SUM($O$27))</f>
        <v>0.23554729604848729</v>
      </c>
      <c r="AQ7" s="81" t="s">
        <v>392</v>
      </c>
      <c r="AR7" s="204">
        <v>0.13800000000000001</v>
      </c>
      <c r="AV7" s="205" t="s">
        <v>389</v>
      </c>
      <c r="AW7" s="205" t="s">
        <v>390</v>
      </c>
      <c r="AX7" s="205" t="s">
        <v>395</v>
      </c>
      <c r="AY7" s="207" t="s">
        <v>434</v>
      </c>
      <c r="AZ7" s="206">
        <f t="shared" si="3"/>
        <v>0.17799999999999999</v>
      </c>
      <c r="BA7" s="205" t="s">
        <v>392</v>
      </c>
      <c r="BF7" s="81" t="s">
        <v>122</v>
      </c>
      <c r="BG7" s="204">
        <f>AP9</f>
        <v>1904462.5600000003</v>
      </c>
      <c r="BJ7" s="81" t="s">
        <v>442</v>
      </c>
      <c r="BK7" s="3">
        <f>BG25</f>
        <v>51.346760837798342</v>
      </c>
      <c r="BQ7" s="154" t="s">
        <v>389</v>
      </c>
      <c r="BR7" s="81" t="s">
        <v>390</v>
      </c>
      <c r="BS7" s="81" t="s">
        <v>395</v>
      </c>
      <c r="BT7" s="204">
        <f t="shared" si="4"/>
        <v>0.13800000000000001</v>
      </c>
      <c r="BU7" s="81" t="s">
        <v>392</v>
      </c>
      <c r="BV7" s="204">
        <v>0.13800000000000001</v>
      </c>
      <c r="BZ7" s="211">
        <f>CC11</f>
        <v>0.17799999999999999</v>
      </c>
      <c r="CA7" s="211"/>
      <c r="CB7" s="81" t="s">
        <v>469</v>
      </c>
      <c r="CC7" s="204">
        <v>292</v>
      </c>
      <c r="CD7" s="204">
        <v>6.6199999999999995E-2</v>
      </c>
      <c r="CH7" s="81" t="s">
        <v>465</v>
      </c>
      <c r="CI7" s="204">
        <v>292</v>
      </c>
      <c r="CJ7" s="204">
        <v>0.10299999999999999</v>
      </c>
      <c r="CK7" s="81">
        <v>2836.8</v>
      </c>
      <c r="CL7" s="81" t="s">
        <v>505</v>
      </c>
      <c r="CN7" s="81" t="s">
        <v>465</v>
      </c>
      <c r="CO7" s="204">
        <v>290</v>
      </c>
      <c r="CP7" s="204">
        <v>0.23599999999999999</v>
      </c>
      <c r="CQ7" s="81">
        <v>1228.6600000000001</v>
      </c>
      <c r="CR7" s="81" t="s">
        <v>509</v>
      </c>
      <c r="CS7" s="204">
        <v>2E-16</v>
      </c>
      <c r="CT7" s="81" t="s">
        <v>510</v>
      </c>
      <c r="CV7" s="212" t="s">
        <v>506</v>
      </c>
      <c r="CW7" s="81" t="s">
        <v>499</v>
      </c>
      <c r="DM7" s="287">
        <f t="shared" si="0"/>
        <v>0</v>
      </c>
      <c r="DN7" s="287">
        <f t="shared" si="1"/>
        <v>0</v>
      </c>
      <c r="DO7" s="287">
        <f t="shared" si="2"/>
        <v>0</v>
      </c>
      <c r="DQ7" s="290" t="s">
        <v>506</v>
      </c>
      <c r="DR7" s="290" t="s">
        <v>465</v>
      </c>
      <c r="DS7" s="291">
        <v>292</v>
      </c>
      <c r="DT7" s="291">
        <v>6.0600000000000001E-2</v>
      </c>
      <c r="DU7" s="290">
        <v>4828.5</v>
      </c>
      <c r="DV7" s="290" t="s">
        <v>509</v>
      </c>
      <c r="DW7" s="291">
        <v>2E-16</v>
      </c>
      <c r="DX7" s="81" t="s">
        <v>510</v>
      </c>
      <c r="DY7" s="212" t="s">
        <v>568</v>
      </c>
      <c r="DZ7" s="294" t="s">
        <v>571</v>
      </c>
      <c r="EA7" s="292" t="s">
        <v>434</v>
      </c>
      <c r="EB7" s="293">
        <f t="shared" si="11"/>
        <v>0.374</v>
      </c>
      <c r="EC7" s="212" t="s">
        <v>392</v>
      </c>
      <c r="EE7" s="160" t="s">
        <v>568</v>
      </c>
      <c r="EF7" s="323" t="s">
        <v>571</v>
      </c>
      <c r="EG7" s="322" t="s">
        <v>434</v>
      </c>
      <c r="EH7" s="160">
        <f>$O$12*$Z$37*$AP$4</f>
        <v>0.31848097526613056</v>
      </c>
      <c r="EI7" s="160" t="s">
        <v>392</v>
      </c>
    </row>
    <row r="8" spans="1:139" ht="15" customHeight="1" thickTop="1" thickBot="1" x14ac:dyDescent="0.3">
      <c r="A8" s="226" t="s">
        <v>47</v>
      </c>
      <c r="B8" s="229">
        <f>B6-B7</f>
        <v>120.6</v>
      </c>
      <c r="C8" s="221"/>
      <c r="D8" s="226" t="s">
        <v>48</v>
      </c>
      <c r="E8" s="221" t="s">
        <v>36</v>
      </c>
      <c r="F8" s="227">
        <f t="shared" si="5"/>
        <v>0.13196480938416422</v>
      </c>
      <c r="G8" s="221"/>
      <c r="H8" s="228">
        <f>'Tabula data'!B24*C45</f>
        <v>4.5</v>
      </c>
      <c r="I8" s="240"/>
      <c r="K8" s="81" t="s">
        <v>44</v>
      </c>
      <c r="L8" s="250">
        <v>0</v>
      </c>
      <c r="M8" s="251">
        <v>1</v>
      </c>
      <c r="N8" s="251" t="s">
        <v>25</v>
      </c>
      <c r="O8" s="252">
        <f>O6</f>
        <v>17.590457494591035</v>
      </c>
      <c r="P8" s="253" t="s">
        <v>45</v>
      </c>
      <c r="Q8" s="30">
        <f t="shared" si="6"/>
        <v>0.36462385321100915</v>
      </c>
      <c r="R8" s="30">
        <f t="shared" si="7"/>
        <v>6.4139003914222572</v>
      </c>
      <c r="S8" s="30">
        <f t="shared" si="8"/>
        <v>4479191.8793246746</v>
      </c>
      <c r="T8" s="30">
        <f t="shared" si="9"/>
        <v>254637.6</v>
      </c>
      <c r="U8" s="30">
        <f t="shared" si="10"/>
        <v>2356769.4951253068</v>
      </c>
      <c r="V8" s="31"/>
      <c r="W8" s="3"/>
      <c r="X8" s="220"/>
      <c r="Y8" s="221" t="s">
        <v>46</v>
      </c>
      <c r="Z8" s="221">
        <v>0</v>
      </c>
      <c r="AA8" s="221">
        <v>0</v>
      </c>
      <c r="AB8" s="221">
        <v>0</v>
      </c>
      <c r="AC8" s="221">
        <v>0</v>
      </c>
      <c r="AD8" s="268">
        <v>0.16</v>
      </c>
      <c r="AE8" s="222">
        <f>Z8*AB8*AC8</f>
        <v>0</v>
      </c>
      <c r="AF8" s="14"/>
      <c r="AG8" s="14"/>
      <c r="AH8" s="14"/>
      <c r="AQ8" s="81" t="s">
        <v>392</v>
      </c>
      <c r="AR8" s="204"/>
      <c r="AV8" s="205"/>
      <c r="AW8" s="205"/>
      <c r="AX8" s="205"/>
      <c r="AY8" s="207"/>
      <c r="BA8" s="205"/>
      <c r="BT8" s="204">
        <f>AR8</f>
        <v>0</v>
      </c>
      <c r="BU8" s="81" t="s">
        <v>392</v>
      </c>
      <c r="BV8" s="204"/>
      <c r="CB8" s="81" t="s">
        <v>470</v>
      </c>
      <c r="CC8" s="204">
        <v>0.19500000000000001</v>
      </c>
      <c r="CD8" s="204">
        <v>1.0499999999999999E-3</v>
      </c>
      <c r="CH8" s="81" t="s">
        <v>466</v>
      </c>
      <c r="CI8" s="204">
        <v>291</v>
      </c>
      <c r="CJ8" s="204">
        <v>0.105</v>
      </c>
      <c r="CK8" s="81">
        <v>2780.29</v>
      </c>
      <c r="CL8" s="81" t="s">
        <v>505</v>
      </c>
      <c r="CN8" s="81" t="s">
        <v>466</v>
      </c>
      <c r="CO8" s="204">
        <v>285</v>
      </c>
      <c r="CP8" s="204">
        <v>0.35499999999999998</v>
      </c>
      <c r="CQ8" s="81">
        <v>802.92</v>
      </c>
      <c r="CR8" s="81" t="s">
        <v>509</v>
      </c>
      <c r="CS8" s="204">
        <v>2E-16</v>
      </c>
      <c r="CT8" s="81" t="s">
        <v>510</v>
      </c>
      <c r="CV8" s="212" t="s">
        <v>506</v>
      </c>
      <c r="CW8" s="81" t="s">
        <v>500</v>
      </c>
      <c r="CX8" s="81" t="s">
        <v>501</v>
      </c>
      <c r="CY8" s="81" t="s">
        <v>502</v>
      </c>
      <c r="CZ8" s="81" t="s">
        <v>503</v>
      </c>
      <c r="DA8" s="81" t="s">
        <v>504</v>
      </c>
      <c r="DB8" s="81" t="s">
        <v>508</v>
      </c>
      <c r="DL8" s="81" t="s">
        <v>396</v>
      </c>
      <c r="DM8" s="288">
        <f t="shared" si="0"/>
        <v>1904462.5600000003</v>
      </c>
      <c r="DN8" s="288">
        <f t="shared" si="1"/>
        <v>2850000</v>
      </c>
      <c r="DO8" s="288">
        <f t="shared" si="2"/>
        <v>3460000</v>
      </c>
      <c r="DQ8" s="290" t="s">
        <v>506</v>
      </c>
      <c r="DR8" s="290" t="s">
        <v>466</v>
      </c>
      <c r="DS8" s="291">
        <v>292</v>
      </c>
      <c r="DT8" s="291">
        <v>4.4499999999999998E-2</v>
      </c>
      <c r="DU8" s="290">
        <v>6566.03</v>
      </c>
      <c r="DV8" s="290" t="s">
        <v>509</v>
      </c>
      <c r="DW8" s="291">
        <v>2E-16</v>
      </c>
      <c r="DX8" s="81" t="s">
        <v>510</v>
      </c>
      <c r="DY8" s="212" t="s">
        <v>568</v>
      </c>
      <c r="DZ8" s="295" t="s">
        <v>572</v>
      </c>
      <c r="EA8" s="292" t="s">
        <v>434</v>
      </c>
      <c r="EB8" s="293">
        <f t="shared" si="11"/>
        <v>0.36199999999999999</v>
      </c>
      <c r="EC8" s="212" t="s">
        <v>392</v>
      </c>
      <c r="EE8" s="160" t="s">
        <v>568</v>
      </c>
      <c r="EF8" s="324" t="s">
        <v>572</v>
      </c>
      <c r="EG8" s="322" t="s">
        <v>434</v>
      </c>
      <c r="EH8" s="160">
        <f>$O$13*$Z$37*$AP$4</f>
        <v>0.35740642779865767</v>
      </c>
      <c r="EI8" s="160" t="s">
        <v>392</v>
      </c>
    </row>
    <row r="9" spans="1:139" ht="15" customHeight="1" thickTop="1" thickBot="1" x14ac:dyDescent="0.3">
      <c r="A9" s="220"/>
      <c r="B9" s="221"/>
      <c r="C9" s="221"/>
      <c r="D9" s="226" t="s">
        <v>52</v>
      </c>
      <c r="E9" s="231" t="s">
        <v>36</v>
      </c>
      <c r="F9" s="227">
        <f t="shared" si="5"/>
        <v>0.14809384164222872</v>
      </c>
      <c r="G9" s="221"/>
      <c r="H9" s="228">
        <f>'Tabula data'!B25*'Tabula RefULG 2'!C45</f>
        <v>5.05</v>
      </c>
      <c r="I9" s="240"/>
      <c r="K9" s="81" t="s">
        <v>49</v>
      </c>
      <c r="L9" s="250">
        <v>0</v>
      </c>
      <c r="M9" s="251">
        <v>1</v>
      </c>
      <c r="N9" s="251" t="s">
        <v>25</v>
      </c>
      <c r="O9" s="252">
        <v>0</v>
      </c>
      <c r="P9" s="253" t="s">
        <v>50</v>
      </c>
      <c r="Q9" s="30">
        <f t="shared" si="6"/>
        <v>0.36462385321100915</v>
      </c>
      <c r="R9" s="30">
        <f t="shared" si="7"/>
        <v>0</v>
      </c>
      <c r="S9" s="30">
        <f t="shared" si="8"/>
        <v>0</v>
      </c>
      <c r="T9" s="30" t="e">
        <f t="shared" si="9"/>
        <v>#DIV/0!</v>
      </c>
      <c r="U9" s="30">
        <f t="shared" si="10"/>
        <v>0</v>
      </c>
      <c r="V9" s="31"/>
      <c r="W9" s="3"/>
      <c r="X9" s="220"/>
      <c r="Y9" s="231" t="s">
        <v>267</v>
      </c>
      <c r="Z9" s="320">
        <v>0.12</v>
      </c>
      <c r="AA9" s="221">
        <v>3.5999999999999997E-2</v>
      </c>
      <c r="AB9" s="221">
        <v>80</v>
      </c>
      <c r="AC9" s="221">
        <v>1470</v>
      </c>
      <c r="AD9" s="268">
        <f>Z9/AA9</f>
        <v>3.3333333333333335</v>
      </c>
      <c r="AE9" s="222">
        <f>Z9*AB9*AC9</f>
        <v>14112</v>
      </c>
      <c r="AF9" s="14"/>
      <c r="AG9" s="14"/>
      <c r="AH9" s="14"/>
      <c r="AM9" s="154" t="s">
        <v>389</v>
      </c>
      <c r="AN9" s="81" t="s">
        <v>390</v>
      </c>
      <c r="AO9" s="81" t="s">
        <v>396</v>
      </c>
      <c r="AP9" s="204">
        <f>B34*1.04*1012*5</f>
        <v>1904462.5600000003</v>
      </c>
      <c r="AQ9" s="81" t="s">
        <v>392</v>
      </c>
      <c r="AR9" s="204">
        <v>2850000</v>
      </c>
      <c r="AV9" s="205" t="s">
        <v>389</v>
      </c>
      <c r="AW9" s="205" t="s">
        <v>390</v>
      </c>
      <c r="AX9" s="205" t="s">
        <v>396</v>
      </c>
      <c r="AY9" s="207" t="s">
        <v>434</v>
      </c>
      <c r="AZ9" s="206">
        <f t="shared" si="3"/>
        <v>3460000</v>
      </c>
      <c r="BA9" s="205" t="s">
        <v>392</v>
      </c>
      <c r="BF9" s="81" t="s">
        <v>285</v>
      </c>
      <c r="BG9" s="81">
        <f>AP21</f>
        <v>199.08073338295438</v>
      </c>
      <c r="BJ9" s="81" t="s">
        <v>443</v>
      </c>
      <c r="BK9" s="204">
        <f>BG5</f>
        <v>8856365.1000000015</v>
      </c>
      <c r="BQ9" s="154" t="s">
        <v>389</v>
      </c>
      <c r="BR9" s="81" t="s">
        <v>390</v>
      </c>
      <c r="BS9" s="81" t="s">
        <v>396</v>
      </c>
      <c r="BT9" s="204">
        <f>AR9</f>
        <v>2850000</v>
      </c>
      <c r="BU9" s="81" t="s">
        <v>392</v>
      </c>
      <c r="BV9" s="204">
        <v>2850000</v>
      </c>
      <c r="BZ9" s="211">
        <f>CC15</f>
        <v>3460000</v>
      </c>
      <c r="CA9" s="211"/>
      <c r="CB9" s="81" t="s">
        <v>471</v>
      </c>
      <c r="CC9" s="204">
        <v>0.38800000000000001</v>
      </c>
      <c r="CD9" s="204">
        <v>1.15E-3</v>
      </c>
      <c r="CH9" s="81" t="s">
        <v>467</v>
      </c>
      <c r="CI9" s="204">
        <v>294</v>
      </c>
      <c r="CJ9" s="204">
        <v>5.4199999999999998E-2</v>
      </c>
      <c r="CK9" s="81">
        <v>5435.78</v>
      </c>
      <c r="CL9" s="81" t="s">
        <v>505</v>
      </c>
      <c r="CN9" s="81" t="s">
        <v>467</v>
      </c>
      <c r="CO9" s="204">
        <v>291</v>
      </c>
      <c r="CP9" s="204">
        <v>0.127</v>
      </c>
      <c r="CQ9" s="81">
        <v>2291.35</v>
      </c>
      <c r="CR9" s="81" t="s">
        <v>509</v>
      </c>
      <c r="CS9" s="204">
        <v>2E-16</v>
      </c>
      <c r="CT9" s="81" t="s">
        <v>510</v>
      </c>
      <c r="CV9" s="212" t="s">
        <v>506</v>
      </c>
      <c r="CW9" s="81" t="s">
        <v>522</v>
      </c>
      <c r="CX9" s="204">
        <v>294</v>
      </c>
      <c r="CY9" s="204">
        <v>3.8399999999999998E-5</v>
      </c>
      <c r="CZ9" s="81">
        <v>7667965</v>
      </c>
      <c r="DA9" s="81" t="s">
        <v>505</v>
      </c>
      <c r="DB9" s="81" t="s">
        <v>510</v>
      </c>
      <c r="DL9" s="81" t="s">
        <v>397</v>
      </c>
      <c r="DM9" s="288">
        <f t="shared" si="0"/>
        <v>8856365.1000000015</v>
      </c>
      <c r="DN9" s="288">
        <f t="shared" si="1"/>
        <v>19700000</v>
      </c>
      <c r="DO9" s="288">
        <f t="shared" si="2"/>
        <v>23000000</v>
      </c>
      <c r="DQ9" s="290" t="s">
        <v>506</v>
      </c>
      <c r="DR9" s="290" t="s">
        <v>467</v>
      </c>
      <c r="DS9" s="291">
        <v>295</v>
      </c>
      <c r="DT9" s="291">
        <v>3.61E-2</v>
      </c>
      <c r="DU9" s="290">
        <v>8189.14</v>
      </c>
      <c r="DV9" s="290" t="s">
        <v>509</v>
      </c>
      <c r="DW9" s="291">
        <v>2E-16</v>
      </c>
      <c r="DX9" s="81" t="s">
        <v>510</v>
      </c>
      <c r="DY9" s="212" t="s">
        <v>568</v>
      </c>
      <c r="DZ9" s="295" t="s">
        <v>573</v>
      </c>
      <c r="EA9" s="292" t="s">
        <v>434</v>
      </c>
      <c r="EB9" s="293">
        <f t="shared" si="11"/>
        <v>0.67500000000000004</v>
      </c>
      <c r="EC9" s="212" t="s">
        <v>392</v>
      </c>
      <c r="EE9" s="160" t="s">
        <v>568</v>
      </c>
      <c r="EF9" s="324" t="s">
        <v>573</v>
      </c>
      <c r="EG9" s="322" t="s">
        <v>434</v>
      </c>
      <c r="EH9" s="160">
        <f>$O$11*$Z$37*$AP$5</f>
        <v>0.60255463209466087</v>
      </c>
      <c r="EI9" s="160" t="s">
        <v>392</v>
      </c>
    </row>
    <row r="10" spans="1:139" ht="15" customHeight="1" thickTop="1" thickBot="1" x14ac:dyDescent="0.3">
      <c r="A10" s="220"/>
      <c r="B10" s="221"/>
      <c r="C10" s="221"/>
      <c r="D10" s="226" t="s">
        <v>35</v>
      </c>
      <c r="E10" s="231" t="s">
        <v>56</v>
      </c>
      <c r="F10" s="227">
        <f t="shared" si="5"/>
        <v>0.11876832844574779</v>
      </c>
      <c r="G10" s="221"/>
      <c r="H10" s="232">
        <f>'Tabula data'!B22*(1-C45)</f>
        <v>4.05</v>
      </c>
      <c r="I10" s="238"/>
      <c r="K10" s="81" t="s">
        <v>53</v>
      </c>
      <c r="L10" s="250">
        <v>0</v>
      </c>
      <c r="M10" s="251">
        <v>1</v>
      </c>
      <c r="N10" s="251" t="s">
        <v>54</v>
      </c>
      <c r="O10" s="252">
        <f>H6</f>
        <v>4.05</v>
      </c>
      <c r="P10" s="253" t="s">
        <v>26</v>
      </c>
      <c r="Q10" s="30">
        <f t="shared" si="6"/>
        <v>2</v>
      </c>
      <c r="R10" s="30">
        <f t="shared" si="7"/>
        <v>8.1</v>
      </c>
      <c r="S10" s="30">
        <f t="shared" si="8"/>
        <v>0</v>
      </c>
      <c r="T10" s="30">
        <f t="shared" si="9"/>
        <v>0</v>
      </c>
      <c r="U10" s="30">
        <f t="shared" si="10"/>
        <v>0</v>
      </c>
      <c r="V10" s="31"/>
      <c r="W10" s="3"/>
      <c r="X10" s="237"/>
      <c r="Y10" s="219" t="s">
        <v>58</v>
      </c>
      <c r="Z10" s="219">
        <v>0.02</v>
      </c>
      <c r="AA10" s="219">
        <v>0.6</v>
      </c>
      <c r="AB10" s="219">
        <v>975</v>
      </c>
      <c r="AC10" s="219">
        <v>840</v>
      </c>
      <c r="AD10" s="269">
        <f>Z10/AA10</f>
        <v>3.3333333333333333E-2</v>
      </c>
      <c r="AE10" s="242">
        <f>Z10*AB10*AC10</f>
        <v>16380</v>
      </c>
      <c r="AF10" s="14"/>
      <c r="AG10" s="14"/>
      <c r="AH10" s="14"/>
      <c r="AM10" s="154" t="s">
        <v>389</v>
      </c>
      <c r="AN10" s="81" t="s">
        <v>390</v>
      </c>
      <c r="AO10" s="81" t="s">
        <v>397</v>
      </c>
      <c r="AP10" s="204">
        <f>SUM(U6:U9)</f>
        <v>8856365.1000000015</v>
      </c>
      <c r="AQ10" s="81" t="s">
        <v>392</v>
      </c>
      <c r="AR10" s="204">
        <v>19700000</v>
      </c>
      <c r="AV10" s="205" t="s">
        <v>389</v>
      </c>
      <c r="AW10" s="205" t="s">
        <v>390</v>
      </c>
      <c r="AX10" s="205" t="s">
        <v>397</v>
      </c>
      <c r="AY10" s="207" t="s">
        <v>434</v>
      </c>
      <c r="AZ10" s="206">
        <f t="shared" si="3"/>
        <v>23000000</v>
      </c>
      <c r="BA10" s="205" t="s">
        <v>392</v>
      </c>
      <c r="BF10" s="81" t="s">
        <v>293</v>
      </c>
      <c r="BG10" s="204">
        <f>AP11</f>
        <v>6524281.5000000019</v>
      </c>
      <c r="BJ10" s="81" t="s">
        <v>444</v>
      </c>
      <c r="BK10" s="204">
        <f>BG26</f>
        <v>28533212.399999999</v>
      </c>
      <c r="BQ10" s="154" t="s">
        <v>389</v>
      </c>
      <c r="BR10" s="81" t="s">
        <v>390</v>
      </c>
      <c r="BS10" s="81" t="s">
        <v>397</v>
      </c>
      <c r="BT10" s="204">
        <f t="shared" ref="BT10:BT12" si="12">AR10</f>
        <v>19700000</v>
      </c>
      <c r="BU10" s="81" t="s">
        <v>392</v>
      </c>
      <c r="BV10" s="204">
        <v>19700000</v>
      </c>
      <c r="BZ10" s="211">
        <f>CC16</f>
        <v>23000000</v>
      </c>
      <c r="CA10" s="211"/>
      <c r="CB10" s="81" t="s">
        <v>472</v>
      </c>
      <c r="CC10" s="204">
        <v>6.13E-2</v>
      </c>
      <c r="CD10" s="204">
        <v>5.5399999999999998E-3</v>
      </c>
      <c r="CH10" s="81" t="s">
        <v>468</v>
      </c>
      <c r="CI10" s="204">
        <v>290</v>
      </c>
      <c r="CJ10" s="204">
        <v>0.111</v>
      </c>
      <c r="CK10" s="81">
        <v>2606.75</v>
      </c>
      <c r="CL10" s="81" t="s">
        <v>505</v>
      </c>
      <c r="CN10" s="81" t="s">
        <v>468</v>
      </c>
      <c r="CO10" s="204">
        <v>294</v>
      </c>
      <c r="CP10" s="204">
        <v>0.20300000000000001</v>
      </c>
      <c r="CQ10" s="81">
        <v>1448.79</v>
      </c>
      <c r="CR10" s="81" t="s">
        <v>509</v>
      </c>
      <c r="CS10" s="204">
        <v>2E-16</v>
      </c>
      <c r="CT10" s="81" t="s">
        <v>510</v>
      </c>
      <c r="CV10" s="212" t="s">
        <v>506</v>
      </c>
      <c r="CW10" s="81" t="s">
        <v>523</v>
      </c>
      <c r="CX10" s="204">
        <v>294</v>
      </c>
      <c r="CY10" s="204">
        <v>2.7399999999999999E-5</v>
      </c>
      <c r="CZ10" s="81">
        <v>10703458</v>
      </c>
      <c r="DA10" s="81" t="s">
        <v>505</v>
      </c>
      <c r="DB10" s="81" t="s">
        <v>510</v>
      </c>
      <c r="DF10" s="81" t="s">
        <v>389</v>
      </c>
      <c r="DG10" s="81" t="s">
        <v>390</v>
      </c>
      <c r="DH10" s="81" t="str">
        <f>CW17</f>
        <v>abs1D</v>
      </c>
      <c r="DI10" s="81" t="s">
        <v>434</v>
      </c>
      <c r="DJ10" s="204">
        <f>CX17</f>
        <v>0.17</v>
      </c>
      <c r="DK10" s="81" t="s">
        <v>392</v>
      </c>
      <c r="DL10" s="81" t="s">
        <v>398</v>
      </c>
      <c r="DM10" s="288">
        <f t="shared" si="0"/>
        <v>6524281.5000000019</v>
      </c>
      <c r="DN10" s="288">
        <f t="shared" si="1"/>
        <v>33400000</v>
      </c>
      <c r="DO10" s="288">
        <f t="shared" si="2"/>
        <v>28700000</v>
      </c>
      <c r="DQ10" s="290" t="s">
        <v>506</v>
      </c>
      <c r="DR10" s="290" t="s">
        <v>468</v>
      </c>
      <c r="DS10" s="291">
        <v>290</v>
      </c>
      <c r="DT10" s="291">
        <v>5.6000000000000001E-2</v>
      </c>
      <c r="DU10" s="290">
        <v>5184.99</v>
      </c>
      <c r="DV10" s="290" t="s">
        <v>509</v>
      </c>
      <c r="DW10" s="291">
        <v>2E-16</v>
      </c>
      <c r="DX10" s="81" t="s">
        <v>510</v>
      </c>
      <c r="DY10" s="212" t="s">
        <v>568</v>
      </c>
      <c r="DZ10" s="295" t="s">
        <v>574</v>
      </c>
      <c r="EA10" s="292" t="s">
        <v>434</v>
      </c>
      <c r="EB10" s="293">
        <f t="shared" si="11"/>
        <v>0.56799999999999995</v>
      </c>
      <c r="EC10" s="212" t="s">
        <v>392</v>
      </c>
      <c r="EE10" s="160" t="s">
        <v>568</v>
      </c>
      <c r="EF10" s="324" t="s">
        <v>574</v>
      </c>
      <c r="EG10" s="322" t="s">
        <v>434</v>
      </c>
      <c r="EH10" s="160">
        <f>$O$10*$Z$37*$AP$5</f>
        <v>0.70734674202416703</v>
      </c>
      <c r="EI10" s="160" t="s">
        <v>392</v>
      </c>
    </row>
    <row r="11" spans="1:139" ht="15" customHeight="1" thickTop="1" thickBot="1" x14ac:dyDescent="0.3">
      <c r="A11" s="220"/>
      <c r="B11" s="221"/>
      <c r="C11" s="221"/>
      <c r="D11" s="226" t="s">
        <v>43</v>
      </c>
      <c r="E11" s="231" t="s">
        <v>56</v>
      </c>
      <c r="F11" s="227">
        <f t="shared" si="5"/>
        <v>0.10117302052785924</v>
      </c>
      <c r="G11" s="221"/>
      <c r="H11" s="232">
        <f>'Tabula data'!B23*(1-'Tabula RefULG 2'!C45)</f>
        <v>3.45</v>
      </c>
      <c r="I11" s="238"/>
      <c r="K11" s="81" t="s">
        <v>57</v>
      </c>
      <c r="L11" s="250">
        <v>0</v>
      </c>
      <c r="M11" s="251">
        <v>1</v>
      </c>
      <c r="N11" s="251" t="s">
        <v>54</v>
      </c>
      <c r="O11" s="252">
        <f>H7</f>
        <v>3.45</v>
      </c>
      <c r="P11" s="253" t="s">
        <v>39</v>
      </c>
      <c r="Q11" s="30">
        <f t="shared" si="6"/>
        <v>2</v>
      </c>
      <c r="R11" s="30">
        <f t="shared" si="7"/>
        <v>6.9</v>
      </c>
      <c r="S11" s="30">
        <f t="shared" si="8"/>
        <v>0</v>
      </c>
      <c r="T11" s="30">
        <f t="shared" si="9"/>
        <v>0</v>
      </c>
      <c r="U11" s="30">
        <f t="shared" si="10"/>
        <v>0</v>
      </c>
      <c r="V11" s="31"/>
      <c r="W11" s="3"/>
      <c r="X11" s="221"/>
      <c r="Y11" s="221"/>
      <c r="Z11" s="270"/>
      <c r="AA11" s="270"/>
      <c r="AB11" s="270"/>
      <c r="AC11" s="221"/>
      <c r="AD11" s="268"/>
      <c r="AE11" s="221"/>
      <c r="AF11" s="14"/>
      <c r="AG11" s="14"/>
      <c r="AH11" s="14"/>
      <c r="AM11" s="154" t="s">
        <v>389</v>
      </c>
      <c r="AN11" s="81" t="s">
        <v>390</v>
      </c>
      <c r="AO11" s="81" t="s">
        <v>398</v>
      </c>
      <c r="AP11" s="204">
        <f>SUM(U27,U30)/2</f>
        <v>6524281.5000000019</v>
      </c>
      <c r="AQ11" s="81" t="s">
        <v>392</v>
      </c>
      <c r="AR11" s="204">
        <v>33400000</v>
      </c>
      <c r="AV11" s="205" t="s">
        <v>389</v>
      </c>
      <c r="AW11" s="205" t="s">
        <v>390</v>
      </c>
      <c r="AX11" s="205" t="s">
        <v>398</v>
      </c>
      <c r="AY11" s="207" t="s">
        <v>434</v>
      </c>
      <c r="AZ11" s="206">
        <f t="shared" si="3"/>
        <v>28700000</v>
      </c>
      <c r="BA11" s="205" t="s">
        <v>392</v>
      </c>
      <c r="BF11" s="81" t="s">
        <v>297</v>
      </c>
      <c r="BG11" s="81">
        <f>1/(1/AP48+1/AP49+1/AP50)</f>
        <v>93.608985024958415</v>
      </c>
      <c r="BJ11" s="81" t="s">
        <v>445</v>
      </c>
      <c r="BK11" s="204">
        <f>BG10</f>
        <v>6524281.5000000019</v>
      </c>
      <c r="BQ11" s="154" t="s">
        <v>389</v>
      </c>
      <c r="BR11" s="81" t="s">
        <v>390</v>
      </c>
      <c r="BS11" s="81" t="s">
        <v>398</v>
      </c>
      <c r="BT11" s="204">
        <f t="shared" si="12"/>
        <v>33400000</v>
      </c>
      <c r="BU11" s="81" t="s">
        <v>392</v>
      </c>
      <c r="BV11" s="204">
        <v>33400000</v>
      </c>
      <c r="BZ11" s="211">
        <f>CC17</f>
        <v>28700000</v>
      </c>
      <c r="CA11" s="211"/>
      <c r="CB11" s="81" t="s">
        <v>473</v>
      </c>
      <c r="CC11" s="204">
        <v>0.17799999999999999</v>
      </c>
      <c r="CD11" s="204">
        <v>5.53E-4</v>
      </c>
      <c r="CH11" s="81" t="s">
        <v>469</v>
      </c>
      <c r="CI11" s="204">
        <v>292</v>
      </c>
      <c r="CJ11" s="204">
        <v>6.6199999999999995E-2</v>
      </c>
      <c r="CK11" s="81">
        <v>4411.26</v>
      </c>
      <c r="CL11" s="81" t="s">
        <v>505</v>
      </c>
      <c r="CN11" s="81" t="s">
        <v>470</v>
      </c>
      <c r="CO11" s="204">
        <v>0.44800000000000001</v>
      </c>
      <c r="CP11" s="204">
        <v>1.03E-2</v>
      </c>
      <c r="CQ11" s="81">
        <v>43.34</v>
      </c>
      <c r="CR11" s="81" t="s">
        <v>509</v>
      </c>
      <c r="CS11" s="204">
        <v>2E-16</v>
      </c>
      <c r="CT11" s="81" t="s">
        <v>510</v>
      </c>
      <c r="CV11" s="212" t="s">
        <v>506</v>
      </c>
      <c r="CW11" s="81" t="s">
        <v>524</v>
      </c>
      <c r="CX11" s="204">
        <v>296</v>
      </c>
      <c r="CY11" s="204">
        <v>2.55E-5</v>
      </c>
      <c r="CZ11" s="81">
        <v>11580092</v>
      </c>
      <c r="DA11" s="81" t="s">
        <v>505</v>
      </c>
      <c r="DB11" s="81" t="s">
        <v>510</v>
      </c>
      <c r="DF11" s="81" t="s">
        <v>389</v>
      </c>
      <c r="DG11" s="81" t="s">
        <v>390</v>
      </c>
      <c r="DH11" s="81" t="str">
        <f t="shared" ref="DH11:DH56" si="13">CW18</f>
        <v>abs1N</v>
      </c>
      <c r="DI11" s="81" t="s">
        <v>434</v>
      </c>
      <c r="DJ11" s="204">
        <f t="shared" ref="DJ11:DJ56" si="14">CX18</f>
        <v>0.45</v>
      </c>
      <c r="DK11" s="81" t="s">
        <v>392</v>
      </c>
      <c r="DL11" s="81" t="s">
        <v>399</v>
      </c>
      <c r="DM11" s="288">
        <f t="shared" si="0"/>
        <v>11473264</v>
      </c>
      <c r="DN11" s="288">
        <f t="shared" si="1"/>
        <v>14800000</v>
      </c>
      <c r="DO11" s="288">
        <f t="shared" si="2"/>
        <v>14600000</v>
      </c>
      <c r="DQ11" s="290" t="s">
        <v>506</v>
      </c>
      <c r="DR11" s="290" t="s">
        <v>469</v>
      </c>
      <c r="DS11" s="291">
        <v>294</v>
      </c>
      <c r="DT11" s="291">
        <v>3.78E-2</v>
      </c>
      <c r="DU11" s="290">
        <v>7767.96</v>
      </c>
      <c r="DV11" s="290" t="s">
        <v>509</v>
      </c>
      <c r="DW11" s="291">
        <v>2E-16</v>
      </c>
      <c r="DX11" s="81" t="s">
        <v>510</v>
      </c>
      <c r="DY11" s="212" t="s">
        <v>568</v>
      </c>
      <c r="DZ11" s="295" t="s">
        <v>575</v>
      </c>
      <c r="EA11" s="292" t="s">
        <v>434</v>
      </c>
      <c r="EB11" s="293">
        <f t="shared" si="11"/>
        <v>0.69299999999999995</v>
      </c>
      <c r="EC11" s="212" t="s">
        <v>392</v>
      </c>
      <c r="EE11" s="160" t="s">
        <v>568</v>
      </c>
      <c r="EF11" s="324" t="s">
        <v>575</v>
      </c>
      <c r="EG11" s="322" t="s">
        <v>434</v>
      </c>
      <c r="EH11" s="160">
        <f>$O$12*$Z$37*$AP$5</f>
        <v>0.78594082447129676</v>
      </c>
      <c r="EI11" s="160" t="s">
        <v>392</v>
      </c>
    </row>
    <row r="12" spans="1:139" ht="15" customHeight="1" thickTop="1" thickBot="1" x14ac:dyDescent="0.3">
      <c r="A12" s="220"/>
      <c r="B12" s="221"/>
      <c r="C12" s="221"/>
      <c r="D12" s="226" t="s">
        <v>48</v>
      </c>
      <c r="E12" s="231" t="s">
        <v>56</v>
      </c>
      <c r="F12" s="227">
        <f t="shared" si="5"/>
        <v>0.13196480938416422</v>
      </c>
      <c r="G12" s="221"/>
      <c r="H12" s="232">
        <f>'Tabula data'!B24*(1-'Tabula RefULG 2'!C45)</f>
        <v>4.5</v>
      </c>
      <c r="I12" s="238"/>
      <c r="K12" s="81" t="s">
        <v>59</v>
      </c>
      <c r="L12" s="250">
        <v>0</v>
      </c>
      <c r="M12" s="251">
        <v>1</v>
      </c>
      <c r="N12" s="251" t="s">
        <v>54</v>
      </c>
      <c r="O12" s="252">
        <f>H8</f>
        <v>4.5</v>
      </c>
      <c r="P12" s="253" t="s">
        <v>45</v>
      </c>
      <c r="Q12" s="30">
        <f t="shared" si="6"/>
        <v>2</v>
      </c>
      <c r="R12" s="30">
        <f t="shared" si="7"/>
        <v>9</v>
      </c>
      <c r="S12" s="30">
        <f t="shared" si="8"/>
        <v>0</v>
      </c>
      <c r="T12" s="30">
        <f t="shared" si="9"/>
        <v>0</v>
      </c>
      <c r="U12" s="30">
        <f t="shared" si="10"/>
        <v>0</v>
      </c>
      <c r="V12" s="31"/>
      <c r="W12" s="3"/>
      <c r="X12" s="258"/>
      <c r="Y12" s="258"/>
      <c r="Z12" s="259" t="s">
        <v>4</v>
      </c>
      <c r="AA12" s="259">
        <v>0.6</v>
      </c>
      <c r="AB12" s="259" t="s">
        <v>5</v>
      </c>
      <c r="AC12" s="258"/>
      <c r="AD12" s="258"/>
      <c r="AE12" s="258"/>
      <c r="AF12" s="14"/>
      <c r="AG12" s="14"/>
      <c r="AH12" s="14"/>
      <c r="AM12" s="154" t="s">
        <v>389</v>
      </c>
      <c r="AN12" s="81" t="s">
        <v>390</v>
      </c>
      <c r="AO12" s="81" t="s">
        <v>399</v>
      </c>
      <c r="AP12" s="204">
        <f>SUM(U14)</f>
        <v>11473264</v>
      </c>
      <c r="AQ12" s="81" t="s">
        <v>392</v>
      </c>
      <c r="AR12" s="204">
        <v>14800000</v>
      </c>
      <c r="AV12" s="205" t="s">
        <v>389</v>
      </c>
      <c r="AW12" s="205" t="s">
        <v>390</v>
      </c>
      <c r="AX12" s="205" t="s">
        <v>399</v>
      </c>
      <c r="AY12" s="207" t="s">
        <v>434</v>
      </c>
      <c r="AZ12" s="206">
        <f t="shared" si="3"/>
        <v>14600000</v>
      </c>
      <c r="BA12" s="205" t="s">
        <v>392</v>
      </c>
      <c r="BF12" s="81" t="s">
        <v>298</v>
      </c>
      <c r="BG12" s="81">
        <f>AP44+AP45</f>
        <v>41572722.000000007</v>
      </c>
      <c r="BJ12" s="81" t="s">
        <v>446</v>
      </c>
      <c r="BK12" s="204">
        <f>BG26</f>
        <v>28533212.399999999</v>
      </c>
      <c r="BQ12" s="154" t="s">
        <v>389</v>
      </c>
      <c r="BR12" s="81" t="s">
        <v>390</v>
      </c>
      <c r="BS12" s="81" t="s">
        <v>399</v>
      </c>
      <c r="BT12" s="204">
        <f t="shared" si="12"/>
        <v>14800000</v>
      </c>
      <c r="BU12" s="81" t="s">
        <v>392</v>
      </c>
      <c r="BV12" s="204">
        <v>14800000</v>
      </c>
      <c r="BZ12" s="211">
        <f>CC14</f>
        <v>14600000</v>
      </c>
      <c r="CA12" s="211"/>
      <c r="CB12" s="81" t="s">
        <v>474</v>
      </c>
      <c r="CC12" s="204">
        <v>0.14199999999999999</v>
      </c>
      <c r="CD12" s="204">
        <v>6.4000000000000005E-4</v>
      </c>
      <c r="CH12" s="81" t="s">
        <v>470</v>
      </c>
      <c r="CI12" s="204">
        <v>0.19500000000000001</v>
      </c>
      <c r="CJ12" s="204">
        <v>1.0499999999999999E-3</v>
      </c>
      <c r="CK12" s="81">
        <v>184.38</v>
      </c>
      <c r="CL12" s="81" t="s">
        <v>505</v>
      </c>
      <c r="CN12" s="81" t="s">
        <v>471</v>
      </c>
      <c r="CO12" s="204">
        <v>0.15</v>
      </c>
      <c r="CP12" s="204">
        <v>2E-3</v>
      </c>
      <c r="CQ12" s="81">
        <v>75.25</v>
      </c>
      <c r="CR12" s="81" t="s">
        <v>509</v>
      </c>
      <c r="CS12" s="204">
        <v>2E-16</v>
      </c>
      <c r="CT12" s="81" t="s">
        <v>510</v>
      </c>
      <c r="CV12" s="212" t="s">
        <v>506</v>
      </c>
      <c r="CW12" s="81" t="s">
        <v>513</v>
      </c>
      <c r="CX12" s="204">
        <v>295</v>
      </c>
      <c r="CY12" s="204">
        <v>2.5500000000000002E-4</v>
      </c>
      <c r="CZ12" s="81">
        <v>1156688</v>
      </c>
      <c r="DA12" s="81" t="s">
        <v>505</v>
      </c>
      <c r="DB12" s="81" t="s">
        <v>510</v>
      </c>
      <c r="DF12" s="81" t="s">
        <v>389</v>
      </c>
      <c r="DG12" s="81" t="s">
        <v>390</v>
      </c>
      <c r="DH12" s="81" t="str">
        <f t="shared" si="13"/>
        <v>abs2D</v>
      </c>
      <c r="DI12" s="81" t="s">
        <v>434</v>
      </c>
      <c r="DJ12" s="204">
        <f t="shared" si="14"/>
        <v>0.42</v>
      </c>
      <c r="DK12" s="81" t="s">
        <v>392</v>
      </c>
      <c r="DM12" s="287">
        <f t="shared" si="0"/>
        <v>0</v>
      </c>
      <c r="DN12" s="287">
        <f t="shared" si="1"/>
        <v>0</v>
      </c>
      <c r="DO12" s="287">
        <f t="shared" si="2"/>
        <v>0</v>
      </c>
      <c r="DQ12" s="290" t="s">
        <v>506</v>
      </c>
      <c r="DR12" s="290" t="s">
        <v>541</v>
      </c>
      <c r="DS12" s="291">
        <v>0.29899999999999999</v>
      </c>
      <c r="DT12" s="291">
        <v>1.17E-2</v>
      </c>
      <c r="DU12" s="290">
        <v>25.66</v>
      </c>
      <c r="DV12" s="290" t="s">
        <v>509</v>
      </c>
      <c r="DW12" s="291">
        <v>2E-16</v>
      </c>
      <c r="DX12" s="81" t="s">
        <v>510</v>
      </c>
      <c r="DY12" s="212" t="s">
        <v>568</v>
      </c>
      <c r="DZ12" s="294" t="s">
        <v>576</v>
      </c>
      <c r="EA12" s="292" t="s">
        <v>434</v>
      </c>
      <c r="EB12" s="293">
        <f t="shared" si="11"/>
        <v>0.77600000000000002</v>
      </c>
      <c r="EC12" s="212" t="s">
        <v>392</v>
      </c>
      <c r="EE12" s="160" t="s">
        <v>568</v>
      </c>
      <c r="EF12" s="323" t="s">
        <v>576</v>
      </c>
      <c r="EG12" s="322" t="s">
        <v>434</v>
      </c>
      <c r="EH12" s="160">
        <f>$O$13*$Z$37*$AP$5</f>
        <v>0.88200025857334419</v>
      </c>
      <c r="EI12" s="160" t="s">
        <v>392</v>
      </c>
    </row>
    <row r="13" spans="1:139" ht="15" customHeight="1" thickTop="1" thickBot="1" x14ac:dyDescent="0.3">
      <c r="A13" s="220"/>
      <c r="B13" s="221"/>
      <c r="C13" s="221"/>
      <c r="D13" s="226" t="s">
        <v>52</v>
      </c>
      <c r="E13" s="231" t="s">
        <v>56</v>
      </c>
      <c r="F13" s="227">
        <f t="shared" si="5"/>
        <v>0.14809384164222872</v>
      </c>
      <c r="G13" s="221"/>
      <c r="H13" s="232">
        <f>'Tabula data'!B25*(1-'Tabula RefULG 2'!C45)</f>
        <v>5.05</v>
      </c>
      <c r="I13" s="238"/>
      <c r="K13" s="81" t="s">
        <v>60</v>
      </c>
      <c r="L13" s="250">
        <v>0</v>
      </c>
      <c r="M13" s="251">
        <v>1</v>
      </c>
      <c r="N13" s="251" t="s">
        <v>54</v>
      </c>
      <c r="O13" s="252">
        <f>H9</f>
        <v>5.05</v>
      </c>
      <c r="P13" s="253" t="s">
        <v>50</v>
      </c>
      <c r="Q13" s="30">
        <f t="shared" si="6"/>
        <v>2</v>
      </c>
      <c r="R13" s="30">
        <f t="shared" si="7"/>
        <v>10.1</v>
      </c>
      <c r="S13" s="30">
        <f t="shared" si="8"/>
        <v>0</v>
      </c>
      <c r="T13" s="30">
        <f t="shared" si="9"/>
        <v>0</v>
      </c>
      <c r="U13" s="30">
        <f t="shared" si="10"/>
        <v>0</v>
      </c>
      <c r="V13" s="31"/>
      <c r="W13" s="3"/>
      <c r="X13" s="260" t="s">
        <v>64</v>
      </c>
      <c r="Y13" s="261"/>
      <c r="Z13" s="262" t="s">
        <v>21</v>
      </c>
      <c r="AA13" s="263">
        <f>1/(1/8+SUM(AD15:AD19)+1/23)</f>
        <v>0.36462385321100915</v>
      </c>
      <c r="AB13" s="261" t="s">
        <v>5</v>
      </c>
      <c r="AC13" s="261"/>
      <c r="AD13" s="261" t="s">
        <v>22</v>
      </c>
      <c r="AE13" s="264">
        <f>SUM(AE15:AE20)</f>
        <v>254637.6</v>
      </c>
      <c r="AF13" s="14" t="s">
        <v>23</v>
      </c>
      <c r="AG13" s="14">
        <f>SUM(AE18:AE19)</f>
        <v>133980</v>
      </c>
      <c r="AH13" s="14"/>
      <c r="AP13" s="204"/>
      <c r="AQ13" s="81" t="s">
        <v>392</v>
      </c>
      <c r="AR13" s="204"/>
      <c r="AV13" s="205"/>
      <c r="AW13" s="205"/>
      <c r="AX13" s="205"/>
      <c r="AY13" s="207"/>
      <c r="BA13" s="205"/>
      <c r="BT13" s="204"/>
      <c r="BU13" s="81" t="s">
        <v>392</v>
      </c>
      <c r="BV13" s="204"/>
      <c r="CB13" s="81" t="s">
        <v>298</v>
      </c>
      <c r="CC13" s="204">
        <v>995000000</v>
      </c>
      <c r="CD13" s="204">
        <v>22500000</v>
      </c>
      <c r="CH13" s="81" t="s">
        <v>471</v>
      </c>
      <c r="CI13" s="204">
        <v>0.38800000000000001</v>
      </c>
      <c r="CJ13" s="204">
        <v>1.15E-3</v>
      </c>
      <c r="CK13" s="81">
        <v>338.41</v>
      </c>
      <c r="CL13" s="81" t="s">
        <v>505</v>
      </c>
      <c r="CN13" s="81" t="s">
        <v>472</v>
      </c>
      <c r="CO13" s="204">
        <v>4.4699999999999997E-2</v>
      </c>
      <c r="CP13" s="204">
        <v>0.02</v>
      </c>
      <c r="CQ13" s="81">
        <v>2.23</v>
      </c>
      <c r="CR13" s="81">
        <v>2.5999999999999999E-2</v>
      </c>
      <c r="CS13" s="81" t="s">
        <v>511</v>
      </c>
      <c r="CV13" s="212" t="s">
        <v>506</v>
      </c>
      <c r="CW13" s="81" t="s">
        <v>514</v>
      </c>
      <c r="CX13" s="204">
        <v>294</v>
      </c>
      <c r="CY13" s="204">
        <v>2.5700000000000001E-4</v>
      </c>
      <c r="CZ13" s="81">
        <v>1144487</v>
      </c>
      <c r="DA13" s="81" t="s">
        <v>505</v>
      </c>
      <c r="DB13" s="81" t="s">
        <v>510</v>
      </c>
      <c r="DF13" s="81" t="s">
        <v>389</v>
      </c>
      <c r="DG13" s="81" t="s">
        <v>390</v>
      </c>
      <c r="DH13" s="81" t="str">
        <f t="shared" si="13"/>
        <v>abs2N</v>
      </c>
      <c r="DI13" s="81" t="s">
        <v>434</v>
      </c>
      <c r="DJ13" s="204">
        <f t="shared" si="14"/>
        <v>0.15</v>
      </c>
      <c r="DK13" s="81" t="s">
        <v>392</v>
      </c>
      <c r="DL13" s="81" t="s">
        <v>400</v>
      </c>
      <c r="DM13" s="286">
        <f t="shared" si="0"/>
        <v>4.5174606420727743E-2</v>
      </c>
      <c r="DN13" s="286">
        <f t="shared" si="1"/>
        <v>0.112</v>
      </c>
      <c r="DO13" s="286">
        <f t="shared" si="2"/>
        <v>6.9400000000000003E-2</v>
      </c>
      <c r="DQ13" s="290" t="s">
        <v>506</v>
      </c>
      <c r="DR13" s="290" t="s">
        <v>410</v>
      </c>
      <c r="DS13" s="291">
        <v>0.35199999999999998</v>
      </c>
      <c r="DT13" s="291">
        <v>2.7E-2</v>
      </c>
      <c r="DU13" s="290">
        <v>13.03</v>
      </c>
      <c r="DV13" s="291" t="s">
        <v>509</v>
      </c>
      <c r="DW13" s="291">
        <v>2E-16</v>
      </c>
      <c r="DX13" s="81" t="s">
        <v>510</v>
      </c>
      <c r="DY13" s="212" t="s">
        <v>568</v>
      </c>
      <c r="DZ13" s="296" t="s">
        <v>577</v>
      </c>
      <c r="EA13" s="292" t="s">
        <v>434</v>
      </c>
      <c r="EB13" s="293">
        <f t="shared" si="11"/>
        <v>0.23</v>
      </c>
      <c r="EC13" s="212" t="s">
        <v>392</v>
      </c>
      <c r="EE13" s="160" t="s">
        <v>568</v>
      </c>
      <c r="EF13" s="325" t="s">
        <v>577</v>
      </c>
      <c r="EG13" s="322" t="s">
        <v>434</v>
      </c>
      <c r="EH13" s="160">
        <f>$O$11*$Z$37*$AP$6</f>
        <v>6.2979458280964282E-2</v>
      </c>
      <c r="EI13" s="160" t="s">
        <v>392</v>
      </c>
    </row>
    <row r="14" spans="1:139" ht="15" customHeight="1" thickTop="1" thickBot="1" x14ac:dyDescent="0.3">
      <c r="A14" s="220"/>
      <c r="B14" s="221"/>
      <c r="C14" s="221"/>
      <c r="D14" s="233" t="s">
        <v>65</v>
      </c>
      <c r="E14" s="234"/>
      <c r="F14" s="234"/>
      <c r="G14" s="234"/>
      <c r="H14" s="235"/>
      <c r="I14" s="225"/>
      <c r="K14" s="81" t="s">
        <v>61</v>
      </c>
      <c r="L14" s="250" t="s">
        <v>62</v>
      </c>
      <c r="M14" s="251">
        <v>1</v>
      </c>
      <c r="N14" s="251" t="s">
        <v>63</v>
      </c>
      <c r="O14" s="252">
        <f>B7</f>
        <v>103.4</v>
      </c>
      <c r="P14" s="253"/>
      <c r="Q14" s="30">
        <f t="shared" si="6"/>
        <v>0.28445648493057907</v>
      </c>
      <c r="R14" s="30">
        <f t="shared" si="7"/>
        <v>29.412800541821877</v>
      </c>
      <c r="S14" s="30">
        <f t="shared" si="8"/>
        <v>48249180.100000001</v>
      </c>
      <c r="T14" s="30">
        <f t="shared" si="9"/>
        <v>466626.5</v>
      </c>
      <c r="U14" s="30">
        <f t="shared" si="10"/>
        <v>11473264</v>
      </c>
      <c r="V14" s="31"/>
      <c r="W14" s="3"/>
      <c r="X14" s="265"/>
      <c r="Y14" s="266" t="s">
        <v>27</v>
      </c>
      <c r="Z14" s="266" t="s">
        <v>28</v>
      </c>
      <c r="AA14" s="266" t="s">
        <v>29</v>
      </c>
      <c r="AB14" s="266" t="s">
        <v>30</v>
      </c>
      <c r="AC14" s="266" t="s">
        <v>31</v>
      </c>
      <c r="AD14" s="266" t="s">
        <v>32</v>
      </c>
      <c r="AE14" s="267" t="s">
        <v>33</v>
      </c>
      <c r="AF14" s="14"/>
      <c r="AG14" s="14"/>
      <c r="AH14" s="14"/>
      <c r="AM14" s="154" t="s">
        <v>389</v>
      </c>
      <c r="AN14" s="81" t="s">
        <v>390</v>
      </c>
      <c r="AO14" s="81" t="s">
        <v>400</v>
      </c>
      <c r="AP14" s="81">
        <f>AP4*0.3</f>
        <v>4.5174606420727743E-2</v>
      </c>
      <c r="AQ14" s="81" t="s">
        <v>392</v>
      </c>
      <c r="AR14" s="204">
        <v>0.112</v>
      </c>
      <c r="AV14" s="205" t="s">
        <v>389</v>
      </c>
      <c r="AW14" s="205" t="s">
        <v>390</v>
      </c>
      <c r="AX14" s="205" t="s">
        <v>400</v>
      </c>
      <c r="AY14" s="207" t="s">
        <v>434</v>
      </c>
      <c r="AZ14" s="206">
        <f t="shared" si="3"/>
        <v>6.9400000000000003E-2</v>
      </c>
      <c r="BA14" s="205" t="s">
        <v>392</v>
      </c>
      <c r="BF14" s="81" t="s">
        <v>286</v>
      </c>
      <c r="BG14" s="81">
        <f>1/(1/AP20+1/AP24)</f>
        <v>9.8714169886281162</v>
      </c>
      <c r="BJ14" s="81" t="s">
        <v>447</v>
      </c>
      <c r="BK14" s="81">
        <f>BG9</f>
        <v>199.08073338295438</v>
      </c>
      <c r="BQ14" s="154" t="s">
        <v>389</v>
      </c>
      <c r="BR14" s="81" t="s">
        <v>390</v>
      </c>
      <c r="BS14" s="81" t="s">
        <v>400</v>
      </c>
      <c r="BT14" s="204">
        <f>AR14</f>
        <v>0.112</v>
      </c>
      <c r="BU14" s="81" t="s">
        <v>392</v>
      </c>
      <c r="BV14" s="204">
        <v>0.112</v>
      </c>
      <c r="BZ14" s="211">
        <f>CC23</f>
        <v>6.9400000000000003E-2</v>
      </c>
      <c r="CA14" s="211"/>
      <c r="CB14" s="81" t="s">
        <v>294</v>
      </c>
      <c r="CC14" s="204">
        <v>14600000</v>
      </c>
      <c r="CD14" s="204">
        <v>300000</v>
      </c>
      <c r="CH14" s="81" t="s">
        <v>472</v>
      </c>
      <c r="CI14" s="204">
        <v>6.13E-2</v>
      </c>
      <c r="CJ14" s="204">
        <v>5.5399999999999998E-3</v>
      </c>
      <c r="CK14" s="81">
        <v>11.07</v>
      </c>
      <c r="CL14" s="81" t="s">
        <v>505</v>
      </c>
      <c r="CN14" s="81" t="s">
        <v>473</v>
      </c>
      <c r="CO14" s="204">
        <v>0.34599999999999997</v>
      </c>
      <c r="CP14" s="204">
        <v>6.0699999999999999E-3</v>
      </c>
      <c r="CQ14" s="81">
        <v>57.03</v>
      </c>
      <c r="CR14" s="81" t="s">
        <v>509</v>
      </c>
      <c r="CS14" s="204">
        <v>2E-16</v>
      </c>
      <c r="CT14" s="81" t="s">
        <v>510</v>
      </c>
      <c r="CV14" s="212" t="s">
        <v>506</v>
      </c>
      <c r="CW14" s="81" t="s">
        <v>525</v>
      </c>
      <c r="CX14" s="204">
        <v>293</v>
      </c>
      <c r="CY14" s="204">
        <v>1.5299999999999999E-5</v>
      </c>
      <c r="CZ14" s="81">
        <v>19154623</v>
      </c>
      <c r="DA14" s="81" t="s">
        <v>505</v>
      </c>
      <c r="DB14" s="81" t="s">
        <v>510</v>
      </c>
      <c r="DF14" s="81" t="s">
        <v>389</v>
      </c>
      <c r="DG14" s="81" t="s">
        <v>390</v>
      </c>
      <c r="DH14" s="81" t="str">
        <f t="shared" si="13"/>
        <v>abs3D</v>
      </c>
      <c r="DI14" s="81" t="s">
        <v>434</v>
      </c>
      <c r="DJ14" s="204">
        <f t="shared" si="14"/>
        <v>0.14000000000000001</v>
      </c>
      <c r="DK14" s="81" t="s">
        <v>392</v>
      </c>
      <c r="DL14" s="81" t="s">
        <v>401</v>
      </c>
      <c r="DM14" s="286">
        <f t="shared" si="0"/>
        <v>0.11148096801011302</v>
      </c>
      <c r="DN14" s="286">
        <f t="shared" si="1"/>
        <v>0.216</v>
      </c>
      <c r="DO14" s="286">
        <f t="shared" si="2"/>
        <v>0.14099999999999999</v>
      </c>
      <c r="DQ14" s="290" t="s">
        <v>506</v>
      </c>
      <c r="DR14" s="290" t="s">
        <v>542</v>
      </c>
      <c r="DS14" s="291">
        <v>0.374</v>
      </c>
      <c r="DT14" s="291">
        <v>6.0699999999999999E-3</v>
      </c>
      <c r="DU14" s="290">
        <v>61.66</v>
      </c>
      <c r="DV14" s="290" t="s">
        <v>509</v>
      </c>
      <c r="DW14" s="291">
        <v>2E-16</v>
      </c>
      <c r="DX14" s="81" t="s">
        <v>510</v>
      </c>
      <c r="DY14" s="212" t="s">
        <v>568</v>
      </c>
      <c r="DZ14" s="296" t="s">
        <v>578</v>
      </c>
      <c r="EA14" s="292" t="s">
        <v>434</v>
      </c>
      <c r="EB14" s="293">
        <f t="shared" si="11"/>
        <v>0.67900000000000005</v>
      </c>
      <c r="EC14" s="212" t="s">
        <v>392</v>
      </c>
      <c r="EE14" s="160" t="s">
        <v>568</v>
      </c>
      <c r="EF14" s="325" t="s">
        <v>578</v>
      </c>
      <c r="EG14" s="322" t="s">
        <v>434</v>
      </c>
      <c r="EH14" s="160">
        <f>$O$10*$Z$37*$AP$6</f>
        <v>7.3932407547218942E-2</v>
      </c>
      <c r="EI14" s="160" t="s">
        <v>392</v>
      </c>
    </row>
    <row r="15" spans="1:139" ht="15" customHeight="1" thickTop="1" thickBot="1" x14ac:dyDescent="0.3">
      <c r="A15" s="220"/>
      <c r="B15" s="221"/>
      <c r="C15" s="221"/>
      <c r="D15" s="236"/>
      <c r="E15" s="221"/>
      <c r="F15" s="221"/>
      <c r="G15" s="221"/>
      <c r="H15" s="222"/>
      <c r="I15" s="221"/>
      <c r="K15" s="81" t="s">
        <v>66</v>
      </c>
      <c r="L15" s="250">
        <v>0</v>
      </c>
      <c r="M15" s="251">
        <v>1</v>
      </c>
      <c r="N15" s="251" t="s">
        <v>20</v>
      </c>
      <c r="O15" s="254">
        <v>0</v>
      </c>
      <c r="P15" s="253"/>
      <c r="Q15" s="30">
        <f t="shared" si="6"/>
        <v>0.27062537995411134</v>
      </c>
      <c r="R15" s="30">
        <f t="shared" si="7"/>
        <v>0</v>
      </c>
      <c r="S15" s="30">
        <f>VLOOKUP(N15,$X$5:$AE$391,8,0)*O25</f>
        <v>7181832</v>
      </c>
      <c r="T15" s="30">
        <f>S15/O25</f>
        <v>66192</v>
      </c>
      <c r="U15" s="30">
        <f>VLOOKUP(N15,$X$5:$AG$391,10,0)*O25</f>
        <v>3308382</v>
      </c>
      <c r="V15" s="31"/>
      <c r="W15" s="3"/>
      <c r="X15" s="220"/>
      <c r="Y15" s="221" t="s">
        <v>268</v>
      </c>
      <c r="Z15" s="221">
        <v>0.1</v>
      </c>
      <c r="AA15" s="221">
        <v>0.75</v>
      </c>
      <c r="AB15" s="221">
        <v>1400</v>
      </c>
      <c r="AC15" s="231">
        <v>840</v>
      </c>
      <c r="AD15" s="268">
        <f>Z15/AA15</f>
        <v>0.13333333333333333</v>
      </c>
      <c r="AE15" s="222">
        <f>AB15*AC15*Z15</f>
        <v>117600</v>
      </c>
      <c r="AF15" s="14"/>
      <c r="AG15" s="14"/>
      <c r="AH15" s="14"/>
      <c r="AM15" s="154" t="s">
        <v>389</v>
      </c>
      <c r="AN15" s="81" t="s">
        <v>390</v>
      </c>
      <c r="AO15" s="81" t="s">
        <v>401</v>
      </c>
      <c r="AP15" s="81">
        <f>AP5*0.3</f>
        <v>0.11148096801011302</v>
      </c>
      <c r="AQ15" s="81" t="s">
        <v>392</v>
      </c>
      <c r="AR15" s="204">
        <v>0.216</v>
      </c>
      <c r="AV15" s="205" t="s">
        <v>389</v>
      </c>
      <c r="AW15" s="205" t="s">
        <v>390</v>
      </c>
      <c r="AX15" s="205" t="s">
        <v>401</v>
      </c>
      <c r="AY15" s="207" t="s">
        <v>434</v>
      </c>
      <c r="AZ15" s="206">
        <f t="shared" si="3"/>
        <v>0.14099999999999999</v>
      </c>
      <c r="BA15" s="205" t="s">
        <v>392</v>
      </c>
      <c r="BF15" s="81" t="s">
        <v>294</v>
      </c>
      <c r="BG15" s="204">
        <f>AP12</f>
        <v>11473264</v>
      </c>
      <c r="BJ15" s="81" t="s">
        <v>448</v>
      </c>
      <c r="BK15" s="81">
        <f>AP38</f>
        <v>297.81730970684839</v>
      </c>
      <c r="BQ15" s="154" t="s">
        <v>389</v>
      </c>
      <c r="BR15" s="81" t="s">
        <v>390</v>
      </c>
      <c r="BS15" s="81" t="s">
        <v>401</v>
      </c>
      <c r="BT15" s="204">
        <f t="shared" ref="BT15:BT17" si="15">AR15</f>
        <v>0.216</v>
      </c>
      <c r="BU15" s="81" t="s">
        <v>392</v>
      </c>
      <c r="BV15" s="204">
        <v>0.216</v>
      </c>
      <c r="BZ15" s="211">
        <f>CC24</f>
        <v>0.14099999999999999</v>
      </c>
      <c r="CA15" s="211"/>
      <c r="CB15" s="81" t="s">
        <v>475</v>
      </c>
      <c r="CC15" s="204">
        <v>3460000</v>
      </c>
      <c r="CD15" s="204">
        <v>48400</v>
      </c>
      <c r="CH15" s="81" t="s">
        <v>473</v>
      </c>
      <c r="CI15" s="204">
        <v>0.17799999999999999</v>
      </c>
      <c r="CJ15" s="204">
        <v>5.53E-4</v>
      </c>
      <c r="CK15" s="81">
        <v>322.19</v>
      </c>
      <c r="CL15" s="81" t="s">
        <v>505</v>
      </c>
      <c r="CN15" s="81" t="s">
        <v>298</v>
      </c>
      <c r="CO15" s="204">
        <v>992000000</v>
      </c>
      <c r="CP15" s="204">
        <v>51400000</v>
      </c>
      <c r="CQ15" s="81">
        <v>19.29</v>
      </c>
      <c r="CR15" s="81" t="s">
        <v>509</v>
      </c>
      <c r="CS15" s="204">
        <v>2E-16</v>
      </c>
      <c r="CT15" s="81" t="s">
        <v>510</v>
      </c>
      <c r="CV15" s="212" t="s">
        <v>506</v>
      </c>
      <c r="CW15" s="81" t="s">
        <v>526</v>
      </c>
      <c r="CX15" s="204">
        <v>293</v>
      </c>
      <c r="CY15" s="204">
        <v>5.8999999999999998E-5</v>
      </c>
      <c r="CZ15" s="81">
        <v>4966969</v>
      </c>
      <c r="DA15" s="81" t="s">
        <v>505</v>
      </c>
      <c r="DB15" s="81" t="s">
        <v>510</v>
      </c>
      <c r="DF15" s="81" t="s">
        <v>389</v>
      </c>
      <c r="DG15" s="81" t="s">
        <v>390</v>
      </c>
      <c r="DH15" s="81" t="str">
        <f t="shared" si="13"/>
        <v>abs3N</v>
      </c>
      <c r="DI15" s="81" t="s">
        <v>434</v>
      </c>
      <c r="DJ15" s="204">
        <f t="shared" si="14"/>
        <v>0.11</v>
      </c>
      <c r="DK15" s="81" t="s">
        <v>392</v>
      </c>
      <c r="DL15" s="81" t="s">
        <v>402</v>
      </c>
      <c r="DM15" s="286">
        <f t="shared" si="0"/>
        <v>0.71165207368750494</v>
      </c>
      <c r="DN15" s="286">
        <f t="shared" si="1"/>
        <v>0.49</v>
      </c>
      <c r="DO15" s="286">
        <f t="shared" si="2"/>
        <v>0.76</v>
      </c>
      <c r="DQ15" s="290" t="s">
        <v>506</v>
      </c>
      <c r="DR15" s="290" t="s">
        <v>543</v>
      </c>
      <c r="DS15" s="291">
        <v>0.36199999999999999</v>
      </c>
      <c r="DT15" s="291">
        <v>6.5399999999999998E-3</v>
      </c>
      <c r="DU15" s="290">
        <v>55.42</v>
      </c>
      <c r="DV15" s="290" t="s">
        <v>509</v>
      </c>
      <c r="DW15" s="291">
        <v>2E-16</v>
      </c>
      <c r="DX15" s="81" t="s">
        <v>510</v>
      </c>
      <c r="DY15" s="212" t="s">
        <v>568</v>
      </c>
      <c r="DZ15" s="296" t="s">
        <v>579</v>
      </c>
      <c r="EA15" s="292" t="s">
        <v>434</v>
      </c>
      <c r="EB15" s="293">
        <f t="shared" si="11"/>
        <v>0.187</v>
      </c>
      <c r="EC15" s="212" t="s">
        <v>392</v>
      </c>
      <c r="EE15" s="160" t="s">
        <v>568</v>
      </c>
      <c r="EF15" s="325" t="s">
        <v>579</v>
      </c>
      <c r="EG15" s="322" t="s">
        <v>434</v>
      </c>
      <c r="EH15" s="160">
        <f>$O$12*$Z$37*$AP$6</f>
        <v>8.2147119496909934E-2</v>
      </c>
      <c r="EI15" s="160" t="s">
        <v>392</v>
      </c>
    </row>
    <row r="16" spans="1:139" ht="15" customHeight="1" thickTop="1" thickBot="1" x14ac:dyDescent="0.3">
      <c r="A16" s="237"/>
      <c r="B16" s="219"/>
      <c r="C16" s="219"/>
      <c r="D16" s="226" t="s">
        <v>69</v>
      </c>
      <c r="E16" s="221"/>
      <c r="F16" s="238">
        <f>B4/B26</f>
        <v>1.5021951219512195</v>
      </c>
      <c r="G16" s="231" t="s">
        <v>70</v>
      </c>
      <c r="H16" s="222"/>
      <c r="I16" s="221"/>
      <c r="K16" s="81" t="s">
        <v>67</v>
      </c>
      <c r="L16" s="250">
        <v>0</v>
      </c>
      <c r="M16" s="251">
        <v>1</v>
      </c>
      <c r="N16" s="251" t="s">
        <v>68</v>
      </c>
      <c r="O16" s="252">
        <f>'[1]Tabula data'!B21</f>
        <v>9.5</v>
      </c>
      <c r="P16" s="253"/>
      <c r="Q16" s="30">
        <f t="shared" si="6"/>
        <v>3.5</v>
      </c>
      <c r="R16" s="30">
        <f t="shared" si="7"/>
        <v>33.25</v>
      </c>
      <c r="S16" s="30">
        <f t="shared" ref="S16:S31" si="16">VLOOKUP(N16,$X$5:$AE$391,8,0)*O16</f>
        <v>346940</v>
      </c>
      <c r="T16" s="30">
        <f t="shared" ref="T16:T31" si="17">S16/O16</f>
        <v>36520</v>
      </c>
      <c r="U16" s="30">
        <f t="shared" ref="U16:U31" si="18">VLOOKUP(N16,$X$5:$AG$391,10,0)*O16</f>
        <v>1719690.0000000002</v>
      </c>
      <c r="V16" s="31"/>
      <c r="W16" s="3"/>
      <c r="X16" s="220"/>
      <c r="Y16" s="221" t="s">
        <v>46</v>
      </c>
      <c r="Z16" s="221">
        <v>0</v>
      </c>
      <c r="AA16" s="221"/>
      <c r="AB16" s="221"/>
      <c r="AC16" s="221"/>
      <c r="AD16" s="268"/>
      <c r="AE16" s="222"/>
      <c r="AF16" s="14"/>
      <c r="AG16" s="14"/>
      <c r="AH16" s="14"/>
      <c r="AM16" s="154" t="s">
        <v>389</v>
      </c>
      <c r="AN16" s="81" t="s">
        <v>390</v>
      </c>
      <c r="AO16" s="81" t="s">
        <v>402</v>
      </c>
      <c r="AP16" s="81">
        <f>AP6*0.3+0.7</f>
        <v>0.71165207368750494</v>
      </c>
      <c r="AQ16" s="81" t="s">
        <v>392</v>
      </c>
      <c r="AR16" s="204">
        <v>0.49</v>
      </c>
      <c r="AV16" s="205" t="s">
        <v>389</v>
      </c>
      <c r="AW16" s="205" t="s">
        <v>390</v>
      </c>
      <c r="AX16" s="205" t="s">
        <v>402</v>
      </c>
      <c r="AY16" s="207" t="s">
        <v>434</v>
      </c>
      <c r="AZ16" s="206">
        <f t="shared" si="3"/>
        <v>0.76</v>
      </c>
      <c r="BA16" s="205" t="s">
        <v>392</v>
      </c>
      <c r="BQ16" s="154" t="s">
        <v>389</v>
      </c>
      <c r="BR16" s="81" t="s">
        <v>390</v>
      </c>
      <c r="BS16" s="81" t="s">
        <v>402</v>
      </c>
      <c r="BT16" s="204">
        <f t="shared" si="15"/>
        <v>0.49</v>
      </c>
      <c r="BU16" s="81" t="s">
        <v>392</v>
      </c>
      <c r="BV16" s="204">
        <v>0.49</v>
      </c>
      <c r="BZ16" s="211">
        <f>CC25</f>
        <v>0.76</v>
      </c>
      <c r="CA16" s="211"/>
      <c r="CB16" s="81" t="s">
        <v>291</v>
      </c>
      <c r="CC16" s="204">
        <v>23000000</v>
      </c>
      <c r="CD16" s="204">
        <v>709000</v>
      </c>
      <c r="CH16" s="81" t="s">
        <v>474</v>
      </c>
      <c r="CI16" s="204">
        <v>0.14199999999999999</v>
      </c>
      <c r="CJ16" s="204">
        <v>6.4000000000000005E-4</v>
      </c>
      <c r="CK16" s="81">
        <v>221.71</v>
      </c>
      <c r="CL16" s="81" t="s">
        <v>505</v>
      </c>
      <c r="CN16" s="81" t="s">
        <v>475</v>
      </c>
      <c r="CO16" s="204">
        <v>1130000</v>
      </c>
      <c r="CP16" s="204">
        <v>29900</v>
      </c>
      <c r="CQ16" s="81">
        <v>37.909999999999997</v>
      </c>
      <c r="CR16" s="81" t="s">
        <v>509</v>
      </c>
      <c r="CS16" s="204">
        <v>2E-16</v>
      </c>
      <c r="CT16" s="81" t="s">
        <v>510</v>
      </c>
      <c r="CV16" s="212" t="s">
        <v>506</v>
      </c>
      <c r="CW16" s="81" t="s">
        <v>527</v>
      </c>
      <c r="CX16" s="204">
        <v>294</v>
      </c>
      <c r="CY16" s="204">
        <v>5.7000000000000003E-5</v>
      </c>
      <c r="CZ16" s="81">
        <v>5160670</v>
      </c>
      <c r="DA16" s="81" t="s">
        <v>505</v>
      </c>
      <c r="DB16" s="81" t="s">
        <v>510</v>
      </c>
      <c r="DJ16" s="204"/>
      <c r="DL16" s="81" t="s">
        <v>403</v>
      </c>
      <c r="DM16" s="286">
        <f t="shared" si="0"/>
        <v>7.0664188814546183E-2</v>
      </c>
      <c r="DN16" s="286">
        <f t="shared" si="1"/>
        <v>9.01E-2</v>
      </c>
      <c r="DO16" s="286">
        <f t="shared" si="2"/>
        <v>6.4100000000000004E-2</v>
      </c>
      <c r="DQ16" s="290" t="s">
        <v>506</v>
      </c>
      <c r="DR16" s="290" t="s">
        <v>544</v>
      </c>
      <c r="DS16" s="291">
        <v>0.67500000000000004</v>
      </c>
      <c r="DT16" s="291">
        <v>1.7899999999999999E-2</v>
      </c>
      <c r="DU16" s="290">
        <v>37.76</v>
      </c>
      <c r="DV16" s="290" t="s">
        <v>509</v>
      </c>
      <c r="DW16" s="291">
        <v>2E-16</v>
      </c>
      <c r="DX16" s="81" t="s">
        <v>510</v>
      </c>
      <c r="DY16" s="212" t="s">
        <v>568</v>
      </c>
      <c r="DZ16" s="296" t="s">
        <v>580</v>
      </c>
      <c r="EA16" s="292" t="s">
        <v>434</v>
      </c>
      <c r="EB16" s="293">
        <f t="shared" si="11"/>
        <v>0.48399999999999999</v>
      </c>
      <c r="EC16" s="212" t="s">
        <v>392</v>
      </c>
      <c r="EE16" s="160" t="s">
        <v>568</v>
      </c>
      <c r="EF16" s="325" t="s">
        <v>580</v>
      </c>
      <c r="EG16" s="322" t="s">
        <v>434</v>
      </c>
      <c r="EH16" s="160">
        <f>$O$13*$Z$37*$AP$6</f>
        <v>9.2187322990976706E-2</v>
      </c>
      <c r="EI16" s="160" t="s">
        <v>392</v>
      </c>
    </row>
    <row r="17" spans="1:139" ht="15" customHeight="1" thickTop="1" thickBot="1" x14ac:dyDescent="0.3">
      <c r="A17" s="223" t="s">
        <v>73</v>
      </c>
      <c r="B17" s="224">
        <v>0</v>
      </c>
      <c r="C17" s="234" t="s">
        <v>9</v>
      </c>
      <c r="D17" s="226" t="s">
        <v>74</v>
      </c>
      <c r="E17" s="221"/>
      <c r="F17" s="238">
        <f>B26/B23</f>
        <v>1.8303571428571428</v>
      </c>
      <c r="G17" s="231"/>
      <c r="H17" s="222"/>
      <c r="I17" s="221"/>
      <c r="K17" s="81" t="s">
        <v>71</v>
      </c>
      <c r="L17" s="250">
        <v>0</v>
      </c>
      <c r="M17" s="251">
        <v>2</v>
      </c>
      <c r="N17" s="251" t="s">
        <v>25</v>
      </c>
      <c r="O17" s="252">
        <f>'[1]Tabula data'!B19*(1-C43)</f>
        <v>20.516529727733833</v>
      </c>
      <c r="P17" s="253" t="s">
        <v>26</v>
      </c>
      <c r="Q17" s="30">
        <f t="shared" si="6"/>
        <v>0.36462385321100915</v>
      </c>
      <c r="R17" s="30">
        <f t="shared" si="7"/>
        <v>7.4808161238445265</v>
      </c>
      <c r="S17" s="30">
        <f t="shared" si="16"/>
        <v>5224279.890198797</v>
      </c>
      <c r="T17" s="30">
        <f t="shared" si="17"/>
        <v>254637.60000000003</v>
      </c>
      <c r="U17" s="30">
        <f t="shared" si="18"/>
        <v>2748804.6529217791</v>
      </c>
      <c r="V17" s="31"/>
      <c r="W17" s="3"/>
      <c r="X17" s="220"/>
      <c r="Y17" s="221" t="s">
        <v>269</v>
      </c>
      <c r="Z17" s="302">
        <v>0.08</v>
      </c>
      <c r="AA17" s="302">
        <v>3.5999999999999997E-2</v>
      </c>
      <c r="AB17" s="221">
        <v>26</v>
      </c>
      <c r="AC17" s="221">
        <v>1470</v>
      </c>
      <c r="AD17" s="268">
        <f>Z17/AA17</f>
        <v>2.2222222222222223</v>
      </c>
      <c r="AE17" s="222">
        <f>Z17*AB17*AC17</f>
        <v>3057.6</v>
      </c>
      <c r="AF17" s="14"/>
      <c r="AG17" s="14"/>
      <c r="AH17" s="14"/>
      <c r="AM17" s="154" t="s">
        <v>389</v>
      </c>
      <c r="AN17" s="81" t="s">
        <v>390</v>
      </c>
      <c r="AO17" s="81" t="s">
        <v>403</v>
      </c>
      <c r="AP17" s="81">
        <f>AP7*0.3</f>
        <v>7.0664188814546183E-2</v>
      </c>
      <c r="AQ17" s="81" t="s">
        <v>392</v>
      </c>
      <c r="AR17" s="204">
        <v>9.01E-2</v>
      </c>
      <c r="AV17" s="205" t="s">
        <v>389</v>
      </c>
      <c r="AW17" s="205" t="s">
        <v>390</v>
      </c>
      <c r="AX17" s="205" t="s">
        <v>403</v>
      </c>
      <c r="AY17" s="207" t="s">
        <v>434</v>
      </c>
      <c r="AZ17" s="206">
        <f t="shared" si="3"/>
        <v>6.4100000000000004E-2</v>
      </c>
      <c r="BA17" s="205" t="s">
        <v>392</v>
      </c>
      <c r="BF17" s="81" t="s">
        <v>295</v>
      </c>
      <c r="BG17" s="204">
        <f>SUM(BG12+BG5+BG10)</f>
        <v>56953368.600000009</v>
      </c>
      <c r="BJ17" s="81" t="s">
        <v>297</v>
      </c>
      <c r="BK17" s="81">
        <f>BG11</f>
        <v>93.608985024958415</v>
      </c>
      <c r="BQ17" s="154" t="s">
        <v>389</v>
      </c>
      <c r="BR17" s="81" t="s">
        <v>390</v>
      </c>
      <c r="BS17" s="81" t="s">
        <v>403</v>
      </c>
      <c r="BT17" s="204">
        <f t="shared" si="15"/>
        <v>9.01E-2</v>
      </c>
      <c r="BU17" s="81" t="s">
        <v>392</v>
      </c>
      <c r="BV17" s="204">
        <v>9.01E-2</v>
      </c>
      <c r="BZ17" s="211">
        <f>CC26</f>
        <v>6.4100000000000004E-2</v>
      </c>
      <c r="CA17" s="211"/>
      <c r="CB17" s="81" t="s">
        <v>293</v>
      </c>
      <c r="CC17" s="204">
        <v>28700000</v>
      </c>
      <c r="CD17" s="204">
        <v>324000</v>
      </c>
      <c r="CH17" s="81" t="s">
        <v>298</v>
      </c>
      <c r="CI17" s="204">
        <v>995000000</v>
      </c>
      <c r="CJ17" s="204">
        <v>22500000</v>
      </c>
      <c r="CK17" s="81">
        <v>44.3</v>
      </c>
      <c r="CL17" s="81" t="s">
        <v>505</v>
      </c>
      <c r="CN17" s="81" t="s">
        <v>291</v>
      </c>
      <c r="CO17" s="204">
        <v>6980000</v>
      </c>
      <c r="CP17" s="204">
        <v>679000</v>
      </c>
      <c r="CQ17" s="81">
        <v>10.29</v>
      </c>
      <c r="CR17" s="81" t="s">
        <v>509</v>
      </c>
      <c r="CS17" s="204">
        <v>2E-16</v>
      </c>
      <c r="CT17" s="81" t="s">
        <v>510</v>
      </c>
      <c r="CV17" s="212" t="s">
        <v>506</v>
      </c>
      <c r="CW17" s="81" t="s">
        <v>391</v>
      </c>
      <c r="CX17" s="204">
        <v>0.17</v>
      </c>
      <c r="CY17" s="204">
        <v>2.6400000000000001E-6</v>
      </c>
      <c r="CZ17" s="81">
        <v>64508</v>
      </c>
      <c r="DA17" s="81" t="s">
        <v>505</v>
      </c>
      <c r="DB17" s="81" t="s">
        <v>510</v>
      </c>
      <c r="DF17" s="81" t="s">
        <v>389</v>
      </c>
      <c r="DG17" s="81" t="s">
        <v>390</v>
      </c>
      <c r="DH17" s="81" t="str">
        <f t="shared" si="13"/>
        <v>abs5D</v>
      </c>
      <c r="DI17" s="81" t="s">
        <v>434</v>
      </c>
      <c r="DJ17" s="204">
        <f t="shared" si="14"/>
        <v>0.17</v>
      </c>
      <c r="DK17" s="81" t="s">
        <v>392</v>
      </c>
      <c r="DM17" s="287">
        <f t="shared" si="0"/>
        <v>0</v>
      </c>
      <c r="DN17" s="287">
        <f t="shared" si="1"/>
        <v>0</v>
      </c>
      <c r="DO17" s="287">
        <f t="shared" si="2"/>
        <v>0</v>
      </c>
      <c r="DQ17" s="290" t="s">
        <v>506</v>
      </c>
      <c r="DR17" s="290" t="s">
        <v>411</v>
      </c>
      <c r="DS17" s="291">
        <v>0.56799999999999995</v>
      </c>
      <c r="DT17" s="291">
        <v>0.04</v>
      </c>
      <c r="DU17" s="290">
        <v>14.19</v>
      </c>
      <c r="DV17" s="290" t="s">
        <v>509</v>
      </c>
      <c r="DW17" s="291">
        <v>2E-16</v>
      </c>
      <c r="DX17" s="81" t="s">
        <v>510</v>
      </c>
      <c r="DY17" s="212" t="s">
        <v>568</v>
      </c>
      <c r="DZ17" s="296" t="s">
        <v>581</v>
      </c>
      <c r="EA17" s="292" t="s">
        <v>434</v>
      </c>
      <c r="EB17" s="293">
        <f t="shared" si="11"/>
        <v>0.61599999999999999</v>
      </c>
      <c r="EC17" s="212" t="s">
        <v>392</v>
      </c>
      <c r="EE17" s="160" t="s">
        <v>568</v>
      </c>
      <c r="EF17" s="325" t="s">
        <v>581</v>
      </c>
      <c r="EG17" s="322" t="s">
        <v>434</v>
      </c>
      <c r="EH17" s="160">
        <f>$O$11*$Z$37*$AP$7</f>
        <v>0.38193994054262215</v>
      </c>
      <c r="EI17" s="160" t="s">
        <v>392</v>
      </c>
    </row>
    <row r="18" spans="1:139" ht="15" customHeight="1" thickTop="1" thickBot="1" x14ac:dyDescent="0.3">
      <c r="A18" s="220" t="s">
        <v>77</v>
      </c>
      <c r="B18" s="221">
        <v>0</v>
      </c>
      <c r="C18" s="221"/>
      <c r="D18" s="226" t="s">
        <v>78</v>
      </c>
      <c r="E18" s="221"/>
      <c r="F18" s="238">
        <f>B26/B6</f>
        <v>1.8303571428571428</v>
      </c>
      <c r="G18" s="231"/>
      <c r="H18" s="222"/>
      <c r="I18" s="221"/>
      <c r="K18" s="81" t="s">
        <v>75</v>
      </c>
      <c r="L18" s="250">
        <v>0</v>
      </c>
      <c r="M18" s="251">
        <v>2</v>
      </c>
      <c r="N18" s="251" t="s">
        <v>25</v>
      </c>
      <c r="O18" s="252">
        <f>'[1]Tabula data'!B20*(1-C43)</f>
        <v>36.064797687389479</v>
      </c>
      <c r="P18" s="253" t="s">
        <v>39</v>
      </c>
      <c r="Q18" s="30">
        <f t="shared" si="6"/>
        <v>0.36462385321100915</v>
      </c>
      <c r="R18" s="30">
        <f t="shared" si="7"/>
        <v>13.150085498051444</v>
      </c>
      <c r="S18" s="30">
        <f t="shared" si="16"/>
        <v>9183453.5276024081</v>
      </c>
      <c r="T18" s="30">
        <f t="shared" si="17"/>
        <v>254637.60000000003</v>
      </c>
      <c r="U18" s="30">
        <f t="shared" si="18"/>
        <v>4831961.5941564422</v>
      </c>
      <c r="V18" s="31"/>
      <c r="W18" s="3"/>
      <c r="X18" s="220"/>
      <c r="Y18" s="231" t="s">
        <v>270</v>
      </c>
      <c r="Z18" s="221">
        <v>0.1</v>
      </c>
      <c r="AA18" s="221">
        <v>0.54</v>
      </c>
      <c r="AB18" s="221">
        <v>1400</v>
      </c>
      <c r="AC18" s="231">
        <v>840</v>
      </c>
      <c r="AD18" s="268">
        <f>Z18/AA18</f>
        <v>0.18518518518518517</v>
      </c>
      <c r="AE18" s="222">
        <f>Z18*AB18*AC18</f>
        <v>117600</v>
      </c>
      <c r="AF18" s="14"/>
      <c r="AG18" s="14"/>
      <c r="AH18" s="14"/>
      <c r="AQ18" s="81" t="s">
        <v>392</v>
      </c>
      <c r="AR18" s="204"/>
      <c r="AV18" s="205"/>
      <c r="AW18" s="205"/>
      <c r="AX18" s="205"/>
      <c r="AY18" s="207"/>
      <c r="BA18" s="205"/>
      <c r="BF18" s="81" t="s">
        <v>449</v>
      </c>
      <c r="BG18" s="204">
        <f>BG17+BG7</f>
        <v>58857831.160000011</v>
      </c>
      <c r="BJ18" s="81" t="s">
        <v>298</v>
      </c>
      <c r="BK18" s="81">
        <f>BG12</f>
        <v>41572722.000000007</v>
      </c>
      <c r="BT18" s="204"/>
      <c r="BU18" s="81" t="s">
        <v>392</v>
      </c>
      <c r="BV18" s="204"/>
      <c r="CB18" s="81" t="s">
        <v>476</v>
      </c>
      <c r="CC18" s="204">
        <v>-6.33</v>
      </c>
      <c r="CD18" s="204">
        <v>8.6699999999999999E-2</v>
      </c>
      <c r="CH18" s="81" t="s">
        <v>294</v>
      </c>
      <c r="CI18" s="204">
        <v>14600000</v>
      </c>
      <c r="CJ18" s="204">
        <v>300000</v>
      </c>
      <c r="CK18" s="81">
        <v>48.77</v>
      </c>
      <c r="CL18" s="81" t="s">
        <v>505</v>
      </c>
      <c r="CN18" s="81" t="s">
        <v>293</v>
      </c>
      <c r="CO18" s="204">
        <v>11000000</v>
      </c>
      <c r="CP18" s="204">
        <v>1930000</v>
      </c>
      <c r="CQ18" s="81">
        <v>5.67</v>
      </c>
      <c r="CR18" s="204">
        <v>1.4999999999999999E-8</v>
      </c>
      <c r="CS18" s="81" t="s">
        <v>510</v>
      </c>
      <c r="CV18" s="212" t="s">
        <v>506</v>
      </c>
      <c r="CW18" s="81" t="s">
        <v>410</v>
      </c>
      <c r="CX18" s="204">
        <v>0.45</v>
      </c>
      <c r="CY18" s="204">
        <v>6.7800000000000003E-6</v>
      </c>
      <c r="CZ18" s="81">
        <v>66399</v>
      </c>
      <c r="DA18" s="81" t="s">
        <v>505</v>
      </c>
      <c r="DB18" s="81" t="s">
        <v>510</v>
      </c>
      <c r="DF18" s="81" t="s">
        <v>389</v>
      </c>
      <c r="DG18" s="81" t="s">
        <v>390</v>
      </c>
      <c r="DH18" s="81" t="str">
        <f t="shared" si="13"/>
        <v>abs5N</v>
      </c>
      <c r="DI18" s="81" t="s">
        <v>434</v>
      </c>
      <c r="DJ18" s="204">
        <f t="shared" si="14"/>
        <v>0.34</v>
      </c>
      <c r="DK18" s="81" t="s">
        <v>392</v>
      </c>
      <c r="DL18" s="81" t="s">
        <v>404</v>
      </c>
      <c r="DM18" s="289">
        <f t="shared" si="0"/>
        <v>141.08757763975157</v>
      </c>
      <c r="DN18" s="289">
        <f t="shared" si="1"/>
        <v>654</v>
      </c>
      <c r="DO18" s="289">
        <f t="shared" si="2"/>
        <v>259</v>
      </c>
      <c r="DQ18" s="290" t="s">
        <v>506</v>
      </c>
      <c r="DR18" s="290" t="s">
        <v>545</v>
      </c>
      <c r="DS18" s="291">
        <v>0.69299999999999995</v>
      </c>
      <c r="DT18" s="291">
        <v>9.1900000000000003E-3</v>
      </c>
      <c r="DU18" s="290">
        <v>75.39</v>
      </c>
      <c r="DV18" s="290" t="s">
        <v>509</v>
      </c>
      <c r="DW18" s="291">
        <v>2E-16</v>
      </c>
      <c r="DX18" s="81" t="s">
        <v>510</v>
      </c>
      <c r="DY18" s="212" t="s">
        <v>568</v>
      </c>
      <c r="DZ18" s="296" t="s">
        <v>582</v>
      </c>
      <c r="EA18" s="292" t="s">
        <v>434</v>
      </c>
      <c r="EB18" s="293">
        <f t="shared" si="11"/>
        <v>0.56699999999999995</v>
      </c>
      <c r="EC18" s="212" t="s">
        <v>392</v>
      </c>
      <c r="EE18" s="160" t="s">
        <v>568</v>
      </c>
      <c r="EF18" s="325" t="s">
        <v>582</v>
      </c>
      <c r="EG18" s="322" t="s">
        <v>434</v>
      </c>
      <c r="EH18" s="160">
        <f>$O$10*$Z$37*$AP$7</f>
        <v>0.44836427802829548</v>
      </c>
      <c r="EI18" s="160" t="s">
        <v>392</v>
      </c>
    </row>
    <row r="19" spans="1:139" ht="15" customHeight="1" thickTop="1" thickBot="1" x14ac:dyDescent="0.3">
      <c r="A19" s="220" t="s">
        <v>81</v>
      </c>
      <c r="B19" s="229">
        <f>B17-B18</f>
        <v>0</v>
      </c>
      <c r="C19" s="221"/>
      <c r="D19" s="236"/>
      <c r="E19" s="231"/>
      <c r="F19" s="231"/>
      <c r="G19" s="231"/>
      <c r="H19" s="230"/>
      <c r="I19" s="231"/>
      <c r="K19" s="81" t="s">
        <v>79</v>
      </c>
      <c r="L19" s="250">
        <v>0</v>
      </c>
      <c r="M19" s="251">
        <v>2</v>
      </c>
      <c r="N19" s="251" t="s">
        <v>25</v>
      </c>
      <c r="O19" s="252">
        <f>O17</f>
        <v>20.516529727733833</v>
      </c>
      <c r="P19" s="253" t="s">
        <v>45</v>
      </c>
      <c r="Q19" s="30">
        <f t="shared" si="6"/>
        <v>0.36462385321100915</v>
      </c>
      <c r="R19" s="30">
        <f t="shared" si="7"/>
        <v>7.4808161238445265</v>
      </c>
      <c r="S19" s="30">
        <f t="shared" si="16"/>
        <v>5224279.890198797</v>
      </c>
      <c r="T19" s="30">
        <f t="shared" si="17"/>
        <v>254637.60000000003</v>
      </c>
      <c r="U19" s="30">
        <f t="shared" si="18"/>
        <v>2748804.6529217791</v>
      </c>
      <c r="V19" s="31"/>
      <c r="W19" s="3"/>
      <c r="X19" s="237"/>
      <c r="Y19" s="219" t="s">
        <v>80</v>
      </c>
      <c r="Z19" s="219">
        <v>0.02</v>
      </c>
      <c r="AA19" s="219">
        <v>0.6</v>
      </c>
      <c r="AB19" s="219">
        <v>975</v>
      </c>
      <c r="AC19" s="219">
        <v>840</v>
      </c>
      <c r="AD19" s="269">
        <f>Z19/AA19</f>
        <v>3.3333333333333333E-2</v>
      </c>
      <c r="AE19" s="242">
        <f>Z19*AB19*AC19</f>
        <v>16380</v>
      </c>
      <c r="AF19" s="14"/>
      <c r="AG19" s="14"/>
      <c r="AH19" s="14"/>
      <c r="AM19" s="154" t="s">
        <v>389</v>
      </c>
      <c r="AN19" s="81" t="s">
        <v>390</v>
      </c>
      <c r="AO19" s="81" t="s">
        <v>404</v>
      </c>
      <c r="AP19" s="81">
        <f>SUM(O6:O9)*(1/(SUM(AD18:AD19)+1/4))</f>
        <v>141.08757763975157</v>
      </c>
      <c r="AQ19" s="81" t="s">
        <v>392</v>
      </c>
      <c r="AR19" s="204">
        <v>654</v>
      </c>
      <c r="AV19" s="205" t="s">
        <v>389</v>
      </c>
      <c r="AW19" s="205" t="s">
        <v>390</v>
      </c>
      <c r="AX19" s="205" t="s">
        <v>404</v>
      </c>
      <c r="AY19" s="207" t="s">
        <v>434</v>
      </c>
      <c r="AZ19" s="206">
        <f t="shared" si="3"/>
        <v>259</v>
      </c>
      <c r="BA19" s="205" t="s">
        <v>392</v>
      </c>
      <c r="BF19" s="81" t="s">
        <v>450</v>
      </c>
      <c r="BG19" s="3">
        <f>BG4+BG6</f>
        <v>114.97500426919912</v>
      </c>
      <c r="BQ19" s="154" t="s">
        <v>389</v>
      </c>
      <c r="BR19" s="81" t="s">
        <v>390</v>
      </c>
      <c r="BS19" s="81" t="s">
        <v>404</v>
      </c>
      <c r="BT19" s="204">
        <f>SUM(O6:O9)*(1/(SUM(AD18:AD19)*0.5+1/3.5))</f>
        <v>167.35840589417282</v>
      </c>
      <c r="BU19" s="81" t="s">
        <v>392</v>
      </c>
      <c r="BV19" s="204">
        <v>654</v>
      </c>
      <c r="BX19" s="81" t="s">
        <v>459</v>
      </c>
      <c r="BY19" s="81">
        <f>AVERAGE(SUM(O6:O9),2*O27)*(1/(1/8+SUM(AD18:AD19)/2+SUM(AD23:AD25)/4))</f>
        <v>314.03364055299545</v>
      </c>
      <c r="BZ19" s="211">
        <f>CC28</f>
        <v>259</v>
      </c>
      <c r="CA19" s="211"/>
      <c r="CB19" s="81" t="s">
        <v>477</v>
      </c>
      <c r="CC19" s="204">
        <v>-24.6</v>
      </c>
      <c r="CD19" s="204">
        <v>1360</v>
      </c>
      <c r="CH19" s="81" t="s">
        <v>475</v>
      </c>
      <c r="CI19" s="204">
        <v>3460000</v>
      </c>
      <c r="CJ19" s="204">
        <v>48400</v>
      </c>
      <c r="CK19" s="81">
        <v>71.56</v>
      </c>
      <c r="CL19" s="81" t="s">
        <v>505</v>
      </c>
      <c r="CN19" s="81" t="s">
        <v>476</v>
      </c>
      <c r="CO19" s="204">
        <v>-6.06</v>
      </c>
      <c r="CP19" s="204">
        <v>0.14799999999999999</v>
      </c>
      <c r="CQ19" s="81">
        <v>-40.880000000000003</v>
      </c>
      <c r="CR19" s="81" t="s">
        <v>509</v>
      </c>
      <c r="CS19" s="204">
        <v>2E-16</v>
      </c>
      <c r="CT19" s="81" t="s">
        <v>510</v>
      </c>
      <c r="CV19" s="212" t="s">
        <v>506</v>
      </c>
      <c r="CW19" s="81" t="s">
        <v>393</v>
      </c>
      <c r="CX19" s="204">
        <v>0.42</v>
      </c>
      <c r="CY19" s="204">
        <v>6.3500000000000002E-6</v>
      </c>
      <c r="CZ19" s="81">
        <v>66191</v>
      </c>
      <c r="DA19" s="81" t="s">
        <v>505</v>
      </c>
      <c r="DB19" s="81" t="s">
        <v>510</v>
      </c>
      <c r="DF19" s="81" t="s">
        <v>389</v>
      </c>
      <c r="DG19" s="81" t="s">
        <v>390</v>
      </c>
      <c r="DH19" s="81" t="str">
        <f t="shared" si="13"/>
        <v>CfiD</v>
      </c>
      <c r="DI19" s="81" t="s">
        <v>434</v>
      </c>
      <c r="DJ19" s="204">
        <f t="shared" si="14"/>
        <v>31500000</v>
      </c>
      <c r="DK19" s="81" t="s">
        <v>392</v>
      </c>
      <c r="DL19" s="81" t="s">
        <v>405</v>
      </c>
      <c r="DM19" s="289">
        <f t="shared" si="0"/>
        <v>214.99009900990103</v>
      </c>
      <c r="DN19" s="289">
        <f t="shared" si="1"/>
        <v>701</v>
      </c>
      <c r="DO19" s="289">
        <f t="shared" si="2"/>
        <v>197</v>
      </c>
      <c r="DQ19" s="290" t="s">
        <v>506</v>
      </c>
      <c r="DR19" s="290" t="s">
        <v>546</v>
      </c>
      <c r="DS19" s="291">
        <v>0.77600000000000002</v>
      </c>
      <c r="DT19" s="291">
        <v>1.0200000000000001E-2</v>
      </c>
      <c r="DU19" s="290">
        <v>76.41</v>
      </c>
      <c r="DV19" s="290" t="s">
        <v>509</v>
      </c>
      <c r="DW19" s="291">
        <v>2E-16</v>
      </c>
      <c r="DX19" s="81" t="s">
        <v>510</v>
      </c>
      <c r="DY19" s="212" t="s">
        <v>568</v>
      </c>
      <c r="DZ19" s="294" t="s">
        <v>583</v>
      </c>
      <c r="EA19" s="292" t="s">
        <v>434</v>
      </c>
      <c r="EB19" s="293">
        <f t="shared" si="11"/>
        <v>0.68799999999999994</v>
      </c>
      <c r="EC19" s="212" t="s">
        <v>392</v>
      </c>
      <c r="EE19" s="160" t="s">
        <v>568</v>
      </c>
      <c r="EF19" s="323" t="s">
        <v>583</v>
      </c>
      <c r="EG19" s="322" t="s">
        <v>434</v>
      </c>
      <c r="EH19" s="160">
        <f>$O$12*$Z$37*$AP$7</f>
        <v>0.49818253114255057</v>
      </c>
      <c r="EI19" s="160" t="s">
        <v>392</v>
      </c>
    </row>
    <row r="20" spans="1:139" ht="15" customHeight="1" thickTop="1" thickBot="1" x14ac:dyDescent="0.3">
      <c r="A20" s="220"/>
      <c r="B20" s="221"/>
      <c r="C20" s="221"/>
      <c r="D20" s="226" t="s">
        <v>83</v>
      </c>
      <c r="E20" s="231"/>
      <c r="F20" s="239">
        <f>G4/B23</f>
        <v>0.15223214285714287</v>
      </c>
      <c r="G20" s="231"/>
      <c r="H20" s="222"/>
      <c r="I20" s="221"/>
      <c r="K20" s="81" t="s">
        <v>82</v>
      </c>
      <c r="L20" s="250">
        <v>0</v>
      </c>
      <c r="M20" s="251">
        <v>2</v>
      </c>
      <c r="N20" s="251" t="s">
        <v>25</v>
      </c>
      <c r="O20" s="252">
        <v>0</v>
      </c>
      <c r="P20" s="253" t="s">
        <v>50</v>
      </c>
      <c r="Q20" s="30">
        <f t="shared" si="6"/>
        <v>0.36462385321100915</v>
      </c>
      <c r="R20" s="30">
        <f t="shared" si="7"/>
        <v>0</v>
      </c>
      <c r="S20" s="30">
        <f t="shared" si="16"/>
        <v>0</v>
      </c>
      <c r="T20" s="30" t="e">
        <f t="shared" si="17"/>
        <v>#DIV/0!</v>
      </c>
      <c r="U20" s="30">
        <f t="shared" si="18"/>
        <v>0</v>
      </c>
      <c r="V20" s="31"/>
      <c r="W20" s="3"/>
      <c r="X20" s="258"/>
      <c r="Y20" s="258"/>
      <c r="Z20" s="258"/>
      <c r="AA20" s="258"/>
      <c r="AB20" s="258"/>
      <c r="AC20" s="258"/>
      <c r="AD20" s="258"/>
      <c r="AE20" s="258"/>
      <c r="AF20" s="14"/>
      <c r="AG20" s="14"/>
      <c r="AH20" s="14"/>
      <c r="AM20" s="154" t="s">
        <v>389</v>
      </c>
      <c r="AN20" s="81" t="s">
        <v>390</v>
      </c>
      <c r="AO20" s="81" t="s">
        <v>405</v>
      </c>
      <c r="AP20" s="81">
        <f>SUM(O14)*1/(SUM(AD42:AD43)+1/3)</f>
        <v>214.99009900990103</v>
      </c>
      <c r="AQ20" s="81" t="s">
        <v>392</v>
      </c>
      <c r="AR20" s="204">
        <v>701</v>
      </c>
      <c r="AV20" s="205" t="s">
        <v>389</v>
      </c>
      <c r="AW20" s="205" t="s">
        <v>390</v>
      </c>
      <c r="AX20" s="205" t="s">
        <v>405</v>
      </c>
      <c r="AY20" s="207" t="s">
        <v>434</v>
      </c>
      <c r="AZ20" s="206">
        <f t="shared" si="3"/>
        <v>197</v>
      </c>
      <c r="BA20" s="205" t="s">
        <v>392</v>
      </c>
      <c r="BJ20" s="81" t="s">
        <v>451</v>
      </c>
      <c r="BK20" s="204">
        <f>BG7</f>
        <v>1904462.5600000003</v>
      </c>
      <c r="BQ20" s="154" t="s">
        <v>389</v>
      </c>
      <c r="BR20" s="81" t="s">
        <v>390</v>
      </c>
      <c r="BS20" s="81" t="s">
        <v>405</v>
      </c>
      <c r="BT20" s="204">
        <f>SUM(O14)*1/(0.5*SUM(AD42:AD43)+1/3.5)</f>
        <v>287.60264900662253</v>
      </c>
      <c r="BU20" s="81" t="s">
        <v>392</v>
      </c>
      <c r="BV20" s="204">
        <v>701</v>
      </c>
      <c r="BX20" s="81" t="s">
        <v>460</v>
      </c>
      <c r="BY20" s="81">
        <f>AVERAGE(SUM(O6:O9),O26)*(1/(1/8+SUM(AD31:AD32)/2+SUM(AD18:AD19)/2))</f>
        <v>241.04230611407471</v>
      </c>
      <c r="BZ20" s="211">
        <f>CC29</f>
        <v>197</v>
      </c>
      <c r="CA20" s="211"/>
      <c r="CB20" s="81" t="s">
        <v>478</v>
      </c>
      <c r="CC20" s="204">
        <v>-13.1</v>
      </c>
      <c r="CD20" s="204">
        <v>157</v>
      </c>
      <c r="CH20" s="81" t="s">
        <v>291</v>
      </c>
      <c r="CI20" s="204">
        <v>23000000</v>
      </c>
      <c r="CJ20" s="204">
        <v>709000</v>
      </c>
      <c r="CK20" s="81">
        <v>32.450000000000003</v>
      </c>
      <c r="CL20" s="81" t="s">
        <v>505</v>
      </c>
      <c r="CN20" s="81" t="s">
        <v>477</v>
      </c>
      <c r="CO20" s="204">
        <v>-11.2</v>
      </c>
      <c r="CP20" s="204">
        <v>112</v>
      </c>
      <c r="CQ20" s="81">
        <v>-0.1</v>
      </c>
      <c r="CR20" s="81">
        <v>0.92</v>
      </c>
      <c r="CV20" s="212" t="s">
        <v>506</v>
      </c>
      <c r="CW20" s="81" t="s">
        <v>411</v>
      </c>
      <c r="CX20" s="204">
        <v>0.15</v>
      </c>
      <c r="CY20" s="204">
        <v>2.3300000000000001E-6</v>
      </c>
      <c r="CZ20" s="81">
        <v>64377</v>
      </c>
      <c r="DA20" s="81" t="s">
        <v>505</v>
      </c>
      <c r="DB20" s="81" t="s">
        <v>510</v>
      </c>
      <c r="DF20" s="81" t="s">
        <v>389</v>
      </c>
      <c r="DG20" s="81" t="s">
        <v>390</v>
      </c>
      <c r="DH20" s="81" t="str">
        <f t="shared" si="13"/>
        <v>CfiN</v>
      </c>
      <c r="DI20" s="81" t="s">
        <v>434</v>
      </c>
      <c r="DJ20" s="204">
        <f t="shared" si="14"/>
        <v>67000000</v>
      </c>
      <c r="DK20" s="81" t="s">
        <v>392</v>
      </c>
      <c r="DL20" s="81" t="s">
        <v>406</v>
      </c>
      <c r="DM20" s="289">
        <f t="shared" si="0"/>
        <v>199.08073338295438</v>
      </c>
      <c r="DN20" s="289">
        <f t="shared" si="1"/>
        <v>1380</v>
      </c>
      <c r="DO20" s="289">
        <f t="shared" si="2"/>
        <v>487</v>
      </c>
      <c r="DQ20" s="290" t="s">
        <v>506</v>
      </c>
      <c r="DR20" s="290" t="s">
        <v>547</v>
      </c>
      <c r="DS20" s="291">
        <v>0.23</v>
      </c>
      <c r="DT20" s="291">
        <v>9.5600000000000004E-2</v>
      </c>
      <c r="DU20" s="290">
        <v>2.4</v>
      </c>
      <c r="DV20" s="291">
        <v>1.6199999999999999E-2</v>
      </c>
      <c r="DW20" s="290" t="s">
        <v>511</v>
      </c>
      <c r="DY20" s="212" t="s">
        <v>568</v>
      </c>
      <c r="DZ20" s="295" t="s">
        <v>584</v>
      </c>
      <c r="EA20" s="292" t="s">
        <v>434</v>
      </c>
      <c r="EB20" s="293">
        <f t="shared" si="11"/>
        <v>0.72299999999999998</v>
      </c>
      <c r="EC20" s="212" t="s">
        <v>392</v>
      </c>
      <c r="EE20" s="160" t="s">
        <v>568</v>
      </c>
      <c r="EF20" s="324" t="s">
        <v>584</v>
      </c>
      <c r="EG20" s="322" t="s">
        <v>434</v>
      </c>
      <c r="EH20" s="160">
        <f>$O$13*$Z$37*$AP$7</f>
        <v>0.55907150717108456</v>
      </c>
      <c r="EI20" s="160" t="s">
        <v>392</v>
      </c>
    </row>
    <row r="21" spans="1:139" ht="15" customHeight="1" thickTop="1" thickBot="1" x14ac:dyDescent="0.3">
      <c r="A21" s="220"/>
      <c r="B21" s="221"/>
      <c r="C21" s="221"/>
      <c r="D21" s="226" t="s">
        <v>86</v>
      </c>
      <c r="E21" s="231"/>
      <c r="F21" s="239">
        <f>G4/B6</f>
        <v>0.15223214285714287</v>
      </c>
      <c r="G21" s="231"/>
      <c r="H21" s="222"/>
      <c r="I21" s="221"/>
      <c r="K21" s="81" t="s">
        <v>84</v>
      </c>
      <c r="L21" s="250">
        <v>0</v>
      </c>
      <c r="M21" s="251">
        <v>2</v>
      </c>
      <c r="N21" s="251" t="s">
        <v>54</v>
      </c>
      <c r="O21" s="252">
        <f>H10</f>
        <v>4.05</v>
      </c>
      <c r="P21" s="253" t="s">
        <v>26</v>
      </c>
      <c r="Q21" s="30">
        <f t="shared" si="6"/>
        <v>2</v>
      </c>
      <c r="R21" s="30">
        <f t="shared" si="7"/>
        <v>8.1</v>
      </c>
      <c r="S21" s="30">
        <f t="shared" si="16"/>
        <v>0</v>
      </c>
      <c r="T21" s="30">
        <f t="shared" si="17"/>
        <v>0</v>
      </c>
      <c r="U21" s="30">
        <f t="shared" si="18"/>
        <v>0</v>
      </c>
      <c r="V21" s="31"/>
      <c r="W21" s="3"/>
      <c r="X21" s="260" t="s">
        <v>85</v>
      </c>
      <c r="Y21" s="261"/>
      <c r="Z21" s="262" t="s">
        <v>21</v>
      </c>
      <c r="AA21" s="263">
        <f>(1/(1/4+SUM(AD23:AD25)+1/4))</f>
        <v>1.210762331838565</v>
      </c>
      <c r="AB21" s="261" t="s">
        <v>5</v>
      </c>
      <c r="AC21" s="261"/>
      <c r="AD21" s="261" t="s">
        <v>22</v>
      </c>
      <c r="AE21" s="264">
        <f>SUM(AE23:AE26)</f>
        <v>197400.00000000003</v>
      </c>
      <c r="AF21" s="14" t="s">
        <v>23</v>
      </c>
      <c r="AG21" s="14">
        <f>SUM(AE23:AE25)</f>
        <v>197400.00000000003</v>
      </c>
      <c r="AH21" s="14"/>
      <c r="AM21" s="154" t="s">
        <v>389</v>
      </c>
      <c r="AN21" s="81" t="s">
        <v>390</v>
      </c>
      <c r="AO21" s="81" t="s">
        <v>406</v>
      </c>
      <c r="AP21" s="81">
        <f>2*AA21*O27+O30*1*AA52</f>
        <v>199.08073338295438</v>
      </c>
      <c r="AQ21" s="81" t="s">
        <v>392</v>
      </c>
      <c r="AR21" s="204">
        <v>1380</v>
      </c>
      <c r="AV21" s="205" t="s">
        <v>389</v>
      </c>
      <c r="AW21" s="205" t="s">
        <v>390</v>
      </c>
      <c r="AX21" s="205" t="s">
        <v>406</v>
      </c>
      <c r="AY21" s="207" t="s">
        <v>434</v>
      </c>
      <c r="AZ21" s="206">
        <f t="shared" si="3"/>
        <v>487</v>
      </c>
      <c r="BA21" s="205" t="s">
        <v>392</v>
      </c>
      <c r="BJ21" s="81" t="s">
        <v>452</v>
      </c>
      <c r="BK21" s="204">
        <f>BG27</f>
        <v>1336649.5999999999</v>
      </c>
      <c r="BQ21" s="154" t="s">
        <v>389</v>
      </c>
      <c r="BR21" s="81" t="s">
        <v>390</v>
      </c>
      <c r="BS21" s="81" t="s">
        <v>406</v>
      </c>
      <c r="BT21" s="204">
        <f>2*O27*1/(1/3.5+SUM(AD23:AD25)/2)</f>
        <v>294.65341981132082</v>
      </c>
      <c r="BU21" s="81" t="s">
        <v>392</v>
      </c>
      <c r="BV21" s="204">
        <v>1380</v>
      </c>
      <c r="BX21" s="81" t="s">
        <v>461</v>
      </c>
      <c r="BY21" s="81">
        <f>AVERAGE(SUM(O6:O9),O14)*(1/(1/8+SUM(AD42:AD43)/2+SUM(AD18:AD19)/2))</f>
        <v>275.10437956204385</v>
      </c>
      <c r="BZ21" s="211">
        <f>CC30</f>
        <v>487</v>
      </c>
      <c r="CA21" s="211"/>
      <c r="CB21" s="81" t="s">
        <v>479</v>
      </c>
      <c r="CC21" s="204">
        <v>-14.4</v>
      </c>
      <c r="CD21" s="204">
        <v>199</v>
      </c>
      <c r="CH21" s="81" t="s">
        <v>293</v>
      </c>
      <c r="CI21" s="204">
        <v>28700000</v>
      </c>
      <c r="CJ21" s="204">
        <v>324000</v>
      </c>
      <c r="CK21" s="81">
        <v>88.56</v>
      </c>
      <c r="CL21" s="81" t="s">
        <v>505</v>
      </c>
      <c r="CN21" s="81" t="s">
        <v>478</v>
      </c>
      <c r="CO21" s="204">
        <v>-15.5</v>
      </c>
      <c r="CP21" s="204">
        <v>201</v>
      </c>
      <c r="CQ21" s="81">
        <v>-0.08</v>
      </c>
      <c r="CR21" s="81">
        <v>0.93799999999999994</v>
      </c>
      <c r="CV21" s="212" t="s">
        <v>506</v>
      </c>
      <c r="CW21" s="81" t="s">
        <v>394</v>
      </c>
      <c r="CX21" s="204">
        <v>0.14000000000000001</v>
      </c>
      <c r="CY21" s="204">
        <v>2.1799999999999999E-6</v>
      </c>
      <c r="CZ21" s="81">
        <v>64312</v>
      </c>
      <c r="DA21" s="81" t="s">
        <v>505</v>
      </c>
      <c r="DB21" s="81" t="s">
        <v>510</v>
      </c>
      <c r="DF21" s="81" t="s">
        <v>389</v>
      </c>
      <c r="DG21" s="81" t="s">
        <v>390</v>
      </c>
      <c r="DH21" s="81" t="str">
        <f t="shared" si="13"/>
        <v>CiD</v>
      </c>
      <c r="DI21" s="81" t="s">
        <v>434</v>
      </c>
      <c r="DJ21" s="204">
        <f t="shared" si="14"/>
        <v>2700000</v>
      </c>
      <c r="DK21" s="81" t="s">
        <v>392</v>
      </c>
      <c r="DL21" s="81" t="s">
        <v>407</v>
      </c>
      <c r="DM21" s="289">
        <f t="shared" si="0"/>
        <v>91.923239162201668</v>
      </c>
      <c r="DN21" s="289">
        <f t="shared" si="1"/>
        <v>259</v>
      </c>
      <c r="DO21" s="289">
        <f t="shared" si="2"/>
        <v>274</v>
      </c>
      <c r="DQ21" s="290" t="s">
        <v>506</v>
      </c>
      <c r="DR21" s="290" t="s">
        <v>412</v>
      </c>
      <c r="DS21" s="291">
        <v>0.67900000000000005</v>
      </c>
      <c r="DT21" s="291">
        <v>0.158</v>
      </c>
      <c r="DU21" s="290">
        <v>4.3</v>
      </c>
      <c r="DV21" s="291">
        <v>1.7E-5</v>
      </c>
      <c r="DW21" s="290" t="s">
        <v>510</v>
      </c>
      <c r="DY21" s="212" t="s">
        <v>568</v>
      </c>
      <c r="DZ21" s="295" t="s">
        <v>585</v>
      </c>
      <c r="EA21" s="292" t="s">
        <v>434</v>
      </c>
      <c r="EB21" s="293">
        <f t="shared" si="11"/>
        <v>0.17299999999999999</v>
      </c>
      <c r="EC21" s="212" t="s">
        <v>392</v>
      </c>
      <c r="EE21" s="160" t="s">
        <v>568</v>
      </c>
      <c r="EF21" s="324" t="s">
        <v>585</v>
      </c>
      <c r="EG21" s="322" t="s">
        <v>434</v>
      </c>
      <c r="EH21" s="160">
        <f>$O$11*$Z$37*$AP$42</f>
        <v>0.32985722137771917</v>
      </c>
      <c r="EI21" s="160" t="s">
        <v>392</v>
      </c>
    </row>
    <row r="22" spans="1:139" ht="15" customHeight="1" thickTop="1" thickBot="1" x14ac:dyDescent="0.3">
      <c r="A22" s="237"/>
      <c r="B22" s="219"/>
      <c r="C22" s="219"/>
      <c r="D22" s="220" t="s">
        <v>88</v>
      </c>
      <c r="E22" s="221"/>
      <c r="F22" s="227">
        <f>G4/B26</f>
        <v>8.3170731707317078E-2</v>
      </c>
      <c r="G22" s="221"/>
      <c r="H22" s="222"/>
      <c r="I22" s="221"/>
      <c r="K22" s="81" t="s">
        <v>87</v>
      </c>
      <c r="L22" s="250">
        <v>0</v>
      </c>
      <c r="M22" s="251">
        <v>2</v>
      </c>
      <c r="N22" s="251" t="s">
        <v>54</v>
      </c>
      <c r="O22" s="252">
        <f>H11</f>
        <v>3.45</v>
      </c>
      <c r="P22" s="253" t="s">
        <v>39</v>
      </c>
      <c r="Q22" s="30">
        <f t="shared" si="6"/>
        <v>2</v>
      </c>
      <c r="R22" s="30">
        <f t="shared" si="7"/>
        <v>6.9</v>
      </c>
      <c r="S22" s="30">
        <f t="shared" si="16"/>
        <v>0</v>
      </c>
      <c r="T22" s="30">
        <f t="shared" si="17"/>
        <v>0</v>
      </c>
      <c r="U22" s="30">
        <f t="shared" si="18"/>
        <v>0</v>
      </c>
      <c r="V22" s="31"/>
      <c r="W22" s="3"/>
      <c r="X22" s="265"/>
      <c r="Y22" s="266" t="s">
        <v>27</v>
      </c>
      <c r="Z22" s="266" t="s">
        <v>28</v>
      </c>
      <c r="AA22" s="266" t="s">
        <v>29</v>
      </c>
      <c r="AB22" s="266" t="s">
        <v>30</v>
      </c>
      <c r="AC22" s="266" t="s">
        <v>31</v>
      </c>
      <c r="AD22" s="266" t="s">
        <v>32</v>
      </c>
      <c r="AE22" s="267" t="s">
        <v>33</v>
      </c>
      <c r="AF22" s="14"/>
      <c r="AG22" s="14"/>
      <c r="AH22" s="14"/>
      <c r="AM22" s="154" t="s">
        <v>389</v>
      </c>
      <c r="AN22" s="81" t="s">
        <v>390</v>
      </c>
      <c r="AO22" s="81" t="s">
        <v>407</v>
      </c>
      <c r="AP22" s="3">
        <f>'Verwarming Tabula 2zone Ref 1'!B60+SUM(R10:R13)+R16</f>
        <v>91.923239162201668</v>
      </c>
      <c r="AQ22" s="81" t="s">
        <v>392</v>
      </c>
      <c r="AR22" s="204">
        <v>259</v>
      </c>
      <c r="AV22" s="205" t="s">
        <v>389</v>
      </c>
      <c r="AW22" s="205" t="s">
        <v>390</v>
      </c>
      <c r="AX22" s="205" t="s">
        <v>407</v>
      </c>
      <c r="AY22" s="207" t="s">
        <v>434</v>
      </c>
      <c r="AZ22" s="206">
        <f t="shared" si="3"/>
        <v>274</v>
      </c>
      <c r="BA22" s="205" t="s">
        <v>392</v>
      </c>
      <c r="BQ22" s="154" t="s">
        <v>389</v>
      </c>
      <c r="BR22" s="81" t="s">
        <v>390</v>
      </c>
      <c r="BS22" s="81" t="s">
        <v>407</v>
      </c>
      <c r="BT22" s="204">
        <f t="shared" ref="BT22" si="19">AR22</f>
        <v>259</v>
      </c>
      <c r="BU22" s="81" t="s">
        <v>392</v>
      </c>
      <c r="BV22" s="204">
        <v>259</v>
      </c>
      <c r="BX22" s="81" t="s">
        <v>462</v>
      </c>
      <c r="BY22" s="81">
        <f>AVERAGE(SUM(O27),O26)*(1/(1/8+SUM(AD31:AD32)/2+SUM(AD23:AD25)/4))</f>
        <v>263.77193533902113</v>
      </c>
      <c r="BZ22" s="211">
        <f>CC31</f>
        <v>274</v>
      </c>
      <c r="CA22" s="211"/>
      <c r="CB22" s="81" t="s">
        <v>480</v>
      </c>
      <c r="CC22" s="204">
        <v>-14.1</v>
      </c>
      <c r="CD22" s="204">
        <v>189</v>
      </c>
      <c r="CH22" s="81" t="s">
        <v>476</v>
      </c>
      <c r="CI22" s="204">
        <v>-6.33</v>
      </c>
      <c r="CJ22" s="204">
        <v>8.6699999999999999E-2</v>
      </c>
      <c r="CK22" s="81">
        <v>-73.040000000000006</v>
      </c>
      <c r="CL22" s="81" t="s">
        <v>505</v>
      </c>
      <c r="CN22" s="81" t="s">
        <v>479</v>
      </c>
      <c r="CO22" s="204">
        <v>-12.1</v>
      </c>
      <c r="CP22" s="204">
        <v>79.7</v>
      </c>
      <c r="CQ22" s="81">
        <v>-0.15</v>
      </c>
      <c r="CR22" s="81">
        <v>0.879</v>
      </c>
      <c r="CV22" s="212" t="s">
        <v>506</v>
      </c>
      <c r="CW22" s="81" t="s">
        <v>412</v>
      </c>
      <c r="CX22" s="204">
        <v>0.11</v>
      </c>
      <c r="CY22" s="204">
        <v>1.72E-6</v>
      </c>
      <c r="CZ22" s="81">
        <v>64117</v>
      </c>
      <c r="DA22" s="81" t="s">
        <v>505</v>
      </c>
      <c r="DB22" s="81" t="s">
        <v>510</v>
      </c>
      <c r="DF22" s="81" t="s">
        <v>389</v>
      </c>
      <c r="DG22" s="81" t="s">
        <v>390</v>
      </c>
      <c r="DH22" s="81" t="str">
        <f t="shared" si="13"/>
        <v>CiN</v>
      </c>
      <c r="DI22" s="81" t="s">
        <v>434</v>
      </c>
      <c r="DJ22" s="204">
        <f t="shared" si="14"/>
        <v>1700000</v>
      </c>
      <c r="DK22" s="81" t="s">
        <v>392</v>
      </c>
      <c r="DL22" s="81" t="s">
        <v>408</v>
      </c>
      <c r="DM22" s="289">
        <f t="shared" si="0"/>
        <v>27.553651976295956</v>
      </c>
      <c r="DN22" s="289">
        <f t="shared" si="1"/>
        <v>123.91573729863691</v>
      </c>
      <c r="DO22" s="289">
        <f t="shared" si="2"/>
        <v>155.27950310559004</v>
      </c>
      <c r="DQ22" s="290" t="s">
        <v>506</v>
      </c>
      <c r="DR22" s="290" t="s">
        <v>548</v>
      </c>
      <c r="DS22" s="291">
        <v>0.187</v>
      </c>
      <c r="DT22" s="291">
        <v>3.5999999999999997E-2</v>
      </c>
      <c r="DU22" s="290">
        <v>5.19</v>
      </c>
      <c r="DV22" s="291">
        <v>2.2000000000000001E-7</v>
      </c>
      <c r="DW22" s="290" t="s">
        <v>510</v>
      </c>
      <c r="DY22" s="212" t="s">
        <v>568</v>
      </c>
      <c r="DZ22" s="295" t="s">
        <v>586</v>
      </c>
      <c r="EA22" s="292" t="s">
        <v>434</v>
      </c>
      <c r="EB22" s="293">
        <f t="shared" si="11"/>
        <v>0.157</v>
      </c>
      <c r="EC22" s="212" t="s">
        <v>392</v>
      </c>
      <c r="EE22" s="160" t="s">
        <v>568</v>
      </c>
      <c r="EF22" s="324" t="s">
        <v>586</v>
      </c>
      <c r="EG22" s="322" t="s">
        <v>434</v>
      </c>
      <c r="EH22" s="160">
        <f>$O$10*$Z$37*$AP$42</f>
        <v>0.3872236946608007</v>
      </c>
      <c r="EI22" s="160" t="s">
        <v>392</v>
      </c>
    </row>
    <row r="23" spans="1:139" ht="15" customHeight="1" thickTop="1" thickBot="1" x14ac:dyDescent="0.3">
      <c r="A23" s="223" t="s">
        <v>91</v>
      </c>
      <c r="B23" s="224">
        <f>B17+B6</f>
        <v>224</v>
      </c>
      <c r="C23" s="234" t="s">
        <v>9</v>
      </c>
      <c r="D23" s="220"/>
      <c r="E23" s="221"/>
      <c r="F23" s="221"/>
      <c r="G23" s="221"/>
      <c r="H23" s="222"/>
      <c r="I23" s="221"/>
      <c r="K23" s="81" t="s">
        <v>89</v>
      </c>
      <c r="L23" s="250">
        <v>0</v>
      </c>
      <c r="M23" s="251">
        <v>2</v>
      </c>
      <c r="N23" s="251" t="s">
        <v>54</v>
      </c>
      <c r="O23" s="252">
        <f>H12</f>
        <v>4.5</v>
      </c>
      <c r="P23" s="253" t="s">
        <v>45</v>
      </c>
      <c r="Q23" s="30">
        <f t="shared" si="6"/>
        <v>2</v>
      </c>
      <c r="R23" s="30">
        <f t="shared" si="7"/>
        <v>9</v>
      </c>
      <c r="S23" s="30">
        <f t="shared" si="16"/>
        <v>0</v>
      </c>
      <c r="T23" s="30">
        <f t="shared" si="17"/>
        <v>0</v>
      </c>
      <c r="U23" s="30">
        <f t="shared" si="18"/>
        <v>0</v>
      </c>
      <c r="V23" s="31"/>
      <c r="W23" s="3"/>
      <c r="X23" s="220"/>
      <c r="Y23" s="221" t="s">
        <v>90</v>
      </c>
      <c r="Z23" s="221">
        <v>0.02</v>
      </c>
      <c r="AA23" s="221">
        <v>0.6</v>
      </c>
      <c r="AB23" s="221">
        <v>975</v>
      </c>
      <c r="AC23" s="221">
        <v>840</v>
      </c>
      <c r="AD23" s="268">
        <f>Z23/AA23</f>
        <v>3.3333333333333333E-2</v>
      </c>
      <c r="AE23" s="222">
        <f>Z23*AB23*AC23</f>
        <v>16380</v>
      </c>
      <c r="AF23" s="14"/>
      <c r="AG23" s="14"/>
      <c r="AH23" s="14"/>
      <c r="AM23" s="154" t="s">
        <v>389</v>
      </c>
      <c r="AN23" s="81" t="s">
        <v>390</v>
      </c>
      <c r="AO23" s="81" t="s">
        <v>408</v>
      </c>
      <c r="AP23" s="81">
        <f>SUM(O6:O9)*1/(SUM(AD15:AD17)+1/23)</f>
        <v>27.553651976295956</v>
      </c>
      <c r="AQ23" s="81" t="s">
        <v>392</v>
      </c>
      <c r="AR23" s="81">
        <f>1/(0.00807)</f>
        <v>123.91573729863691</v>
      </c>
      <c r="AV23" s="205" t="s">
        <v>389</v>
      </c>
      <c r="AW23" s="205" t="s">
        <v>390</v>
      </c>
      <c r="AX23" s="205" t="s">
        <v>408</v>
      </c>
      <c r="AY23" s="207" t="s">
        <v>434</v>
      </c>
      <c r="AZ23" s="206">
        <f t="shared" si="3"/>
        <v>155.27950310559004</v>
      </c>
      <c r="BA23" s="205" t="s">
        <v>392</v>
      </c>
      <c r="BE23" s="208"/>
      <c r="BF23" s="208" t="s">
        <v>453</v>
      </c>
      <c r="BJ23" s="81" t="s">
        <v>295</v>
      </c>
      <c r="BK23" s="204">
        <f>BK9+BK10+BK11+BK12+BK18</f>
        <v>114019793.40000001</v>
      </c>
      <c r="BQ23" s="154" t="s">
        <v>389</v>
      </c>
      <c r="BR23" s="81" t="s">
        <v>390</v>
      </c>
      <c r="BS23" s="81" t="s">
        <v>408</v>
      </c>
      <c r="BT23" s="204">
        <f>AR23</f>
        <v>123.91573729863691</v>
      </c>
      <c r="BU23" s="81" t="s">
        <v>392</v>
      </c>
      <c r="BV23" s="81">
        <f>1/(0.00807)</f>
        <v>123.91573729863691</v>
      </c>
      <c r="BX23" s="81" t="s">
        <v>463</v>
      </c>
      <c r="BY23" s="81">
        <f>AVERAGE(SUM(O27),O14)*(1/(1/8+SUM(AD42:AD43)/2+SUM(AD23:AD25)/4))</f>
        <v>302.36814535158095</v>
      </c>
      <c r="BZ23" s="211">
        <f>1/CC37</f>
        <v>155.27950310559004</v>
      </c>
      <c r="CA23" s="211"/>
      <c r="CB23" s="81" t="s">
        <v>481</v>
      </c>
      <c r="CC23" s="204">
        <v>6.9400000000000003E-2</v>
      </c>
      <c r="CD23" s="204">
        <v>7.76E-4</v>
      </c>
      <c r="CH23" s="81" t="s">
        <v>477</v>
      </c>
      <c r="CI23" s="204">
        <v>-24.6</v>
      </c>
      <c r="CJ23" s="204">
        <v>1360</v>
      </c>
      <c r="CK23" s="81">
        <v>-0.02</v>
      </c>
      <c r="CL23" s="81">
        <v>0.99</v>
      </c>
      <c r="CN23" s="81" t="s">
        <v>481</v>
      </c>
      <c r="CO23" s="204">
        <v>0.19700000000000001</v>
      </c>
      <c r="CP23" s="204">
        <v>1.81E-3</v>
      </c>
      <c r="CQ23" s="81">
        <v>108.63</v>
      </c>
      <c r="CR23" s="81" t="s">
        <v>509</v>
      </c>
      <c r="CS23" s="204">
        <v>2E-16</v>
      </c>
      <c r="CT23" s="81" t="s">
        <v>510</v>
      </c>
      <c r="CV23" s="212">
        <v>16</v>
      </c>
      <c r="DF23" s="81" t="s">
        <v>389</v>
      </c>
      <c r="DG23" s="81" t="s">
        <v>390</v>
      </c>
      <c r="DH23" s="81" t="str">
        <f t="shared" si="13"/>
        <v>CwD</v>
      </c>
      <c r="DI23" s="81" t="s">
        <v>434</v>
      </c>
      <c r="DJ23" s="204">
        <f t="shared" si="14"/>
        <v>16300000</v>
      </c>
      <c r="DK23" s="81" t="s">
        <v>392</v>
      </c>
      <c r="DL23" s="81" t="s">
        <v>409</v>
      </c>
      <c r="DM23" s="289">
        <f t="shared" si="0"/>
        <v>10.346482801274425</v>
      </c>
      <c r="DN23" s="289">
        <f t="shared" si="1"/>
        <v>63.9</v>
      </c>
      <c r="DO23" s="289">
        <f t="shared" si="2"/>
        <v>58.3</v>
      </c>
      <c r="DQ23" s="290" t="s">
        <v>506</v>
      </c>
      <c r="DR23" s="290" t="s">
        <v>549</v>
      </c>
      <c r="DS23" s="291">
        <v>0.48399999999999999</v>
      </c>
      <c r="DT23" s="291">
        <v>4.7100000000000003E-2</v>
      </c>
      <c r="DU23" s="290">
        <v>10.27</v>
      </c>
      <c r="DV23" s="290" t="s">
        <v>509</v>
      </c>
      <c r="DW23" s="291">
        <v>2E-16</v>
      </c>
      <c r="DX23" s="81" t="s">
        <v>510</v>
      </c>
      <c r="DY23" s="212" t="s">
        <v>568</v>
      </c>
      <c r="DZ23" s="294" t="s">
        <v>587</v>
      </c>
      <c r="EA23" s="292" t="s">
        <v>434</v>
      </c>
      <c r="EB23" s="293">
        <f t="shared" si="11"/>
        <v>0.18099999999999999</v>
      </c>
      <c r="EC23" s="212" t="s">
        <v>392</v>
      </c>
      <c r="EE23" s="160" t="s">
        <v>568</v>
      </c>
      <c r="EF23" s="323" t="s">
        <v>587</v>
      </c>
      <c r="EG23" s="322" t="s">
        <v>434</v>
      </c>
      <c r="EH23" s="160">
        <f>$O$12*$Z$37*$AP$42</f>
        <v>0.43024854962311188</v>
      </c>
      <c r="EI23" s="160" t="s">
        <v>392</v>
      </c>
    </row>
    <row r="24" spans="1:139" ht="15" customHeight="1" thickTop="1" thickBot="1" x14ac:dyDescent="0.3">
      <c r="A24" s="220" t="s">
        <v>94</v>
      </c>
      <c r="B24" s="240">
        <f>B23/B6</f>
        <v>1</v>
      </c>
      <c r="C24" s="221"/>
      <c r="D24" s="220" t="s">
        <v>95</v>
      </c>
      <c r="E24" s="221"/>
      <c r="F24" s="240">
        <f>B8/B6</f>
        <v>0.53839285714285712</v>
      </c>
      <c r="G24" s="221"/>
      <c r="H24" s="222"/>
      <c r="I24" s="221"/>
      <c r="K24" s="81" t="s">
        <v>92</v>
      </c>
      <c r="L24" s="250">
        <v>0</v>
      </c>
      <c r="M24" s="251">
        <v>2</v>
      </c>
      <c r="N24" s="251" t="s">
        <v>54</v>
      </c>
      <c r="O24" s="252">
        <f>H13</f>
        <v>5.05</v>
      </c>
      <c r="P24" s="253" t="s">
        <v>50</v>
      </c>
      <c r="Q24" s="30">
        <f t="shared" si="6"/>
        <v>2</v>
      </c>
      <c r="R24" s="30">
        <f t="shared" si="7"/>
        <v>10.1</v>
      </c>
      <c r="S24" s="30">
        <f t="shared" si="16"/>
        <v>0</v>
      </c>
      <c r="T24" s="30">
        <f t="shared" si="17"/>
        <v>0</v>
      </c>
      <c r="U24" s="30">
        <f t="shared" si="18"/>
        <v>0</v>
      </c>
      <c r="V24" s="31"/>
      <c r="W24" s="3"/>
      <c r="X24" s="220"/>
      <c r="Y24" s="221" t="s">
        <v>93</v>
      </c>
      <c r="Z24" s="221">
        <v>0.14000000000000001</v>
      </c>
      <c r="AA24" s="221">
        <v>0.54</v>
      </c>
      <c r="AB24" s="221">
        <v>1400</v>
      </c>
      <c r="AC24" s="221">
        <v>840</v>
      </c>
      <c r="AD24" s="268">
        <f>Z24/AA24</f>
        <v>0.25925925925925924</v>
      </c>
      <c r="AE24" s="222">
        <f>Z24*AB24*AC24</f>
        <v>164640.00000000003</v>
      </c>
      <c r="AF24" s="14"/>
      <c r="AG24" s="14"/>
      <c r="AH24" s="14"/>
      <c r="AM24" s="154" t="s">
        <v>389</v>
      </c>
      <c r="AN24" s="81" t="s">
        <v>390</v>
      </c>
      <c r="AO24" s="81" t="s">
        <v>409</v>
      </c>
      <c r="AP24" s="81">
        <f>SUM(O14)*1/(SUM(AD44:AD46)/'[1]Verwarming Tabula 2zone Ref 1'!H28)</f>
        <v>10.346482801274425</v>
      </c>
      <c r="AQ24" s="81" t="s">
        <v>392</v>
      </c>
      <c r="AR24" s="204">
        <f>63.9</f>
        <v>63.9</v>
      </c>
      <c r="AV24" s="205" t="s">
        <v>389</v>
      </c>
      <c r="AW24" s="205" t="s">
        <v>390</v>
      </c>
      <c r="AX24" s="205" t="s">
        <v>409</v>
      </c>
      <c r="AY24" s="207" t="s">
        <v>434</v>
      </c>
      <c r="AZ24" s="206">
        <f t="shared" si="3"/>
        <v>58.3</v>
      </c>
      <c r="BA24" s="205" t="s">
        <v>392</v>
      </c>
      <c r="BF24" s="81" t="s">
        <v>281</v>
      </c>
      <c r="BG24" s="81">
        <f>1/(1/AP37+1/AP40)</f>
        <v>63.365634693637332</v>
      </c>
      <c r="BJ24" s="81" t="s">
        <v>122</v>
      </c>
      <c r="BK24" s="204">
        <f>BK20+BK21</f>
        <v>3241112.16</v>
      </c>
      <c r="BQ24" s="154" t="s">
        <v>389</v>
      </c>
      <c r="BR24" s="81" t="s">
        <v>390</v>
      </c>
      <c r="BS24" s="81" t="s">
        <v>409</v>
      </c>
      <c r="BT24" s="204">
        <f>AR24</f>
        <v>63.9</v>
      </c>
      <c r="BU24" s="81" t="s">
        <v>392</v>
      </c>
      <c r="BV24" s="204">
        <f>63.9</f>
        <v>63.9</v>
      </c>
      <c r="BX24" s="81" t="s">
        <v>464</v>
      </c>
      <c r="BY24" s="81">
        <f>AVERAGE(SUM(O26),O14)*(1/(1/8+SUM(AD42:AD43)/2+SUM(AD31:AD32)/4))</f>
        <v>396.73529411764707</v>
      </c>
      <c r="BZ24" s="211">
        <f>CC40</f>
        <v>58.3</v>
      </c>
      <c r="CA24" s="211"/>
      <c r="CB24" s="81" t="s">
        <v>482</v>
      </c>
      <c r="CC24" s="204">
        <v>0.14099999999999999</v>
      </c>
      <c r="CD24" s="204">
        <v>9.4499999999999998E-4</v>
      </c>
      <c r="CH24" s="81" t="s">
        <v>478</v>
      </c>
      <c r="CI24" s="204">
        <v>-13.1</v>
      </c>
      <c r="CJ24" s="204">
        <v>157</v>
      </c>
      <c r="CK24" s="81">
        <v>-0.08</v>
      </c>
      <c r="CL24" s="81">
        <v>0.93</v>
      </c>
      <c r="CN24" s="81" t="s">
        <v>482</v>
      </c>
      <c r="CO24" s="204">
        <v>4.9399999999999999E-2</v>
      </c>
      <c r="CP24" s="204">
        <v>3.4299999999999999E-4</v>
      </c>
      <c r="CQ24" s="81">
        <v>144.25</v>
      </c>
      <c r="CR24" s="81" t="s">
        <v>509</v>
      </c>
      <c r="CS24" s="204">
        <v>2E-16</v>
      </c>
      <c r="CT24" s="81" t="s">
        <v>510</v>
      </c>
      <c r="CV24" s="212" t="s">
        <v>506</v>
      </c>
      <c r="CW24" s="81" t="s">
        <v>423</v>
      </c>
      <c r="CX24" s="204">
        <v>0.17</v>
      </c>
      <c r="CY24" s="204">
        <v>2.6400000000000001E-6</v>
      </c>
      <c r="CZ24" s="81">
        <v>64508</v>
      </c>
      <c r="DA24" s="81" t="s">
        <v>505</v>
      </c>
      <c r="DB24" s="81" t="s">
        <v>510</v>
      </c>
      <c r="DF24" s="81" t="s">
        <v>389</v>
      </c>
      <c r="DG24" s="81" t="s">
        <v>390</v>
      </c>
      <c r="DH24" s="81" t="str">
        <f t="shared" si="13"/>
        <v>CwiD</v>
      </c>
      <c r="DI24" s="81" t="s">
        <v>434</v>
      </c>
      <c r="DJ24" s="204">
        <f t="shared" si="14"/>
        <v>26200000</v>
      </c>
      <c r="DK24" s="81" t="s">
        <v>392</v>
      </c>
      <c r="DM24" s="287">
        <f t="shared" si="0"/>
        <v>0</v>
      </c>
      <c r="DN24" s="287">
        <f t="shared" si="1"/>
        <v>0</v>
      </c>
      <c r="DO24" s="287">
        <f t="shared" si="2"/>
        <v>0</v>
      </c>
      <c r="DQ24" s="290" t="s">
        <v>506</v>
      </c>
      <c r="DR24" s="290" t="s">
        <v>550</v>
      </c>
      <c r="DS24" s="291">
        <v>0.61599999999999999</v>
      </c>
      <c r="DT24" s="291">
        <v>1.2200000000000001E-2</v>
      </c>
      <c r="DU24" s="290">
        <v>50.42</v>
      </c>
      <c r="DV24" s="290" t="s">
        <v>509</v>
      </c>
      <c r="DW24" s="291">
        <v>2E-16</v>
      </c>
      <c r="DX24" s="81" t="s">
        <v>510</v>
      </c>
      <c r="DY24" s="212" t="s">
        <v>568</v>
      </c>
      <c r="DZ24" s="292" t="s">
        <v>588</v>
      </c>
      <c r="EA24" s="292" t="s">
        <v>434</v>
      </c>
      <c r="EB24" s="293">
        <f t="shared" si="11"/>
        <v>0.13400000000000001</v>
      </c>
      <c r="EC24" s="212" t="s">
        <v>392</v>
      </c>
      <c r="EE24" s="160" t="s">
        <v>568</v>
      </c>
      <c r="EF24" s="322" t="s">
        <v>588</v>
      </c>
      <c r="EG24" s="322" t="s">
        <v>434</v>
      </c>
      <c r="EH24" s="160">
        <f>$O$13*$Z$37*$AP$42</f>
        <v>0.48283448346593671</v>
      </c>
      <c r="EI24" s="160" t="s">
        <v>392</v>
      </c>
    </row>
    <row r="25" spans="1:139" ht="15" customHeight="1" thickTop="1" thickBot="1" x14ac:dyDescent="0.3">
      <c r="A25" s="237"/>
      <c r="B25" s="219"/>
      <c r="C25" s="219"/>
      <c r="D25" s="220"/>
      <c r="E25" s="221"/>
      <c r="F25" s="221"/>
      <c r="G25" s="221"/>
      <c r="H25" s="222"/>
      <c r="I25" s="221"/>
      <c r="K25" s="81" t="s">
        <v>96</v>
      </c>
      <c r="L25" s="250">
        <v>0</v>
      </c>
      <c r="M25" s="251">
        <v>2</v>
      </c>
      <c r="N25" s="251" t="s">
        <v>20</v>
      </c>
      <c r="O25" s="252">
        <f>'[1]Tabula data'!B7</f>
        <v>108.5</v>
      </c>
      <c r="P25" s="253" t="s">
        <v>97</v>
      </c>
      <c r="Q25" s="30">
        <f t="shared" si="6"/>
        <v>0.27062537995411134</v>
      </c>
      <c r="R25" s="30">
        <f t="shared" si="7"/>
        <v>29.362853725021083</v>
      </c>
      <c r="S25" s="30">
        <f t="shared" si="16"/>
        <v>7181832</v>
      </c>
      <c r="T25" s="30">
        <f t="shared" si="17"/>
        <v>66192</v>
      </c>
      <c r="U25" s="30">
        <f t="shared" si="18"/>
        <v>3308382</v>
      </c>
      <c r="V25" s="31"/>
      <c r="W25" s="3"/>
      <c r="X25" s="237"/>
      <c r="Y25" s="219" t="s">
        <v>90</v>
      </c>
      <c r="Z25" s="219">
        <v>0.02</v>
      </c>
      <c r="AA25" s="219">
        <v>0.6</v>
      </c>
      <c r="AB25" s="219">
        <v>975</v>
      </c>
      <c r="AC25" s="219">
        <v>840</v>
      </c>
      <c r="AD25" s="269">
        <f>Z25/AA25</f>
        <v>3.3333333333333333E-2</v>
      </c>
      <c r="AE25" s="242">
        <f>Z25*AB25*AC25</f>
        <v>16380</v>
      </c>
      <c r="AF25" s="14"/>
      <c r="AG25" s="14"/>
      <c r="AH25" s="14"/>
      <c r="AQ25" s="81" t="s">
        <v>392</v>
      </c>
      <c r="AV25" s="205"/>
      <c r="AW25" s="205"/>
      <c r="AX25" s="205"/>
      <c r="AY25" s="207"/>
      <c r="BA25" s="205"/>
      <c r="BF25" s="81" t="s">
        <v>282</v>
      </c>
      <c r="BG25" s="3">
        <f>AP39</f>
        <v>51.346760837798342</v>
      </c>
      <c r="BJ25" s="81" t="s">
        <v>454</v>
      </c>
      <c r="BK25" s="204">
        <f>BK23+BK24</f>
        <v>117260905.56</v>
      </c>
      <c r="BT25" s="204"/>
      <c r="BU25" s="81" t="s">
        <v>392</v>
      </c>
      <c r="CB25" s="81" t="s">
        <v>483</v>
      </c>
      <c r="CC25" s="204">
        <v>0.76</v>
      </c>
      <c r="CD25" s="204">
        <v>3.9399999999999999E-3</v>
      </c>
      <c r="CH25" s="81" t="s">
        <v>479</v>
      </c>
      <c r="CI25" s="204">
        <v>-14.4</v>
      </c>
      <c r="CJ25" s="204">
        <v>199</v>
      </c>
      <c r="CK25" s="81">
        <v>-7.0000000000000007E-2</v>
      </c>
      <c r="CL25" s="81">
        <v>0.94</v>
      </c>
      <c r="CN25" s="81" t="s">
        <v>483</v>
      </c>
      <c r="CO25" s="204">
        <v>0.59799999999999998</v>
      </c>
      <c r="CP25" s="204">
        <v>1.04E-2</v>
      </c>
      <c r="CQ25" s="81">
        <v>57.36</v>
      </c>
      <c r="CR25" s="81" t="s">
        <v>509</v>
      </c>
      <c r="CS25" s="204">
        <v>2E-16</v>
      </c>
      <c r="CT25" s="81" t="s">
        <v>510</v>
      </c>
      <c r="CV25" s="212" t="s">
        <v>506</v>
      </c>
      <c r="CW25" s="81" t="s">
        <v>424</v>
      </c>
      <c r="CX25" s="204">
        <v>0.34</v>
      </c>
      <c r="CY25" s="204">
        <v>5.1800000000000004E-6</v>
      </c>
      <c r="CZ25" s="81">
        <v>65643</v>
      </c>
      <c r="DA25" s="81" t="s">
        <v>505</v>
      </c>
      <c r="DB25" s="81" t="s">
        <v>510</v>
      </c>
      <c r="DF25" s="81" t="s">
        <v>389</v>
      </c>
      <c r="DG25" s="81" t="s">
        <v>390</v>
      </c>
      <c r="DH25" s="81" t="str">
        <f t="shared" si="13"/>
        <v>CwiN</v>
      </c>
      <c r="DI25" s="81" t="s">
        <v>434</v>
      </c>
      <c r="DJ25" s="204">
        <f t="shared" si="14"/>
        <v>5730000</v>
      </c>
      <c r="DK25" s="81" t="s">
        <v>392</v>
      </c>
      <c r="DL25" s="81" t="s">
        <v>410</v>
      </c>
      <c r="DM25" s="286">
        <f t="shared" si="0"/>
        <v>0.34066631069566627</v>
      </c>
      <c r="DN25" s="286">
        <f t="shared" si="1"/>
        <v>0.41399999999999998</v>
      </c>
      <c r="DO25" s="286">
        <f t="shared" si="2"/>
        <v>0.44800000000000001</v>
      </c>
      <c r="DQ25" s="290" t="s">
        <v>506</v>
      </c>
      <c r="DR25" s="290" t="s">
        <v>551</v>
      </c>
      <c r="DS25" s="291">
        <v>0.56699999999999995</v>
      </c>
      <c r="DT25" s="291">
        <v>3.09E-2</v>
      </c>
      <c r="DU25" s="290">
        <v>18.36</v>
      </c>
      <c r="DV25" s="290" t="s">
        <v>509</v>
      </c>
      <c r="DW25" s="291">
        <v>2E-16</v>
      </c>
      <c r="DX25" s="81" t="s">
        <v>510</v>
      </c>
      <c r="EA25" s="292"/>
      <c r="EE25" s="160"/>
      <c r="EF25" s="160"/>
      <c r="EG25" s="322"/>
      <c r="EH25" s="160"/>
      <c r="EI25" s="160"/>
    </row>
    <row r="26" spans="1:139" ht="15" customHeight="1" thickTop="1" thickBot="1" x14ac:dyDescent="0.3">
      <c r="A26" s="223" t="s">
        <v>100</v>
      </c>
      <c r="B26" s="241">
        <f>'Tabula data'!B6</f>
        <v>410</v>
      </c>
      <c r="C26" s="235" t="s">
        <v>9</v>
      </c>
      <c r="D26" s="220"/>
      <c r="E26" s="221"/>
      <c r="F26" s="221"/>
      <c r="G26" s="221"/>
      <c r="H26" s="222"/>
      <c r="I26" s="221"/>
      <c r="K26" s="81" t="s">
        <v>98</v>
      </c>
      <c r="L26" s="250">
        <v>1</v>
      </c>
      <c r="M26" s="251">
        <v>2</v>
      </c>
      <c r="N26" s="251" t="s">
        <v>99</v>
      </c>
      <c r="O26" s="252">
        <f>'[1]Tabula data'!B4-'[1]Tabula data'!B14</f>
        <v>89.300000000000011</v>
      </c>
      <c r="P26" s="253"/>
      <c r="Q26" s="30">
        <f t="shared" si="6"/>
        <v>1.0482529118136439</v>
      </c>
      <c r="R26" s="30">
        <f t="shared" si="7"/>
        <v>93.608985024958415</v>
      </c>
      <c r="S26" s="30">
        <f t="shared" si="16"/>
        <v>41572722.000000007</v>
      </c>
      <c r="T26" s="30">
        <f t="shared" si="17"/>
        <v>465540</v>
      </c>
      <c r="U26" s="30">
        <f t="shared" si="18"/>
        <v>41572722.000000007</v>
      </c>
      <c r="V26" s="31"/>
      <c r="W26" s="3"/>
      <c r="X26" s="258"/>
      <c r="Y26" s="258"/>
      <c r="Z26" s="258"/>
      <c r="AA26" s="258"/>
      <c r="AB26" s="258"/>
      <c r="AC26" s="258"/>
      <c r="AD26" s="258"/>
      <c r="AE26" s="258"/>
      <c r="AF26" s="14"/>
      <c r="AG26" s="14"/>
      <c r="AH26" s="14"/>
      <c r="AM26" s="154" t="s">
        <v>389</v>
      </c>
      <c r="AN26" s="81" t="s">
        <v>390</v>
      </c>
      <c r="AO26" s="81" t="s">
        <v>410</v>
      </c>
      <c r="AP26" s="81">
        <f>SUM(O17:O20,O25)/SUM(O$17:O$25,2*O$28,O$26,O31,2*O29)</f>
        <v>0.34066631069566627</v>
      </c>
      <c r="AQ26" s="81" t="s">
        <v>392</v>
      </c>
      <c r="AR26" s="204">
        <v>0.41399999999999998</v>
      </c>
      <c r="AV26" s="205" t="s">
        <v>389</v>
      </c>
      <c r="AW26" s="205" t="s">
        <v>390</v>
      </c>
      <c r="AX26" s="205" t="s">
        <v>410</v>
      </c>
      <c r="AY26" s="207" t="s">
        <v>434</v>
      </c>
      <c r="AZ26" s="206">
        <f t="shared" si="3"/>
        <v>0.44800000000000001</v>
      </c>
      <c r="BA26" s="205" t="s">
        <v>392</v>
      </c>
      <c r="BF26" s="81" t="s">
        <v>295</v>
      </c>
      <c r="BG26" s="204">
        <f>AP31+AP32</f>
        <v>28533212.399999999</v>
      </c>
      <c r="BQ26" s="154" t="s">
        <v>389</v>
      </c>
      <c r="BR26" s="81" t="s">
        <v>390</v>
      </c>
      <c r="BS26" s="81" t="s">
        <v>410</v>
      </c>
      <c r="BT26" s="204">
        <f t="shared" ref="BT26:BT50" si="20">AR26</f>
        <v>0.41399999999999998</v>
      </c>
      <c r="BU26" s="81" t="s">
        <v>392</v>
      </c>
      <c r="BV26" s="204">
        <v>0.41399999999999998</v>
      </c>
      <c r="BZ26" s="211">
        <f>CO11</f>
        <v>0.44800000000000001</v>
      </c>
      <c r="CA26" s="211"/>
      <c r="CB26" s="81" t="s">
        <v>484</v>
      </c>
      <c r="CC26" s="204">
        <v>6.4100000000000004E-2</v>
      </c>
      <c r="CD26" s="204">
        <v>4.3300000000000001E-4</v>
      </c>
      <c r="CH26" s="81" t="s">
        <v>480</v>
      </c>
      <c r="CI26" s="204">
        <v>-14.1</v>
      </c>
      <c r="CJ26" s="204">
        <v>189</v>
      </c>
      <c r="CK26" s="81">
        <v>-7.0000000000000007E-2</v>
      </c>
      <c r="CL26" s="81">
        <v>0.94</v>
      </c>
      <c r="CN26" s="81" t="s">
        <v>484</v>
      </c>
      <c r="CO26" s="204">
        <v>9.5100000000000004E-2</v>
      </c>
      <c r="CP26" s="204">
        <v>9.5799999999999998E-4</v>
      </c>
      <c r="CQ26" s="81">
        <v>99.29</v>
      </c>
      <c r="CR26" s="81" t="s">
        <v>509</v>
      </c>
      <c r="CS26" s="204">
        <v>2E-16</v>
      </c>
      <c r="CT26" s="81" t="s">
        <v>510</v>
      </c>
      <c r="CV26" s="212" t="s">
        <v>506</v>
      </c>
      <c r="CW26" s="81" t="s">
        <v>515</v>
      </c>
      <c r="CX26" s="204">
        <v>31500000</v>
      </c>
      <c r="CY26" s="204">
        <v>157</v>
      </c>
      <c r="CZ26" s="81">
        <v>200875</v>
      </c>
      <c r="DA26" s="81" t="s">
        <v>505</v>
      </c>
      <c r="DB26" s="81" t="s">
        <v>510</v>
      </c>
      <c r="DF26" s="81" t="s">
        <v>389</v>
      </c>
      <c r="DG26" s="81" t="s">
        <v>390</v>
      </c>
      <c r="DH26" s="81" t="str">
        <f t="shared" si="13"/>
        <v>CwN</v>
      </c>
      <c r="DI26" s="81" t="s">
        <v>434</v>
      </c>
      <c r="DJ26" s="204">
        <f t="shared" si="14"/>
        <v>5800000</v>
      </c>
      <c r="DK26" s="81" t="s">
        <v>392</v>
      </c>
      <c r="DL26" s="81" t="s">
        <v>411</v>
      </c>
      <c r="DM26" s="286">
        <f t="shared" si="0"/>
        <v>0.4641274369250431</v>
      </c>
      <c r="DN26" s="286">
        <f t="shared" si="1"/>
        <v>0.111</v>
      </c>
      <c r="DO26" s="286">
        <f t="shared" si="2"/>
        <v>0.15</v>
      </c>
      <c r="DQ26" s="290" t="s">
        <v>506</v>
      </c>
      <c r="DR26" s="290" t="s">
        <v>552</v>
      </c>
      <c r="DS26" s="291">
        <v>0.68799999999999994</v>
      </c>
      <c r="DT26" s="291">
        <v>6.8799999999999998E-3</v>
      </c>
      <c r="DU26" s="290">
        <v>100.01</v>
      </c>
      <c r="DV26" s="290" t="s">
        <v>509</v>
      </c>
      <c r="DW26" s="291">
        <v>2E-16</v>
      </c>
      <c r="DX26" s="81" t="s">
        <v>510</v>
      </c>
      <c r="DZ26" s="292"/>
      <c r="EA26" s="292"/>
      <c r="EB26" s="293"/>
      <c r="EE26" s="160"/>
      <c r="EF26" s="322"/>
      <c r="EG26" s="322"/>
      <c r="EH26" s="160"/>
      <c r="EI26" s="160"/>
    </row>
    <row r="27" spans="1:139" ht="15" customHeight="1" thickTop="1" thickBot="1" x14ac:dyDescent="0.3">
      <c r="A27" s="220"/>
      <c r="B27" s="240">
        <f>SUM(O6:O25)</f>
        <v>398.70000000000005</v>
      </c>
      <c r="C27" s="222"/>
      <c r="D27" s="220"/>
      <c r="E27" s="221"/>
      <c r="F27" s="221"/>
      <c r="G27" s="221"/>
      <c r="H27" s="222"/>
      <c r="I27" s="221"/>
      <c r="K27" s="81" t="s">
        <v>101</v>
      </c>
      <c r="L27" s="250">
        <v>1</v>
      </c>
      <c r="M27" s="251">
        <v>1</v>
      </c>
      <c r="N27" s="251" t="s">
        <v>85</v>
      </c>
      <c r="O27" s="252">
        <f>SUM(O6:O9)</f>
        <v>66.102142857142866</v>
      </c>
      <c r="P27" s="253"/>
      <c r="Q27" s="30">
        <f t="shared" si="6"/>
        <v>1.210762331838565</v>
      </c>
      <c r="R27" s="30">
        <f t="shared" si="7"/>
        <v>80.033984625240237</v>
      </c>
      <c r="S27" s="30">
        <f t="shared" si="16"/>
        <v>13048563.000000004</v>
      </c>
      <c r="T27" s="30">
        <f t="shared" si="17"/>
        <v>197400.00000000003</v>
      </c>
      <c r="U27" s="30">
        <f t="shared" si="18"/>
        <v>13048563.000000004</v>
      </c>
      <c r="V27" s="31"/>
      <c r="W27" s="3"/>
      <c r="X27" s="260" t="s">
        <v>99</v>
      </c>
      <c r="Y27" s="261"/>
      <c r="Z27" s="262" t="s">
        <v>21</v>
      </c>
      <c r="AA27" s="263">
        <f>1/(1/5+SUM(AD29:AD32)+1/3)</f>
        <v>1.0482529118136439</v>
      </c>
      <c r="AB27" s="261" t="s">
        <v>5</v>
      </c>
      <c r="AC27" s="261"/>
      <c r="AD27" s="261" t="s">
        <v>22</v>
      </c>
      <c r="AE27" s="264">
        <f>SUM(AE29:AE33)</f>
        <v>465540</v>
      </c>
      <c r="AF27" s="14" t="s">
        <v>23</v>
      </c>
      <c r="AG27" s="14">
        <f>SUM(AE29:AE32)</f>
        <v>465540</v>
      </c>
      <c r="AH27" s="14"/>
      <c r="AM27" s="154" t="s">
        <v>389</v>
      </c>
      <c r="AN27" s="81" t="s">
        <v>390</v>
      </c>
      <c r="AO27" s="81" t="s">
        <v>411</v>
      </c>
      <c r="AP27" s="81">
        <f>SUM(2*O28,2*O29,O31)/SUM(O$17:O$25,2*O$28,O$26,O31,2*O29)</f>
        <v>0.4641274369250431</v>
      </c>
      <c r="AQ27" s="81" t="s">
        <v>392</v>
      </c>
      <c r="AR27" s="204">
        <v>0.111</v>
      </c>
      <c r="AV27" s="205" t="s">
        <v>389</v>
      </c>
      <c r="AW27" s="205" t="s">
        <v>390</v>
      </c>
      <c r="AX27" s="205" t="s">
        <v>411</v>
      </c>
      <c r="AY27" s="207" t="s">
        <v>434</v>
      </c>
      <c r="AZ27" s="206">
        <f t="shared" si="3"/>
        <v>0.15</v>
      </c>
      <c r="BA27" s="205" t="s">
        <v>392</v>
      </c>
      <c r="BF27" s="81" t="s">
        <v>122</v>
      </c>
      <c r="BG27" s="204">
        <f>AP30</f>
        <v>1336649.5999999999</v>
      </c>
      <c r="BJ27" s="81" t="s">
        <v>455</v>
      </c>
      <c r="BK27" s="204">
        <v>-1000000</v>
      </c>
      <c r="BQ27" s="154" t="s">
        <v>389</v>
      </c>
      <c r="BR27" s="81" t="s">
        <v>390</v>
      </c>
      <c r="BS27" s="81" t="s">
        <v>411</v>
      </c>
      <c r="BT27" s="204">
        <f t="shared" si="20"/>
        <v>0.111</v>
      </c>
      <c r="BU27" s="81" t="s">
        <v>392</v>
      </c>
      <c r="BV27" s="204">
        <v>0.111</v>
      </c>
      <c r="BZ27" s="211">
        <f t="shared" ref="BZ27:BZ28" si="21">CO12</f>
        <v>0.15</v>
      </c>
      <c r="CA27" s="211"/>
      <c r="CB27" s="81" t="s">
        <v>485</v>
      </c>
      <c r="CC27" s="204">
        <v>5.4300000000000001E-2</v>
      </c>
      <c r="CD27" s="204">
        <v>4.44E-4</v>
      </c>
      <c r="CH27" s="81" t="s">
        <v>481</v>
      </c>
      <c r="CI27" s="204">
        <v>6.9400000000000003E-2</v>
      </c>
      <c r="CJ27" s="204">
        <v>7.76E-4</v>
      </c>
      <c r="CK27" s="81">
        <v>89.38</v>
      </c>
      <c r="CL27" s="81" t="s">
        <v>505</v>
      </c>
      <c r="CN27" s="81" t="s">
        <v>486</v>
      </c>
      <c r="CO27" s="204">
        <v>194</v>
      </c>
      <c r="CP27" s="204">
        <v>5.16</v>
      </c>
      <c r="CQ27" s="81">
        <v>37.520000000000003</v>
      </c>
      <c r="CR27" s="81" t="s">
        <v>509</v>
      </c>
      <c r="CS27" s="204">
        <v>2E-16</v>
      </c>
      <c r="CT27" s="81" t="s">
        <v>510</v>
      </c>
      <c r="CV27" s="212" t="s">
        <v>506</v>
      </c>
      <c r="CW27" s="81" t="s">
        <v>426</v>
      </c>
      <c r="CX27" s="204">
        <v>67000000</v>
      </c>
      <c r="CY27" s="204">
        <v>330</v>
      </c>
      <c r="CZ27" s="81">
        <v>203280</v>
      </c>
      <c r="DA27" s="81" t="s">
        <v>505</v>
      </c>
      <c r="DB27" s="81" t="s">
        <v>510</v>
      </c>
      <c r="DJ27" s="204"/>
      <c r="DL27" s="81" t="s">
        <v>412</v>
      </c>
      <c r="DM27" s="286">
        <f t="shared" si="0"/>
        <v>3.1295407645198926E-2</v>
      </c>
      <c r="DN27" s="286">
        <f t="shared" si="1"/>
        <v>0.251</v>
      </c>
      <c r="DO27" s="286">
        <f t="shared" si="2"/>
        <v>4.4699999999999997E-2</v>
      </c>
      <c r="DQ27" s="290" t="s">
        <v>506</v>
      </c>
      <c r="DR27" s="290" t="s">
        <v>553</v>
      </c>
      <c r="DS27" s="291">
        <v>0.72299999999999998</v>
      </c>
      <c r="DT27" s="291">
        <v>7.5300000000000002E-3</v>
      </c>
      <c r="DU27" s="290">
        <v>96</v>
      </c>
      <c r="DV27" s="290" t="s">
        <v>509</v>
      </c>
      <c r="DW27" s="291">
        <v>2E-16</v>
      </c>
      <c r="DX27" s="81" t="s">
        <v>510</v>
      </c>
      <c r="DY27" s="212" t="s">
        <v>568</v>
      </c>
      <c r="DZ27" s="292" t="s">
        <v>399</v>
      </c>
      <c r="EA27" s="292" t="s">
        <v>434</v>
      </c>
      <c r="EB27" s="293">
        <f>DS33</f>
        <v>8550000</v>
      </c>
      <c r="EC27" s="212" t="s">
        <v>392</v>
      </c>
      <c r="EE27" s="160" t="s">
        <v>568</v>
      </c>
      <c r="EF27" s="322" t="s">
        <v>399</v>
      </c>
      <c r="EG27" s="322" t="s">
        <v>434</v>
      </c>
      <c r="EH27" s="326">
        <f>$AP12</f>
        <v>11473264</v>
      </c>
      <c r="EI27" s="160" t="s">
        <v>392</v>
      </c>
    </row>
    <row r="28" spans="1:139" ht="15" customHeight="1" thickTop="1" thickBot="1" x14ac:dyDescent="0.3">
      <c r="A28" s="220"/>
      <c r="B28" s="221"/>
      <c r="C28" s="222"/>
      <c r="D28" s="220"/>
      <c r="E28" s="221"/>
      <c r="F28" s="221"/>
      <c r="G28" s="221"/>
      <c r="H28" s="222"/>
      <c r="I28" s="221"/>
      <c r="K28" s="81" t="s">
        <v>102</v>
      </c>
      <c r="L28" s="250">
        <v>2</v>
      </c>
      <c r="M28" s="251">
        <v>2</v>
      </c>
      <c r="N28" s="251" t="s">
        <v>85</v>
      </c>
      <c r="O28" s="252">
        <f>SUM(O17:O20)</f>
        <v>77.097857142857151</v>
      </c>
      <c r="P28" s="253"/>
      <c r="Q28" s="30">
        <f t="shared" si="6"/>
        <v>1.210762331838565</v>
      </c>
      <c r="R28" s="30">
        <f t="shared" si="7"/>
        <v>93.347181294042286</v>
      </c>
      <c r="S28" s="30">
        <f t="shared" si="16"/>
        <v>15219117.000000004</v>
      </c>
      <c r="T28" s="30">
        <f t="shared" si="17"/>
        <v>197400.00000000003</v>
      </c>
      <c r="U28" s="30">
        <f t="shared" si="18"/>
        <v>15219117.000000004</v>
      </c>
      <c r="V28" s="31"/>
      <c r="W28" s="3"/>
      <c r="X28" s="265"/>
      <c r="Y28" s="266" t="s">
        <v>27</v>
      </c>
      <c r="Z28" s="266" t="s">
        <v>28</v>
      </c>
      <c r="AA28" s="266" t="s">
        <v>29</v>
      </c>
      <c r="AB28" s="266" t="s">
        <v>30</v>
      </c>
      <c r="AC28" s="266" t="s">
        <v>31</v>
      </c>
      <c r="AD28" s="266" t="s">
        <v>32</v>
      </c>
      <c r="AE28" s="267" t="s">
        <v>33</v>
      </c>
      <c r="AF28" s="14"/>
      <c r="AG28" s="14"/>
      <c r="AH28" s="14"/>
      <c r="AM28" s="154" t="s">
        <v>389</v>
      </c>
      <c r="AN28" s="81" t="s">
        <v>390</v>
      </c>
      <c r="AO28" s="81" t="s">
        <v>412</v>
      </c>
      <c r="AP28" s="81">
        <f>SUM(O21:O24)/SUM(O$17:O$25,2*O$28,O$26,O31,2*O29)</f>
        <v>3.1295407645198926E-2</v>
      </c>
      <c r="AQ28" s="81" t="s">
        <v>392</v>
      </c>
      <c r="AR28" s="204">
        <v>0.251</v>
      </c>
      <c r="AV28" s="205" t="s">
        <v>389</v>
      </c>
      <c r="AW28" s="205" t="s">
        <v>390</v>
      </c>
      <c r="AX28" s="205" t="s">
        <v>412</v>
      </c>
      <c r="AY28" s="207" t="s">
        <v>434</v>
      </c>
      <c r="AZ28" s="206">
        <f t="shared" si="3"/>
        <v>4.4699999999999997E-2</v>
      </c>
      <c r="BA28" s="205" t="s">
        <v>392</v>
      </c>
      <c r="BF28" s="81" t="s">
        <v>449</v>
      </c>
      <c r="BG28" s="204">
        <f>BG26+BG27</f>
        <v>29869862</v>
      </c>
      <c r="BJ28" s="81" t="s">
        <v>456</v>
      </c>
      <c r="BK28" s="204">
        <v>-1000000</v>
      </c>
      <c r="BQ28" s="154" t="s">
        <v>389</v>
      </c>
      <c r="BR28" s="81" t="s">
        <v>390</v>
      </c>
      <c r="BS28" s="81" t="s">
        <v>412</v>
      </c>
      <c r="BT28" s="204">
        <f t="shared" si="20"/>
        <v>0.251</v>
      </c>
      <c r="BU28" s="81" t="s">
        <v>392</v>
      </c>
      <c r="BV28" s="204">
        <v>0.251</v>
      </c>
      <c r="BZ28" s="211">
        <f t="shared" si="21"/>
        <v>4.4699999999999997E-2</v>
      </c>
      <c r="CA28" s="211"/>
      <c r="CB28" s="81" t="s">
        <v>486</v>
      </c>
      <c r="CC28" s="204">
        <v>259</v>
      </c>
      <c r="CD28" s="204">
        <v>2.63</v>
      </c>
      <c r="CH28" s="81" t="s">
        <v>482</v>
      </c>
      <c r="CI28" s="204">
        <v>0.14099999999999999</v>
      </c>
      <c r="CJ28" s="204">
        <v>9.4499999999999998E-4</v>
      </c>
      <c r="CK28" s="81">
        <v>148.78</v>
      </c>
      <c r="CL28" s="81" t="s">
        <v>505</v>
      </c>
      <c r="CN28" s="81" t="s">
        <v>285</v>
      </c>
      <c r="CO28" s="204">
        <v>83.2</v>
      </c>
      <c r="CP28" s="204">
        <v>0.88100000000000001</v>
      </c>
      <c r="CQ28" s="81">
        <v>94.5</v>
      </c>
      <c r="CR28" s="81" t="s">
        <v>509</v>
      </c>
      <c r="CS28" s="204">
        <v>2E-16</v>
      </c>
      <c r="CT28" s="81" t="s">
        <v>510</v>
      </c>
      <c r="CV28" s="212" t="s">
        <v>506</v>
      </c>
      <c r="CW28" s="81" t="s">
        <v>396</v>
      </c>
      <c r="CX28" s="204">
        <v>2700000</v>
      </c>
      <c r="CY28" s="204">
        <v>8.4600000000000009</v>
      </c>
      <c r="CZ28" s="81">
        <v>319026</v>
      </c>
      <c r="DA28" s="81" t="s">
        <v>505</v>
      </c>
      <c r="DB28" s="81" t="s">
        <v>510</v>
      </c>
      <c r="DJ28" s="204"/>
      <c r="DM28" s="287">
        <f t="shared" si="0"/>
        <v>0</v>
      </c>
      <c r="DN28" s="287">
        <f t="shared" si="1"/>
        <v>0</v>
      </c>
      <c r="DO28" s="287">
        <f t="shared" si="2"/>
        <v>0</v>
      </c>
      <c r="DQ28" s="290" t="s">
        <v>506</v>
      </c>
      <c r="DR28" s="290" t="s">
        <v>554</v>
      </c>
      <c r="DS28" s="291">
        <v>0.17299999999999999</v>
      </c>
      <c r="DT28" s="291">
        <v>1.15E-2</v>
      </c>
      <c r="DU28" s="290">
        <v>15.05</v>
      </c>
      <c r="DV28" s="290" t="s">
        <v>509</v>
      </c>
      <c r="DW28" s="291">
        <v>2E-16</v>
      </c>
      <c r="DX28" s="81" t="s">
        <v>510</v>
      </c>
      <c r="DY28" s="212" t="s">
        <v>568</v>
      </c>
      <c r="DZ28" s="295" t="s">
        <v>396</v>
      </c>
      <c r="EA28" s="292" t="s">
        <v>434</v>
      </c>
      <c r="EB28" s="293">
        <f t="shared" ref="EB28:EB30" si="22">DS34</f>
        <v>1800000</v>
      </c>
      <c r="EC28" s="212" t="s">
        <v>392</v>
      </c>
      <c r="EE28" s="160" t="s">
        <v>568</v>
      </c>
      <c r="EF28" s="324" t="s">
        <v>396</v>
      </c>
      <c r="EG28" s="322" t="s">
        <v>434</v>
      </c>
      <c r="EH28" s="326">
        <f>$AP9</f>
        <v>1904462.5600000003</v>
      </c>
      <c r="EI28" s="160" t="s">
        <v>392</v>
      </c>
    </row>
    <row r="29" spans="1:139" ht="15" customHeight="1" thickTop="1" thickBot="1" x14ac:dyDescent="0.3">
      <c r="A29" s="220"/>
      <c r="B29" s="221"/>
      <c r="C29" s="222"/>
      <c r="D29" s="220"/>
      <c r="E29" s="221"/>
      <c r="F29" s="221"/>
      <c r="G29" s="221"/>
      <c r="H29" s="222"/>
      <c r="I29" s="221"/>
      <c r="L29" s="250">
        <v>2</v>
      </c>
      <c r="M29" s="251">
        <v>2</v>
      </c>
      <c r="N29" s="251" t="s">
        <v>99</v>
      </c>
      <c r="O29" s="319">
        <f>B8-O26</f>
        <v>31.299999999999983</v>
      </c>
      <c r="P29" s="257"/>
      <c r="Q29" s="30">
        <f t="shared" si="6"/>
        <v>1.0482529118136439</v>
      </c>
      <c r="R29" s="30">
        <f t="shared" si="7"/>
        <v>32.810316139767039</v>
      </c>
      <c r="S29" s="30">
        <f t="shared" si="16"/>
        <v>14571401.999999993</v>
      </c>
      <c r="T29" s="30">
        <f t="shared" si="17"/>
        <v>465540</v>
      </c>
      <c r="U29" s="30">
        <f t="shared" si="18"/>
        <v>14571401.999999993</v>
      </c>
      <c r="X29" s="271"/>
      <c r="Y29" s="272" t="s">
        <v>103</v>
      </c>
      <c r="Z29" s="272">
        <v>0.02</v>
      </c>
      <c r="AA29" s="272">
        <v>0.18</v>
      </c>
      <c r="AB29" s="272">
        <v>550</v>
      </c>
      <c r="AC29" s="272">
        <v>1880</v>
      </c>
      <c r="AD29" s="273">
        <f>Z29/AA29</f>
        <v>0.11111111111111112</v>
      </c>
      <c r="AE29" s="274">
        <f>Z29*AB29*AC29</f>
        <v>20680</v>
      </c>
      <c r="AF29" s="14" t="s">
        <v>104</v>
      </c>
      <c r="AG29" s="14"/>
      <c r="AH29" s="14"/>
      <c r="AQ29" s="81" t="s">
        <v>392</v>
      </c>
      <c r="AV29" s="205"/>
      <c r="AW29" s="205"/>
      <c r="AX29" s="205"/>
      <c r="AY29" s="207"/>
      <c r="BA29" s="205"/>
      <c r="BF29" s="81" t="s">
        <v>450</v>
      </c>
      <c r="BG29" s="3">
        <f>BG24+BG25</f>
        <v>114.71239553143567</v>
      </c>
      <c r="BJ29" s="81" t="s">
        <v>294</v>
      </c>
      <c r="BK29" s="204">
        <v>-1000000</v>
      </c>
      <c r="BT29" s="204"/>
      <c r="BU29" s="81" t="s">
        <v>392</v>
      </c>
      <c r="BZ29" s="211"/>
      <c r="CA29" s="211"/>
      <c r="CB29" s="81" t="s">
        <v>487</v>
      </c>
      <c r="CC29" s="204">
        <v>197</v>
      </c>
      <c r="CD29" s="204">
        <v>1.44</v>
      </c>
      <c r="CH29" s="81" t="s">
        <v>483</v>
      </c>
      <c r="CI29" s="204">
        <v>0.76</v>
      </c>
      <c r="CJ29" s="204">
        <v>3.9399999999999999E-3</v>
      </c>
      <c r="CK29" s="81">
        <v>192.86</v>
      </c>
      <c r="CL29" s="81" t="s">
        <v>505</v>
      </c>
      <c r="CN29" s="81" t="s">
        <v>120</v>
      </c>
      <c r="CO29" s="204">
        <v>64.400000000000006</v>
      </c>
      <c r="CP29" s="204">
        <v>1.8</v>
      </c>
      <c r="CQ29" s="81">
        <v>35.869999999999997</v>
      </c>
      <c r="CR29" s="81" t="s">
        <v>509</v>
      </c>
      <c r="CS29" s="204">
        <v>2E-16</v>
      </c>
      <c r="CT29" s="81" t="s">
        <v>510</v>
      </c>
      <c r="CV29" s="212" t="s">
        <v>506</v>
      </c>
      <c r="CW29" s="81" t="s">
        <v>413</v>
      </c>
      <c r="CX29" s="204">
        <v>1700000</v>
      </c>
      <c r="CY29" s="204">
        <v>7.17</v>
      </c>
      <c r="CZ29" s="81">
        <v>236943</v>
      </c>
      <c r="DA29" s="81" t="s">
        <v>505</v>
      </c>
      <c r="DB29" s="81" t="s">
        <v>510</v>
      </c>
      <c r="DJ29" s="204"/>
      <c r="DL29" s="81" t="s">
        <v>413</v>
      </c>
      <c r="DM29" s="288">
        <f t="shared" si="0"/>
        <v>1336649.5999999999</v>
      </c>
      <c r="DN29" s="288">
        <f t="shared" si="1"/>
        <v>1340000</v>
      </c>
      <c r="DO29" s="288">
        <f t="shared" si="2"/>
        <v>1130000</v>
      </c>
      <c r="DQ29" s="290" t="s">
        <v>506</v>
      </c>
      <c r="DR29" s="290" t="s">
        <v>424</v>
      </c>
      <c r="DS29" s="291">
        <v>0.157</v>
      </c>
      <c r="DT29" s="291">
        <v>2.8299999999999999E-2</v>
      </c>
      <c r="DU29" s="290">
        <v>5.57</v>
      </c>
      <c r="DV29" s="291">
        <v>2.6000000000000001E-8</v>
      </c>
      <c r="DW29" s="290" t="s">
        <v>510</v>
      </c>
      <c r="DY29" s="212" t="s">
        <v>568</v>
      </c>
      <c r="DZ29" s="295" t="s">
        <v>397</v>
      </c>
      <c r="EA29" s="292" t="s">
        <v>434</v>
      </c>
      <c r="EB29" s="293">
        <f t="shared" si="22"/>
        <v>6740000</v>
      </c>
      <c r="EC29" s="212" t="s">
        <v>392</v>
      </c>
      <c r="EE29" s="160" t="s">
        <v>568</v>
      </c>
      <c r="EF29" s="324" t="s">
        <v>397</v>
      </c>
      <c r="EG29" s="322" t="s">
        <v>434</v>
      </c>
      <c r="EH29" s="326">
        <f>$AP10</f>
        <v>8856365.1000000015</v>
      </c>
      <c r="EI29" s="160" t="s">
        <v>392</v>
      </c>
    </row>
    <row r="30" spans="1:139" ht="15" customHeight="1" thickTop="1" thickBot="1" x14ac:dyDescent="0.3">
      <c r="A30" s="237"/>
      <c r="B30" s="219"/>
      <c r="C30" s="242"/>
      <c r="D30" s="237"/>
      <c r="E30" s="219"/>
      <c r="F30" s="219"/>
      <c r="G30" s="219"/>
      <c r="H30" s="242"/>
      <c r="I30" s="221"/>
      <c r="L30" s="250" t="s">
        <v>618</v>
      </c>
      <c r="M30" s="251">
        <v>1</v>
      </c>
      <c r="N30" s="251" t="s">
        <v>610</v>
      </c>
      <c r="O30" s="252">
        <f>O7</f>
        <v>30.921227867960802</v>
      </c>
      <c r="P30" s="253"/>
      <c r="Q30" s="30">
        <f t="shared" si="6"/>
        <v>1.2616822429906542</v>
      </c>
      <c r="R30" s="30">
        <f t="shared" si="7"/>
        <v>39.012764132473912</v>
      </c>
      <c r="S30" s="30">
        <f t="shared" si="16"/>
        <v>5597360.6686582649</v>
      </c>
      <c r="T30" s="30">
        <f t="shared" si="17"/>
        <v>181020.00000000003</v>
      </c>
      <c r="U30" s="30">
        <f t="shared" si="18"/>
        <v>0</v>
      </c>
      <c r="X30" s="220"/>
      <c r="Y30" s="221" t="s">
        <v>129</v>
      </c>
      <c r="Z30" s="221">
        <v>0.08</v>
      </c>
      <c r="AA30" s="221">
        <v>0.6</v>
      </c>
      <c r="AB30" s="221">
        <v>1100</v>
      </c>
      <c r="AC30" s="221">
        <v>860</v>
      </c>
      <c r="AD30" s="268">
        <f>Z30/AA30</f>
        <v>0.13333333333333333</v>
      </c>
      <c r="AE30" s="222">
        <f>Z30*AB30*AC30</f>
        <v>75680</v>
      </c>
      <c r="AF30" s="14"/>
      <c r="AG30" s="14"/>
      <c r="AH30" s="14"/>
      <c r="AM30" s="154" t="s">
        <v>389</v>
      </c>
      <c r="AN30" s="81" t="s">
        <v>390</v>
      </c>
      <c r="AO30" s="81" t="s">
        <v>413</v>
      </c>
      <c r="AP30" s="204">
        <f>B35*1.04*1012*5</f>
        <v>1336649.5999999999</v>
      </c>
      <c r="AQ30" s="81" t="s">
        <v>392</v>
      </c>
      <c r="AR30" s="204">
        <v>1340000</v>
      </c>
      <c r="AV30" s="205" t="s">
        <v>389</v>
      </c>
      <c r="AW30" s="205" t="s">
        <v>390</v>
      </c>
      <c r="AX30" s="205" t="s">
        <v>413</v>
      </c>
      <c r="AY30" s="207" t="s">
        <v>434</v>
      </c>
      <c r="AZ30" s="206">
        <f t="shared" si="3"/>
        <v>1130000</v>
      </c>
      <c r="BA30" s="205" t="s">
        <v>392</v>
      </c>
      <c r="BJ30" s="81" t="s">
        <v>301</v>
      </c>
      <c r="BK30" s="204">
        <v>-1000000</v>
      </c>
      <c r="BQ30" s="154" t="s">
        <v>389</v>
      </c>
      <c r="BR30" s="81" t="s">
        <v>390</v>
      </c>
      <c r="BS30" s="81" t="s">
        <v>413</v>
      </c>
      <c r="BT30" s="204">
        <f t="shared" si="20"/>
        <v>1340000</v>
      </c>
      <c r="BU30" s="81" t="s">
        <v>392</v>
      </c>
      <c r="BV30" s="204">
        <v>1340000</v>
      </c>
      <c r="BZ30" s="211">
        <f>CO16</f>
        <v>1130000</v>
      </c>
      <c r="CA30" s="211"/>
      <c r="CB30" s="81" t="s">
        <v>285</v>
      </c>
      <c r="CC30" s="204">
        <v>487</v>
      </c>
      <c r="CD30" s="204">
        <v>2.62</v>
      </c>
      <c r="CH30" s="81" t="s">
        <v>484</v>
      </c>
      <c r="CI30" s="204">
        <v>6.4100000000000004E-2</v>
      </c>
      <c r="CJ30" s="204">
        <v>4.3300000000000001E-4</v>
      </c>
      <c r="CK30" s="81">
        <v>148.13</v>
      </c>
      <c r="CL30" s="81" t="s">
        <v>505</v>
      </c>
      <c r="CN30" s="81" t="s">
        <v>488</v>
      </c>
      <c r="CO30" s="204">
        <v>-4.93</v>
      </c>
      <c r="CP30" s="204">
        <v>2.1999999999999999E-2</v>
      </c>
      <c r="CQ30" s="81">
        <v>-223.73</v>
      </c>
      <c r="CR30" s="81" t="s">
        <v>509</v>
      </c>
      <c r="CS30" s="204">
        <v>2E-16</v>
      </c>
      <c r="CT30" s="81" t="s">
        <v>510</v>
      </c>
      <c r="CV30" s="212" t="s">
        <v>506</v>
      </c>
      <c r="CW30" s="81" t="s">
        <v>397</v>
      </c>
      <c r="CX30" s="204">
        <v>16300000</v>
      </c>
      <c r="CY30" s="204">
        <v>47.4</v>
      </c>
      <c r="CZ30" s="81">
        <v>343884</v>
      </c>
      <c r="DA30" s="81" t="s">
        <v>505</v>
      </c>
      <c r="DB30" s="81" t="s">
        <v>510</v>
      </c>
      <c r="DJ30" s="204"/>
      <c r="DL30" s="81" t="s">
        <v>414</v>
      </c>
      <c r="DM30" s="288">
        <f t="shared" si="0"/>
        <v>13637952.9</v>
      </c>
      <c r="DN30" s="288">
        <f t="shared" si="1"/>
        <v>2810000</v>
      </c>
      <c r="DO30" s="288">
        <f t="shared" si="2"/>
        <v>6980000</v>
      </c>
      <c r="DQ30" s="290" t="s">
        <v>506</v>
      </c>
      <c r="DR30" s="290" t="s">
        <v>555</v>
      </c>
      <c r="DS30" s="291">
        <v>0.18099999999999999</v>
      </c>
      <c r="DT30" s="291">
        <v>6.0800000000000003E-3</v>
      </c>
      <c r="DU30" s="290">
        <v>29.82</v>
      </c>
      <c r="DV30" s="290" t="s">
        <v>509</v>
      </c>
      <c r="DW30" s="291">
        <v>2E-16</v>
      </c>
      <c r="DX30" s="81" t="s">
        <v>510</v>
      </c>
      <c r="DY30" s="212" t="s">
        <v>568</v>
      </c>
      <c r="DZ30" s="295" t="s">
        <v>398</v>
      </c>
      <c r="EA30" s="292" t="s">
        <v>434</v>
      </c>
      <c r="EB30" s="293">
        <f t="shared" si="22"/>
        <v>9900000</v>
      </c>
      <c r="EC30" s="212" t="s">
        <v>392</v>
      </c>
      <c r="EE30" s="160" t="s">
        <v>568</v>
      </c>
      <c r="EF30" s="324" t="s">
        <v>398</v>
      </c>
      <c r="EG30" s="322" t="s">
        <v>434</v>
      </c>
      <c r="EH30" s="326">
        <f>$AP11</f>
        <v>6524281.5000000019</v>
      </c>
      <c r="EI30" s="160" t="s">
        <v>392</v>
      </c>
    </row>
    <row r="31" spans="1:139" ht="15" customHeight="1" thickTop="1" thickBot="1" x14ac:dyDescent="0.3">
      <c r="L31" s="255" t="s">
        <v>618</v>
      </c>
      <c r="M31" s="256">
        <v>2</v>
      </c>
      <c r="N31" s="256" t="s">
        <v>610</v>
      </c>
      <c r="O31" s="252">
        <f>O18</f>
        <v>36.064797687389479</v>
      </c>
      <c r="P31" s="257"/>
      <c r="Q31" s="30">
        <f t="shared" si="6"/>
        <v>1.2616822429906542</v>
      </c>
      <c r="R31" s="30">
        <f t="shared" si="7"/>
        <v>45.502314839229719</v>
      </c>
      <c r="S31" s="30">
        <f t="shared" si="16"/>
        <v>6528449.6773712449</v>
      </c>
      <c r="T31" s="30">
        <f t="shared" si="17"/>
        <v>181020.00000000003</v>
      </c>
      <c r="U31" s="30">
        <f t="shared" si="18"/>
        <v>0</v>
      </c>
      <c r="X31" s="220"/>
      <c r="Y31" s="221" t="s">
        <v>131</v>
      </c>
      <c r="Z31" s="221">
        <v>0.2</v>
      </c>
      <c r="AA31" s="221">
        <v>1.4</v>
      </c>
      <c r="AB31" s="221">
        <v>2100</v>
      </c>
      <c r="AC31" s="221">
        <v>840</v>
      </c>
      <c r="AD31" s="268">
        <f>Z31/AA31</f>
        <v>0.14285714285714288</v>
      </c>
      <c r="AE31" s="222">
        <f>Z31*AB31*AC31</f>
        <v>352800</v>
      </c>
      <c r="AF31" s="14"/>
      <c r="AG31" s="14"/>
      <c r="AH31" s="14"/>
      <c r="AM31" s="154" t="s">
        <v>389</v>
      </c>
      <c r="AN31" s="81" t="s">
        <v>390</v>
      </c>
      <c r="AO31" s="81" t="s">
        <v>414</v>
      </c>
      <c r="AP31" s="204">
        <f>U25+SUM(U17:U20)</f>
        <v>13637952.9</v>
      </c>
      <c r="AQ31" s="81" t="s">
        <v>392</v>
      </c>
      <c r="AR31" s="204">
        <v>2810000</v>
      </c>
      <c r="AV31" s="205" t="s">
        <v>389</v>
      </c>
      <c r="AW31" s="205" t="s">
        <v>390</v>
      </c>
      <c r="AX31" s="205" t="s">
        <v>414</v>
      </c>
      <c r="AY31" s="207" t="s">
        <v>434</v>
      </c>
      <c r="AZ31" s="206">
        <f t="shared" si="3"/>
        <v>6980000</v>
      </c>
      <c r="BA31" s="205" t="s">
        <v>392</v>
      </c>
      <c r="BQ31" s="154" t="s">
        <v>389</v>
      </c>
      <c r="BR31" s="81" t="s">
        <v>390</v>
      </c>
      <c r="BS31" s="81" t="s">
        <v>414</v>
      </c>
      <c r="BT31" s="204">
        <f t="shared" si="20"/>
        <v>2810000</v>
      </c>
      <c r="BU31" s="81" t="s">
        <v>392</v>
      </c>
      <c r="BV31" s="204">
        <v>2810000</v>
      </c>
      <c r="BZ31" s="211">
        <f>CO17</f>
        <v>6980000</v>
      </c>
      <c r="CA31" s="211"/>
      <c r="CB31" s="81" t="s">
        <v>120</v>
      </c>
      <c r="CC31" s="204">
        <v>274</v>
      </c>
      <c r="CD31" s="204">
        <v>1.37</v>
      </c>
      <c r="CH31" s="81" t="s">
        <v>485</v>
      </c>
      <c r="CI31" s="204">
        <v>5.4300000000000001E-2</v>
      </c>
      <c r="CJ31" s="204">
        <v>4.44E-4</v>
      </c>
      <c r="CK31" s="81">
        <v>122.4</v>
      </c>
      <c r="CL31" s="81" t="s">
        <v>505</v>
      </c>
      <c r="CN31" s="81" t="s">
        <v>489</v>
      </c>
      <c r="CO31" s="204">
        <v>-4.84</v>
      </c>
      <c r="CP31" s="204">
        <v>2.86E-2</v>
      </c>
      <c r="CQ31" s="81">
        <v>-169.23</v>
      </c>
      <c r="CR31" s="81" t="s">
        <v>509</v>
      </c>
      <c r="CS31" s="204">
        <v>2E-16</v>
      </c>
      <c r="CT31" s="81" t="s">
        <v>510</v>
      </c>
      <c r="CV31" s="212" t="s">
        <v>506</v>
      </c>
      <c r="CW31" s="81" t="s">
        <v>398</v>
      </c>
      <c r="CX31" s="204">
        <v>26200000</v>
      </c>
      <c r="CY31" s="204">
        <v>77.599999999999994</v>
      </c>
      <c r="CZ31" s="81">
        <v>337769</v>
      </c>
      <c r="DA31" s="81" t="s">
        <v>505</v>
      </c>
      <c r="DB31" s="81" t="s">
        <v>510</v>
      </c>
      <c r="DF31" s="81" t="s">
        <v>389</v>
      </c>
      <c r="DG31" s="81" t="s">
        <v>390</v>
      </c>
      <c r="DH31" s="81" t="str">
        <f t="shared" si="13"/>
        <v>f1D</v>
      </c>
      <c r="DI31" s="81" t="s">
        <v>434</v>
      </c>
      <c r="DJ31" s="204">
        <f t="shared" si="14"/>
        <v>0.06</v>
      </c>
      <c r="DK31" s="81" t="s">
        <v>392</v>
      </c>
      <c r="DL31" s="81" t="s">
        <v>415</v>
      </c>
      <c r="DM31" s="288">
        <f t="shared" si="0"/>
        <v>14895259.499999998</v>
      </c>
      <c r="DN31" s="288">
        <f t="shared" si="1"/>
        <v>5640000</v>
      </c>
      <c r="DO31" s="288">
        <f t="shared" si="2"/>
        <v>11000000</v>
      </c>
      <c r="DQ31" s="290" t="s">
        <v>506</v>
      </c>
      <c r="DR31" s="290" t="s">
        <v>556</v>
      </c>
      <c r="DS31" s="291">
        <v>0.13400000000000001</v>
      </c>
      <c r="DT31" s="291">
        <v>6.6899999999999998E-3</v>
      </c>
      <c r="DU31" s="290">
        <v>20.010000000000002</v>
      </c>
      <c r="DV31" s="290" t="s">
        <v>509</v>
      </c>
      <c r="DW31" s="291">
        <v>2E-16</v>
      </c>
      <c r="DX31" s="81" t="s">
        <v>510</v>
      </c>
      <c r="EA31" s="292"/>
      <c r="EE31" s="160"/>
      <c r="EF31" s="160"/>
      <c r="EG31" s="322"/>
      <c r="EH31" s="160"/>
      <c r="EI31" s="160"/>
    </row>
    <row r="32" spans="1:139" ht="15" customHeight="1" thickTop="1" thickBot="1" x14ac:dyDescent="0.3">
      <c r="L32" s="81"/>
      <c r="M32" s="81"/>
      <c r="N32" s="81"/>
      <c r="Q32" s="69" t="s">
        <v>106</v>
      </c>
      <c r="R32" s="70">
        <f>SUM(R7:R10)+SUM(R11:R14)+0.5*R15+R17+SUM(R18:R25)+R26</f>
        <v>266.38487468019565</v>
      </c>
      <c r="S32" s="69" t="s">
        <v>107</v>
      </c>
      <c r="X32" s="237"/>
      <c r="Y32" s="219" t="s">
        <v>80</v>
      </c>
      <c r="Z32" s="219">
        <v>0.02</v>
      </c>
      <c r="AA32" s="219">
        <v>0.6</v>
      </c>
      <c r="AB32" s="219">
        <v>975</v>
      </c>
      <c r="AC32" s="219">
        <v>840</v>
      </c>
      <c r="AD32" s="269">
        <f>Z32/AA32</f>
        <v>3.3333333333333333E-2</v>
      </c>
      <c r="AE32" s="242">
        <f>Z32*AB32*AC32</f>
        <v>16380</v>
      </c>
      <c r="AF32" s="14"/>
      <c r="AG32" s="14"/>
      <c r="AH32" s="14"/>
      <c r="AM32" s="154" t="s">
        <v>389</v>
      </c>
      <c r="AN32" s="81" t="s">
        <v>390</v>
      </c>
      <c r="AO32" s="81" t="s">
        <v>415</v>
      </c>
      <c r="AP32" s="204">
        <f>SUM(U28,U31,U29)/2</f>
        <v>14895259.499999998</v>
      </c>
      <c r="AQ32" s="81" t="s">
        <v>392</v>
      </c>
      <c r="AR32" s="204">
        <v>5640000</v>
      </c>
      <c r="AV32" s="205" t="s">
        <v>389</v>
      </c>
      <c r="AW32" s="205" t="s">
        <v>390</v>
      </c>
      <c r="AX32" s="205" t="s">
        <v>415</v>
      </c>
      <c r="AY32" s="207" t="s">
        <v>434</v>
      </c>
      <c r="AZ32" s="206">
        <f t="shared" si="3"/>
        <v>11000000</v>
      </c>
      <c r="BA32" s="205" t="s">
        <v>392</v>
      </c>
      <c r="BJ32" s="81" t="s">
        <v>281</v>
      </c>
      <c r="BK32" s="81">
        <f>BK4+BK5</f>
        <v>86.417399800634783</v>
      </c>
      <c r="BQ32" s="154" t="s">
        <v>389</v>
      </c>
      <c r="BR32" s="81" t="s">
        <v>390</v>
      </c>
      <c r="BS32" s="81" t="s">
        <v>415</v>
      </c>
      <c r="BT32" s="204">
        <f t="shared" si="20"/>
        <v>5640000</v>
      </c>
      <c r="BU32" s="81" t="s">
        <v>392</v>
      </c>
      <c r="BV32" s="204">
        <v>5640000</v>
      </c>
      <c r="BZ32" s="211">
        <f>CO18</f>
        <v>11000000</v>
      </c>
      <c r="CA32" s="211"/>
      <c r="CB32" s="81" t="s">
        <v>488</v>
      </c>
      <c r="CC32" s="204">
        <v>-5.75</v>
      </c>
      <c r="CD32" s="204">
        <v>2.35E-2</v>
      </c>
      <c r="CH32" s="81" t="s">
        <v>486</v>
      </c>
      <c r="CI32" s="204">
        <v>259</v>
      </c>
      <c r="CJ32" s="204">
        <v>2.63</v>
      </c>
      <c r="CK32" s="81">
        <v>98.59</v>
      </c>
      <c r="CL32" s="81" t="s">
        <v>505</v>
      </c>
      <c r="CV32" s="212" t="s">
        <v>506</v>
      </c>
      <c r="CW32" s="81" t="s">
        <v>415</v>
      </c>
      <c r="CX32" s="204">
        <v>5730000</v>
      </c>
      <c r="CY32" s="204">
        <v>26.3</v>
      </c>
      <c r="CZ32" s="81">
        <v>218218</v>
      </c>
      <c r="DA32" s="81" t="s">
        <v>505</v>
      </c>
      <c r="DB32" s="81" t="s">
        <v>510</v>
      </c>
      <c r="DF32" s="81" t="s">
        <v>389</v>
      </c>
      <c r="DG32" s="81" t="s">
        <v>390</v>
      </c>
      <c r="DH32" s="81" t="str">
        <f t="shared" si="13"/>
        <v>f1N</v>
      </c>
      <c r="DI32" s="81" t="s">
        <v>434</v>
      </c>
      <c r="DJ32" s="204">
        <f t="shared" si="14"/>
        <v>0.16</v>
      </c>
      <c r="DK32" s="81" t="s">
        <v>392</v>
      </c>
      <c r="DL32" s="81" t="s">
        <v>416</v>
      </c>
      <c r="DM32" s="286">
        <f t="shared" si="0"/>
        <v>0.10219989320869988</v>
      </c>
      <c r="DN32" s="286">
        <f t="shared" si="1"/>
        <v>0.33200000000000002</v>
      </c>
      <c r="DO32" s="286">
        <f t="shared" si="2"/>
        <v>0.19700000000000001</v>
      </c>
      <c r="DQ32" s="290" t="s">
        <v>506</v>
      </c>
      <c r="DR32" s="290" t="s">
        <v>298</v>
      </c>
      <c r="DS32" s="291">
        <v>300000000</v>
      </c>
      <c r="DT32" s="291">
        <v>11000000</v>
      </c>
      <c r="DU32" s="290">
        <v>27.21</v>
      </c>
      <c r="DV32" s="290" t="s">
        <v>509</v>
      </c>
      <c r="DW32" s="291">
        <v>2E-16</v>
      </c>
      <c r="DX32" s="81" t="s">
        <v>510</v>
      </c>
      <c r="DY32" s="212" t="s">
        <v>568</v>
      </c>
      <c r="DZ32" s="295" t="s">
        <v>404</v>
      </c>
      <c r="EA32" s="292" t="s">
        <v>434</v>
      </c>
      <c r="EB32" s="293">
        <f>DS47</f>
        <v>109</v>
      </c>
      <c r="EC32" s="212" t="s">
        <v>392</v>
      </c>
      <c r="EE32" s="160" t="s">
        <v>568</v>
      </c>
      <c r="EF32" s="324" t="s">
        <v>404</v>
      </c>
      <c r="EG32" s="322" t="s">
        <v>434</v>
      </c>
      <c r="EH32" s="160">
        <f>$AP19</f>
        <v>141.08757763975157</v>
      </c>
      <c r="EI32" s="160" t="s">
        <v>392</v>
      </c>
    </row>
    <row r="33" spans="1:139" ht="15" customHeight="1" thickTop="1" thickBot="1" x14ac:dyDescent="0.3">
      <c r="A33" s="72" t="s">
        <v>109</v>
      </c>
      <c r="B33" s="72" t="s">
        <v>110</v>
      </c>
      <c r="C33" s="72"/>
      <c r="D33" s="72" t="s">
        <v>111</v>
      </c>
      <c r="E33" s="344" t="s">
        <v>112</v>
      </c>
      <c r="F33" s="345"/>
      <c r="G33" s="72" t="s">
        <v>113</v>
      </c>
      <c r="L33" s="81"/>
      <c r="M33" s="81"/>
      <c r="N33" s="81"/>
      <c r="Q33" s="81"/>
      <c r="R33" s="30">
        <f>G4*Z37</f>
        <v>16.027000000000001</v>
      </c>
      <c r="X33" s="221"/>
      <c r="Y33" s="221"/>
      <c r="Z33" s="221"/>
      <c r="AA33" s="221"/>
      <c r="AB33" s="221"/>
      <c r="AC33" s="221"/>
      <c r="AD33" s="268"/>
      <c r="AE33" s="221"/>
      <c r="AF33" s="14"/>
      <c r="AG33" s="14"/>
      <c r="AH33" s="14"/>
      <c r="AM33" s="154" t="s">
        <v>389</v>
      </c>
      <c r="AN33" s="81" t="s">
        <v>390</v>
      </c>
      <c r="AO33" s="81" t="s">
        <v>416</v>
      </c>
      <c r="AP33" s="81">
        <f>AP26*0.3</f>
        <v>0.10219989320869988</v>
      </c>
      <c r="AQ33" s="81" t="s">
        <v>392</v>
      </c>
      <c r="AR33" s="204">
        <v>0.33200000000000002</v>
      </c>
      <c r="AV33" s="205" t="s">
        <v>389</v>
      </c>
      <c r="AW33" s="205" t="s">
        <v>390</v>
      </c>
      <c r="AX33" s="205" t="s">
        <v>416</v>
      </c>
      <c r="AY33" s="207" t="s">
        <v>434</v>
      </c>
      <c r="AZ33" s="206">
        <f t="shared" si="3"/>
        <v>0.19700000000000001</v>
      </c>
      <c r="BA33" s="205" t="s">
        <v>392</v>
      </c>
      <c r="BJ33" s="81" t="s">
        <v>282</v>
      </c>
      <c r="BK33" s="3">
        <f>BK6+BK7</f>
        <v>143.27000000000001</v>
      </c>
      <c r="BQ33" s="154" t="s">
        <v>389</v>
      </c>
      <c r="BR33" s="81" t="s">
        <v>390</v>
      </c>
      <c r="BS33" s="81" t="s">
        <v>416</v>
      </c>
      <c r="BT33" s="204">
        <f t="shared" si="20"/>
        <v>0.33200000000000002</v>
      </c>
      <c r="BU33" s="81" t="s">
        <v>392</v>
      </c>
      <c r="BV33" s="204">
        <v>0.33200000000000002</v>
      </c>
      <c r="BZ33" s="211">
        <f>CO23</f>
        <v>0.19700000000000001</v>
      </c>
      <c r="CA33" s="211"/>
      <c r="CB33" s="81" t="s">
        <v>489</v>
      </c>
      <c r="CC33" s="204">
        <v>-6.06</v>
      </c>
      <c r="CD33" s="204">
        <v>2.58E-2</v>
      </c>
      <c r="CH33" s="81" t="s">
        <v>487</v>
      </c>
      <c r="CI33" s="204">
        <v>197</v>
      </c>
      <c r="CJ33" s="204">
        <v>1.44</v>
      </c>
      <c r="CK33" s="81">
        <v>136.51</v>
      </c>
      <c r="CL33" s="81" t="s">
        <v>505</v>
      </c>
      <c r="CN33" s="81" t="s">
        <v>490</v>
      </c>
      <c r="CO33" s="204">
        <v>-5.83</v>
      </c>
      <c r="CP33" s="204">
        <v>2.98E-2</v>
      </c>
      <c r="CQ33" s="81">
        <v>-195.34</v>
      </c>
      <c r="CR33" s="81" t="s">
        <v>509</v>
      </c>
      <c r="CS33" s="204">
        <v>2E-16</v>
      </c>
      <c r="CT33" s="81" t="s">
        <v>510</v>
      </c>
      <c r="CV33" s="212" t="s">
        <v>506</v>
      </c>
      <c r="CW33" s="81" t="s">
        <v>414</v>
      </c>
      <c r="CX33" s="204">
        <v>5800000</v>
      </c>
      <c r="CY33" s="204">
        <v>19.399999999999999</v>
      </c>
      <c r="CZ33" s="81">
        <v>298526</v>
      </c>
      <c r="DA33" s="81" t="s">
        <v>505</v>
      </c>
      <c r="DB33" s="81" t="s">
        <v>510</v>
      </c>
      <c r="DF33" s="81" t="s">
        <v>389</v>
      </c>
      <c r="DG33" s="81" t="s">
        <v>390</v>
      </c>
      <c r="DH33" s="81" t="str">
        <f t="shared" si="13"/>
        <v>f2N</v>
      </c>
      <c r="DI33" s="81" t="s">
        <v>434</v>
      </c>
      <c r="DJ33" s="204">
        <f t="shared" si="14"/>
        <v>5.2999999999999999E-2</v>
      </c>
      <c r="DK33" s="81" t="s">
        <v>392</v>
      </c>
      <c r="DL33" s="81" t="s">
        <v>417</v>
      </c>
      <c r="DM33" s="286">
        <f t="shared" si="0"/>
        <v>0.13923823107751293</v>
      </c>
      <c r="DN33" s="286">
        <f t="shared" si="1"/>
        <v>6.88E-2</v>
      </c>
      <c r="DO33" s="286">
        <f t="shared" si="2"/>
        <v>4.9399999999999999E-2</v>
      </c>
      <c r="DQ33" s="290" t="s">
        <v>506</v>
      </c>
      <c r="DR33" s="290" t="s">
        <v>294</v>
      </c>
      <c r="DS33" s="291">
        <v>8550000</v>
      </c>
      <c r="DT33" s="291">
        <v>67500</v>
      </c>
      <c r="DU33" s="290">
        <v>126.72</v>
      </c>
      <c r="DV33" s="290" t="s">
        <v>509</v>
      </c>
      <c r="DW33" s="291">
        <v>2E-16</v>
      </c>
      <c r="DX33" s="81" t="s">
        <v>510</v>
      </c>
      <c r="DY33" s="212" t="s">
        <v>568</v>
      </c>
      <c r="DZ33" s="295" t="s">
        <v>405</v>
      </c>
      <c r="EA33" s="292" t="s">
        <v>434</v>
      </c>
      <c r="EB33" s="293">
        <f t="shared" ref="EB33:EB35" si="23">DS48</f>
        <v>157</v>
      </c>
      <c r="EC33" s="212" t="s">
        <v>392</v>
      </c>
      <c r="EE33" s="160" t="s">
        <v>568</v>
      </c>
      <c r="EF33" s="324" t="s">
        <v>405</v>
      </c>
      <c r="EG33" s="322" t="s">
        <v>434</v>
      </c>
      <c r="EH33" s="160">
        <f>$AP20</f>
        <v>214.99009900990103</v>
      </c>
      <c r="EI33" s="160" t="s">
        <v>392</v>
      </c>
    </row>
    <row r="34" spans="1:139" ht="15" customHeight="1" thickTop="1" thickBot="1" x14ac:dyDescent="0.3">
      <c r="A34" s="73">
        <v>1</v>
      </c>
      <c r="B34" s="74">
        <f>B7*3.5</f>
        <v>361.90000000000003</v>
      </c>
      <c r="C34" s="73"/>
      <c r="D34" s="73" t="s">
        <v>42</v>
      </c>
      <c r="E34" s="195">
        <v>21</v>
      </c>
      <c r="F34" s="195"/>
      <c r="G34" s="76">
        <f>VLOOKUP(D34,A6:B22,2,0)</f>
        <v>103.4</v>
      </c>
      <c r="L34" s="81"/>
      <c r="M34" s="81"/>
      <c r="N34" s="81"/>
      <c r="Q34" s="81">
        <f>25+13+18</f>
        <v>56</v>
      </c>
      <c r="R34" s="81"/>
      <c r="X34" s="258"/>
      <c r="Y34" s="258"/>
      <c r="Z34" s="259"/>
      <c r="AA34" s="259"/>
      <c r="AB34" s="259"/>
      <c r="AC34" s="258"/>
      <c r="AD34" s="258"/>
      <c r="AE34" s="258"/>
      <c r="AF34" s="14"/>
      <c r="AG34" s="14"/>
      <c r="AH34" s="14"/>
      <c r="AM34" s="154" t="s">
        <v>389</v>
      </c>
      <c r="AN34" s="81" t="s">
        <v>390</v>
      </c>
      <c r="AO34" s="81" t="s">
        <v>417</v>
      </c>
      <c r="AP34" s="81">
        <f>AP27*0.3</f>
        <v>0.13923823107751293</v>
      </c>
      <c r="AQ34" s="81" t="s">
        <v>392</v>
      </c>
      <c r="AR34" s="204">
        <v>6.88E-2</v>
      </c>
      <c r="AV34" s="205" t="s">
        <v>389</v>
      </c>
      <c r="AW34" s="205" t="s">
        <v>390</v>
      </c>
      <c r="AX34" s="205" t="s">
        <v>417</v>
      </c>
      <c r="AY34" s="207" t="s">
        <v>434</v>
      </c>
      <c r="AZ34" s="206">
        <f t="shared" si="3"/>
        <v>4.9399999999999999E-2</v>
      </c>
      <c r="BA34" s="205" t="s">
        <v>392</v>
      </c>
      <c r="BJ34" s="81" t="s">
        <v>291</v>
      </c>
      <c r="BK34" s="204">
        <f>BK10+BK9</f>
        <v>37389577.5</v>
      </c>
      <c r="BQ34" s="154" t="s">
        <v>389</v>
      </c>
      <c r="BR34" s="81" t="s">
        <v>390</v>
      </c>
      <c r="BS34" s="81" t="s">
        <v>417</v>
      </c>
      <c r="BT34" s="204">
        <f t="shared" si="20"/>
        <v>6.88E-2</v>
      </c>
      <c r="BU34" s="81" t="s">
        <v>392</v>
      </c>
      <c r="BV34" s="204">
        <v>6.88E-2</v>
      </c>
      <c r="BZ34" s="211">
        <f>CO24</f>
        <v>4.9399999999999999E-2</v>
      </c>
      <c r="CA34" s="211"/>
      <c r="CB34" s="81" t="s">
        <v>490</v>
      </c>
      <c r="CC34" s="204">
        <v>-6.94</v>
      </c>
      <c r="CD34" s="204">
        <v>3.6200000000000003E-2</v>
      </c>
      <c r="CH34" s="81" t="s">
        <v>285</v>
      </c>
      <c r="CI34" s="204">
        <v>487</v>
      </c>
      <c r="CJ34" s="204">
        <v>2.62</v>
      </c>
      <c r="CK34" s="81">
        <v>186.01</v>
      </c>
      <c r="CL34" s="81" t="s">
        <v>505</v>
      </c>
      <c r="CN34" s="81" t="s">
        <v>491</v>
      </c>
      <c r="CO34" s="204">
        <v>-5.45</v>
      </c>
      <c r="CP34" s="204">
        <v>2.8299999999999999E-2</v>
      </c>
      <c r="CQ34" s="81">
        <v>-192.79</v>
      </c>
      <c r="CR34" s="81" t="s">
        <v>509</v>
      </c>
      <c r="CS34" s="204">
        <v>2E-16</v>
      </c>
      <c r="CT34" s="81" t="s">
        <v>510</v>
      </c>
      <c r="CV34" s="212" t="s">
        <v>506</v>
      </c>
      <c r="CW34" s="81" t="s">
        <v>476</v>
      </c>
      <c r="CX34" s="204">
        <v>-10</v>
      </c>
      <c r="CY34" s="204">
        <v>2.1000000000000001E-4</v>
      </c>
      <c r="CZ34" s="81">
        <v>-47558</v>
      </c>
      <c r="DA34" s="81" t="s">
        <v>505</v>
      </c>
      <c r="DB34" s="81" t="s">
        <v>510</v>
      </c>
      <c r="DF34" s="81" t="s">
        <v>389</v>
      </c>
      <c r="DG34" s="81" t="s">
        <v>390</v>
      </c>
      <c r="DH34" s="81" t="str">
        <f t="shared" si="13"/>
        <v>f3D</v>
      </c>
      <c r="DI34" s="81" t="s">
        <v>434</v>
      </c>
      <c r="DJ34" s="204">
        <f t="shared" si="14"/>
        <v>0.65</v>
      </c>
      <c r="DK34" s="81" t="s">
        <v>392</v>
      </c>
      <c r="DL34" s="81" t="s">
        <v>418</v>
      </c>
      <c r="DM34" s="286">
        <f t="shared" si="0"/>
        <v>0.70938862229355959</v>
      </c>
      <c r="DN34" s="286">
        <f t="shared" si="1"/>
        <v>0.46100000000000002</v>
      </c>
      <c r="DO34" s="286">
        <f t="shared" si="2"/>
        <v>0.59799999999999998</v>
      </c>
      <c r="DQ34" s="290" t="s">
        <v>506</v>
      </c>
      <c r="DR34" s="290" t="s">
        <v>475</v>
      </c>
      <c r="DS34" s="291">
        <v>1800000</v>
      </c>
      <c r="DT34" s="291">
        <v>12900</v>
      </c>
      <c r="DU34" s="290">
        <v>138.88</v>
      </c>
      <c r="DV34" s="290" t="s">
        <v>509</v>
      </c>
      <c r="DW34" s="291">
        <v>2E-16</v>
      </c>
      <c r="DX34" s="81" t="s">
        <v>510</v>
      </c>
      <c r="DY34" s="212" t="s">
        <v>568</v>
      </c>
      <c r="DZ34" s="296" t="s">
        <v>406</v>
      </c>
      <c r="EA34" s="292" t="s">
        <v>434</v>
      </c>
      <c r="EB34" s="293">
        <f t="shared" si="23"/>
        <v>259</v>
      </c>
      <c r="EC34" s="212" t="s">
        <v>392</v>
      </c>
      <c r="EE34" s="160" t="s">
        <v>568</v>
      </c>
      <c r="EF34" s="325" t="s">
        <v>406</v>
      </c>
      <c r="EG34" s="322" t="s">
        <v>434</v>
      </c>
      <c r="EH34" s="160">
        <f>$AP21</f>
        <v>199.08073338295438</v>
      </c>
      <c r="EI34" s="160" t="s">
        <v>392</v>
      </c>
    </row>
    <row r="35" spans="1:139" ht="15" customHeight="1" thickTop="1" thickBot="1" x14ac:dyDescent="0.3">
      <c r="A35" s="73">
        <v>2</v>
      </c>
      <c r="B35" s="74">
        <f>B4-B34</f>
        <v>253.99999999999994</v>
      </c>
      <c r="C35" s="73"/>
      <c r="D35" s="73" t="s">
        <v>116</v>
      </c>
      <c r="E35" s="77">
        <v>18</v>
      </c>
      <c r="F35" s="77"/>
      <c r="G35" s="76">
        <f>VLOOKUP(D35,A7:B23,2,0)</f>
        <v>120.6</v>
      </c>
      <c r="L35" s="81"/>
      <c r="M35" s="81"/>
      <c r="N35" s="81" t="s">
        <v>114</v>
      </c>
      <c r="O35" s="3">
        <f>SUM(R6:R9,R15,R17:R20,R25)</f>
        <v>81.576989504837599</v>
      </c>
      <c r="P35" s="3"/>
      <c r="Q35" s="81">
        <f>Q34/5</f>
        <v>11.2</v>
      </c>
      <c r="R35" s="81"/>
      <c r="X35" s="260" t="s">
        <v>115</v>
      </c>
      <c r="Y35" s="261"/>
      <c r="Z35" s="262" t="s">
        <v>21</v>
      </c>
      <c r="AA35" s="275">
        <v>2</v>
      </c>
      <c r="AB35" s="261" t="s">
        <v>5</v>
      </c>
      <c r="AC35" s="261"/>
      <c r="AD35" s="261" t="s">
        <v>22</v>
      </c>
      <c r="AE35" s="264">
        <f>SUM(AE36:AE37)</f>
        <v>0</v>
      </c>
      <c r="AF35" s="14" t="s">
        <v>23</v>
      </c>
      <c r="AG35" s="14">
        <f>SUM(AE37:AE38)</f>
        <v>0</v>
      </c>
      <c r="AH35" s="14"/>
      <c r="AM35" s="154" t="s">
        <v>389</v>
      </c>
      <c r="AN35" s="81" t="s">
        <v>390</v>
      </c>
      <c r="AO35" s="81" t="s">
        <v>418</v>
      </c>
      <c r="AP35" s="81">
        <f>AP28*0.3+0.7</f>
        <v>0.70938862229355959</v>
      </c>
      <c r="AQ35" s="81" t="s">
        <v>392</v>
      </c>
      <c r="AR35" s="204">
        <v>0.46100000000000002</v>
      </c>
      <c r="AV35" s="205" t="s">
        <v>389</v>
      </c>
      <c r="AW35" s="205" t="s">
        <v>390</v>
      </c>
      <c r="AX35" s="205" t="s">
        <v>418</v>
      </c>
      <c r="AY35" s="207" t="s">
        <v>434</v>
      </c>
      <c r="AZ35" s="206">
        <f t="shared" si="3"/>
        <v>0.59799999999999998</v>
      </c>
      <c r="BA35" s="205" t="s">
        <v>392</v>
      </c>
      <c r="BJ35" s="81" t="s">
        <v>285</v>
      </c>
      <c r="BK35" s="81">
        <f>BK15+BK14</f>
        <v>496.89804308980274</v>
      </c>
      <c r="BQ35" s="154" t="s">
        <v>389</v>
      </c>
      <c r="BR35" s="81" t="s">
        <v>390</v>
      </c>
      <c r="BS35" s="81" t="s">
        <v>418</v>
      </c>
      <c r="BT35" s="204">
        <f t="shared" si="20"/>
        <v>0.46100000000000002</v>
      </c>
      <c r="BU35" s="81" t="s">
        <v>392</v>
      </c>
      <c r="BV35" s="204">
        <v>0.46100000000000002</v>
      </c>
      <c r="BZ35" s="211">
        <f>CO25</f>
        <v>0.59799999999999998</v>
      </c>
      <c r="CA35" s="211"/>
      <c r="CB35" s="81" t="s">
        <v>491</v>
      </c>
      <c r="CC35" s="204">
        <v>-6</v>
      </c>
      <c r="CD35" s="204">
        <v>2.3599999999999999E-2</v>
      </c>
      <c r="CH35" s="81" t="s">
        <v>120</v>
      </c>
      <c r="CI35" s="204">
        <v>274</v>
      </c>
      <c r="CJ35" s="204">
        <v>1.37</v>
      </c>
      <c r="CK35" s="81">
        <v>200.04</v>
      </c>
      <c r="CL35" s="81" t="s">
        <v>505</v>
      </c>
      <c r="CN35" s="81" t="s">
        <v>493</v>
      </c>
      <c r="CO35" s="204">
        <v>3.5699999999999998E-3</v>
      </c>
      <c r="CP35" s="204">
        <v>1.0900000000000001E-4</v>
      </c>
      <c r="CQ35" s="81">
        <v>32.700000000000003</v>
      </c>
      <c r="CR35" s="81" t="s">
        <v>509</v>
      </c>
      <c r="CS35" s="204">
        <v>2E-16</v>
      </c>
      <c r="CT35" s="81" t="s">
        <v>510</v>
      </c>
      <c r="CV35" s="212" t="s">
        <v>506</v>
      </c>
      <c r="CW35" s="81" t="s">
        <v>477</v>
      </c>
      <c r="CX35" s="204">
        <v>-10</v>
      </c>
      <c r="CY35" s="204">
        <v>2.1000000000000001E-4</v>
      </c>
      <c r="CZ35" s="81">
        <v>-47558</v>
      </c>
      <c r="DA35" s="81" t="s">
        <v>505</v>
      </c>
      <c r="DB35" s="81" t="s">
        <v>510</v>
      </c>
      <c r="DF35" s="81" t="s">
        <v>389</v>
      </c>
      <c r="DG35" s="81" t="s">
        <v>390</v>
      </c>
      <c r="DH35" s="81" t="str">
        <f t="shared" si="13"/>
        <v>f3N</v>
      </c>
      <c r="DI35" s="81" t="s">
        <v>434</v>
      </c>
      <c r="DJ35" s="204">
        <f t="shared" si="14"/>
        <v>0.64500000000000002</v>
      </c>
      <c r="DK35" s="81" t="s">
        <v>392</v>
      </c>
      <c r="DM35" s="287">
        <f t="shared" si="0"/>
        <v>0</v>
      </c>
      <c r="DN35" s="287">
        <f t="shared" si="1"/>
        <v>0</v>
      </c>
      <c r="DO35" s="287">
        <f t="shared" si="2"/>
        <v>0</v>
      </c>
      <c r="DQ35" s="290" t="s">
        <v>506</v>
      </c>
      <c r="DR35" s="290" t="s">
        <v>291</v>
      </c>
      <c r="DS35" s="291">
        <v>6740000</v>
      </c>
      <c r="DT35" s="291">
        <v>78500</v>
      </c>
      <c r="DU35" s="290">
        <v>85.87</v>
      </c>
      <c r="DV35" s="290" t="s">
        <v>509</v>
      </c>
      <c r="DW35" s="291">
        <v>2E-16</v>
      </c>
      <c r="DX35" s="81" t="s">
        <v>510</v>
      </c>
      <c r="DY35" s="212" t="s">
        <v>568</v>
      </c>
      <c r="DZ35" s="296" t="s">
        <v>407</v>
      </c>
      <c r="EA35" s="292" t="s">
        <v>434</v>
      </c>
      <c r="EB35" s="293">
        <f t="shared" si="23"/>
        <v>122</v>
      </c>
      <c r="EC35" s="212" t="s">
        <v>392</v>
      </c>
      <c r="EE35" s="160" t="s">
        <v>568</v>
      </c>
      <c r="EF35" s="325" t="s">
        <v>407</v>
      </c>
      <c r="EG35" s="322" t="s">
        <v>434</v>
      </c>
      <c r="EH35" s="161">
        <f>$AP22</f>
        <v>91.923239162201668</v>
      </c>
      <c r="EI35" s="160" t="s">
        <v>392</v>
      </c>
    </row>
    <row r="36" spans="1:139" ht="15" customHeight="1" thickTop="1" thickBot="1" x14ac:dyDescent="0.3">
      <c r="A36" s="73">
        <v>3</v>
      </c>
      <c r="B36" s="74">
        <f>G36*2</f>
        <v>0</v>
      </c>
      <c r="C36" s="73"/>
      <c r="D36" s="73" t="s">
        <v>118</v>
      </c>
      <c r="E36" s="346" t="s">
        <v>119</v>
      </c>
      <c r="F36" s="340"/>
      <c r="G36" s="76">
        <f>B17</f>
        <v>0</v>
      </c>
      <c r="L36" s="81"/>
      <c r="M36" s="81"/>
      <c r="N36" s="81" t="s">
        <v>117</v>
      </c>
      <c r="O36" s="3">
        <f>SUM(R10:R13,R21:R24)</f>
        <v>68.2</v>
      </c>
      <c r="Q36" s="81"/>
      <c r="R36" s="81"/>
      <c r="X36" s="271"/>
      <c r="Y36" s="272" t="s">
        <v>16</v>
      </c>
      <c r="Z36" s="272">
        <v>1.361</v>
      </c>
      <c r="AA36" s="272" t="s">
        <v>5</v>
      </c>
      <c r="AB36" s="272"/>
      <c r="AC36" s="272" t="s">
        <v>608</v>
      </c>
      <c r="AD36" s="272">
        <f>(AA35-(1-AD37)*Z36)/0.25</f>
        <v>3.9169999999999998</v>
      </c>
      <c r="AE36" s="276"/>
      <c r="AF36" s="14"/>
      <c r="AG36" s="14"/>
      <c r="AH36" s="14"/>
      <c r="AQ36" s="81" t="s">
        <v>392</v>
      </c>
      <c r="AV36" s="205"/>
      <c r="AW36" s="205"/>
      <c r="AX36" s="205"/>
      <c r="AY36" s="207"/>
      <c r="BA36" s="205"/>
      <c r="BJ36" s="81" t="s">
        <v>457</v>
      </c>
      <c r="BK36" s="3">
        <f>BK32+BK33</f>
        <v>229.68739980063481</v>
      </c>
      <c r="BT36" s="204"/>
      <c r="BU36" s="81" t="s">
        <v>392</v>
      </c>
      <c r="BZ36" s="211"/>
      <c r="CA36" s="211"/>
      <c r="CB36" s="81" t="s">
        <v>492</v>
      </c>
      <c r="CC36" s="204">
        <v>-6.6</v>
      </c>
      <c r="CD36" s="204">
        <v>2.63E-2</v>
      </c>
      <c r="CH36" s="81" t="s">
        <v>488</v>
      </c>
      <c r="CI36" s="204">
        <v>-5.75</v>
      </c>
      <c r="CJ36" s="204">
        <v>2.35E-2</v>
      </c>
      <c r="CK36" s="81">
        <v>-244.53</v>
      </c>
      <c r="CL36" s="81" t="s">
        <v>505</v>
      </c>
      <c r="CN36" s="81" t="s">
        <v>494</v>
      </c>
      <c r="CO36" s="204">
        <v>186</v>
      </c>
      <c r="CP36" s="204">
        <v>2.46</v>
      </c>
      <c r="CQ36" s="81">
        <v>75.599999999999994</v>
      </c>
      <c r="CR36" s="81" t="s">
        <v>509</v>
      </c>
      <c r="CS36" s="204">
        <v>2E-16</v>
      </c>
      <c r="CT36" s="81" t="s">
        <v>510</v>
      </c>
      <c r="CV36" s="212" t="s">
        <v>506</v>
      </c>
      <c r="CW36" s="81" t="s">
        <v>528</v>
      </c>
      <c r="CX36" s="204">
        <v>-10</v>
      </c>
      <c r="CY36" s="204">
        <v>2.1000000000000001E-4</v>
      </c>
      <c r="CZ36" s="81">
        <v>-47558</v>
      </c>
      <c r="DA36" s="81" t="s">
        <v>505</v>
      </c>
      <c r="DB36" s="81" t="s">
        <v>510</v>
      </c>
      <c r="DF36" s="81" t="s">
        <v>389</v>
      </c>
      <c r="DG36" s="81" t="s">
        <v>390</v>
      </c>
      <c r="DH36" s="81" t="str">
        <f t="shared" si="13"/>
        <v>f5D</v>
      </c>
      <c r="DI36" s="81" t="s">
        <v>434</v>
      </c>
      <c r="DJ36" s="204">
        <f t="shared" si="14"/>
        <v>7.0000000000000007E-2</v>
      </c>
      <c r="DK36" s="81" t="s">
        <v>392</v>
      </c>
      <c r="DL36" s="81" t="s">
        <v>419</v>
      </c>
      <c r="DM36" s="289">
        <f t="shared" si="0"/>
        <v>220.67738079012443</v>
      </c>
      <c r="DN36" s="289">
        <f t="shared" si="1"/>
        <v>467</v>
      </c>
      <c r="DO36" s="289">
        <f t="shared" si="2"/>
        <v>194</v>
      </c>
      <c r="DQ36" s="290" t="s">
        <v>506</v>
      </c>
      <c r="DR36" s="290" t="s">
        <v>293</v>
      </c>
      <c r="DS36" s="291">
        <v>9900000</v>
      </c>
      <c r="DT36" s="291">
        <v>49600</v>
      </c>
      <c r="DU36" s="290">
        <v>199.48</v>
      </c>
      <c r="DV36" s="290" t="s">
        <v>509</v>
      </c>
      <c r="DW36" s="291">
        <v>2E-16</v>
      </c>
      <c r="DX36" s="81" t="s">
        <v>510</v>
      </c>
      <c r="DY36" s="212" t="s">
        <v>568</v>
      </c>
      <c r="DZ36" s="297" t="s">
        <v>409</v>
      </c>
      <c r="EA36" s="292" t="s">
        <v>434</v>
      </c>
      <c r="EB36" s="293">
        <f>DS59</f>
        <v>54.5</v>
      </c>
      <c r="EC36" s="212" t="s">
        <v>392</v>
      </c>
      <c r="EE36" s="160" t="s">
        <v>568</v>
      </c>
      <c r="EF36" s="327" t="s">
        <v>409</v>
      </c>
      <c r="EG36" s="322" t="s">
        <v>434</v>
      </c>
      <c r="EH36" s="160">
        <f>$AP24</f>
        <v>10.346482801274425</v>
      </c>
      <c r="EI36" s="160" t="s">
        <v>392</v>
      </c>
    </row>
    <row r="37" spans="1:139" ht="15" customHeight="1" thickTop="1" thickBot="1" x14ac:dyDescent="0.3">
      <c r="L37" s="81"/>
      <c r="M37" s="81"/>
      <c r="N37" s="81" t="s">
        <v>120</v>
      </c>
      <c r="O37" s="3">
        <f>'Verwarming Tabula'!B60</f>
        <v>138.03320000000002</v>
      </c>
      <c r="Q37" s="81"/>
      <c r="R37" s="81"/>
      <c r="X37" s="237"/>
      <c r="Y37" s="219" t="s">
        <v>121</v>
      </c>
      <c r="Z37" s="219">
        <v>0.47</v>
      </c>
      <c r="AA37" s="219"/>
      <c r="AB37" s="219"/>
      <c r="AC37" s="219" t="s">
        <v>607</v>
      </c>
      <c r="AD37" s="219">
        <v>0.25</v>
      </c>
      <c r="AE37" s="242"/>
      <c r="AF37" s="14"/>
      <c r="AG37" s="14"/>
      <c r="AH37" s="14"/>
      <c r="AM37" s="154" t="s">
        <v>389</v>
      </c>
      <c r="AN37" s="81" t="s">
        <v>390</v>
      </c>
      <c r="AO37" s="81" t="s">
        <v>419</v>
      </c>
      <c r="AP37" s="81">
        <f>SUM(O17:O20)*(1/(SUM(AD18:AD19)+1/4))+O25*(1/(SUM(AD9:AD10)/2+1/4))</f>
        <v>220.67738079012443</v>
      </c>
      <c r="AQ37" s="81" t="s">
        <v>392</v>
      </c>
      <c r="AR37" s="204">
        <v>467</v>
      </c>
      <c r="AV37" s="205" t="s">
        <v>389</v>
      </c>
      <c r="AW37" s="205" t="s">
        <v>390</v>
      </c>
      <c r="AX37" s="205" t="s">
        <v>419</v>
      </c>
      <c r="AY37" s="207" t="s">
        <v>434</v>
      </c>
      <c r="AZ37" s="206">
        <f t="shared" si="3"/>
        <v>194</v>
      </c>
      <c r="BA37" s="205" t="s">
        <v>392</v>
      </c>
      <c r="BQ37" s="154" t="s">
        <v>389</v>
      </c>
      <c r="BR37" s="81" t="s">
        <v>390</v>
      </c>
      <c r="BS37" s="81" t="s">
        <v>419</v>
      </c>
      <c r="BT37" s="204">
        <f t="shared" si="20"/>
        <v>467</v>
      </c>
      <c r="BU37" s="81" t="s">
        <v>392</v>
      </c>
      <c r="BV37" s="204">
        <v>467</v>
      </c>
      <c r="BZ37" s="211">
        <f>CO27</f>
        <v>194</v>
      </c>
      <c r="CA37" s="211"/>
      <c r="CB37" s="81" t="s">
        <v>493</v>
      </c>
      <c r="CC37" s="204">
        <v>6.4400000000000004E-3</v>
      </c>
      <c r="CD37" s="204">
        <v>1.36E-4</v>
      </c>
      <c r="CH37" s="81" t="s">
        <v>489</v>
      </c>
      <c r="CI37" s="204">
        <v>-6.06</v>
      </c>
      <c r="CJ37" s="204">
        <v>2.58E-2</v>
      </c>
      <c r="CK37" s="81">
        <v>-234.52</v>
      </c>
      <c r="CL37" s="81" t="s">
        <v>505</v>
      </c>
      <c r="CN37" s="81" t="s">
        <v>495</v>
      </c>
      <c r="CO37" s="204">
        <v>761</v>
      </c>
      <c r="CP37" s="204">
        <v>784</v>
      </c>
      <c r="CQ37" s="81">
        <v>0.97</v>
      </c>
      <c r="CR37" s="81">
        <v>0.33200000000000002</v>
      </c>
      <c r="CV37" s="212" t="s">
        <v>506</v>
      </c>
      <c r="CW37" s="81" t="s">
        <v>529</v>
      </c>
      <c r="CX37" s="204">
        <v>-10</v>
      </c>
      <c r="CY37" s="204">
        <v>2.1000000000000001E-4</v>
      </c>
      <c r="CZ37" s="81">
        <v>-47558</v>
      </c>
      <c r="DA37" s="81" t="s">
        <v>505</v>
      </c>
      <c r="DB37" s="81" t="s">
        <v>510</v>
      </c>
      <c r="DF37" s="81" t="s">
        <v>389</v>
      </c>
      <c r="DG37" s="81" t="s">
        <v>390</v>
      </c>
      <c r="DH37" s="81" t="str">
        <f t="shared" si="13"/>
        <v>f5N</v>
      </c>
      <c r="DI37" s="81" t="s">
        <v>434</v>
      </c>
      <c r="DJ37" s="204">
        <f t="shared" si="14"/>
        <v>0.13</v>
      </c>
      <c r="DK37" s="81" t="s">
        <v>392</v>
      </c>
      <c r="DL37" s="81" t="s">
        <v>420</v>
      </c>
      <c r="DM37" s="289">
        <f t="shared" si="0"/>
        <v>297.81730970684839</v>
      </c>
      <c r="DN37" s="289">
        <f t="shared" si="1"/>
        <v>247</v>
      </c>
      <c r="DO37" s="289">
        <f t="shared" si="2"/>
        <v>83.2</v>
      </c>
      <c r="DQ37" s="290" t="s">
        <v>506</v>
      </c>
      <c r="DR37" s="290" t="s">
        <v>476</v>
      </c>
      <c r="DS37" s="291">
        <v>-5.66</v>
      </c>
      <c r="DT37" s="291">
        <v>6.4299999999999996E-2</v>
      </c>
      <c r="DU37" s="290">
        <v>-88.02</v>
      </c>
      <c r="DV37" s="290" t="s">
        <v>509</v>
      </c>
      <c r="DW37" s="291">
        <v>2E-16</v>
      </c>
      <c r="DX37" s="81" t="s">
        <v>510</v>
      </c>
      <c r="DY37" s="212" t="s">
        <v>568</v>
      </c>
      <c r="DZ37" s="297" t="s">
        <v>408</v>
      </c>
      <c r="EA37" s="292" t="s">
        <v>434</v>
      </c>
      <c r="EB37" s="293">
        <f>1/DS56</f>
        <v>46.296296296296291</v>
      </c>
      <c r="EC37" s="212" t="s">
        <v>392</v>
      </c>
      <c r="EE37" s="160" t="s">
        <v>568</v>
      </c>
      <c r="EF37" s="327" t="s">
        <v>408</v>
      </c>
      <c r="EG37" s="322" t="s">
        <v>434</v>
      </c>
      <c r="EH37" s="160">
        <f>$AP23</f>
        <v>27.553651976295956</v>
      </c>
      <c r="EI37" s="160" t="s">
        <v>392</v>
      </c>
    </row>
    <row r="38" spans="1:139" ht="15" customHeight="1" thickTop="1" thickBot="1" x14ac:dyDescent="0.3">
      <c r="B38" s="3"/>
      <c r="L38" s="81"/>
      <c r="M38" s="81"/>
      <c r="N38" s="81"/>
      <c r="O38" s="3"/>
      <c r="Q38" s="81"/>
      <c r="R38" s="81"/>
      <c r="X38" s="258"/>
      <c r="Y38" s="258"/>
      <c r="Z38" s="258"/>
      <c r="AA38" s="258"/>
      <c r="AB38" s="258"/>
      <c r="AC38" s="258"/>
      <c r="AD38" s="258"/>
      <c r="AE38" s="258"/>
      <c r="AF38" s="14"/>
      <c r="AG38" s="14"/>
      <c r="AH38" s="14"/>
      <c r="AM38" s="154" t="s">
        <v>389</v>
      </c>
      <c r="AN38" s="81" t="s">
        <v>390</v>
      </c>
      <c r="AO38" s="81" t="s">
        <v>420</v>
      </c>
      <c r="AP38" s="81">
        <f>2*AA21*O28+1*O31*AA52+2*O29*AA27</f>
        <v>297.81730970684839</v>
      </c>
      <c r="AQ38" s="81" t="s">
        <v>392</v>
      </c>
      <c r="AR38" s="204">
        <v>247</v>
      </c>
      <c r="AV38" s="205" t="s">
        <v>389</v>
      </c>
      <c r="AW38" s="205" t="s">
        <v>390</v>
      </c>
      <c r="AX38" s="205" t="s">
        <v>420</v>
      </c>
      <c r="AY38" s="207" t="s">
        <v>434</v>
      </c>
      <c r="AZ38" s="206">
        <f t="shared" si="3"/>
        <v>83.2</v>
      </c>
      <c r="BA38" s="205" t="s">
        <v>392</v>
      </c>
      <c r="BQ38" s="154" t="s">
        <v>389</v>
      </c>
      <c r="BR38" s="81" t="s">
        <v>390</v>
      </c>
      <c r="BS38" s="81" t="s">
        <v>420</v>
      </c>
      <c r="BT38" s="204">
        <f t="shared" si="20"/>
        <v>247</v>
      </c>
      <c r="BU38" s="81" t="s">
        <v>392</v>
      </c>
      <c r="BV38" s="204">
        <v>247</v>
      </c>
      <c r="BZ38" s="211">
        <f>CO28</f>
        <v>83.2</v>
      </c>
      <c r="CA38" s="211"/>
      <c r="CB38" s="81" t="s">
        <v>494</v>
      </c>
      <c r="CC38" s="204">
        <v>143</v>
      </c>
      <c r="CD38" s="204">
        <v>1.36</v>
      </c>
      <c r="CH38" s="81" t="s">
        <v>490</v>
      </c>
      <c r="CI38" s="204">
        <v>-6.94</v>
      </c>
      <c r="CJ38" s="204">
        <v>3.6200000000000003E-2</v>
      </c>
      <c r="CK38" s="81">
        <v>-191.49</v>
      </c>
      <c r="CL38" s="81" t="s">
        <v>505</v>
      </c>
      <c r="CV38" s="212" t="s">
        <v>506</v>
      </c>
      <c r="CW38" s="81" t="s">
        <v>400</v>
      </c>
      <c r="CX38" s="204">
        <v>0.06</v>
      </c>
      <c r="CY38" s="204">
        <v>9.4099999999999997E-7</v>
      </c>
      <c r="CZ38" s="81">
        <v>63794</v>
      </c>
      <c r="DA38" s="81" t="s">
        <v>505</v>
      </c>
      <c r="DB38" s="81" t="s">
        <v>510</v>
      </c>
      <c r="DF38" s="81" t="s">
        <v>389</v>
      </c>
      <c r="DG38" s="81" t="s">
        <v>390</v>
      </c>
      <c r="DH38" s="81" t="str">
        <f t="shared" si="13"/>
        <v>hwD</v>
      </c>
      <c r="DI38" s="81" t="s">
        <v>434</v>
      </c>
      <c r="DJ38" s="204">
        <f t="shared" si="14"/>
        <v>281</v>
      </c>
      <c r="DK38" s="81" t="s">
        <v>392</v>
      </c>
      <c r="DL38" s="81" t="s">
        <v>421</v>
      </c>
      <c r="DM38" s="289">
        <f t="shared" si="0"/>
        <v>51.346760837798342</v>
      </c>
      <c r="DN38" s="289">
        <f t="shared" si="1"/>
        <v>82.5</v>
      </c>
      <c r="DO38" s="289">
        <f t="shared" si="2"/>
        <v>64.400000000000006</v>
      </c>
      <c r="DQ38" s="290" t="s">
        <v>506</v>
      </c>
      <c r="DR38" s="290" t="s">
        <v>477</v>
      </c>
      <c r="DS38" s="291">
        <v>-22.9</v>
      </c>
      <c r="DT38" s="291">
        <v>41.9</v>
      </c>
      <c r="DU38" s="290">
        <v>-0.55000000000000004</v>
      </c>
      <c r="DV38" s="290">
        <v>0.58389999999999997</v>
      </c>
      <c r="DW38" s="291"/>
      <c r="DY38" s="212" t="s">
        <v>568</v>
      </c>
      <c r="DZ38" s="294" t="s">
        <v>400</v>
      </c>
      <c r="EA38" s="292" t="s">
        <v>434</v>
      </c>
      <c r="EB38" s="293">
        <f>DS42</f>
        <v>5.3199999999999997E-2</v>
      </c>
      <c r="EC38" s="212" t="s">
        <v>392</v>
      </c>
      <c r="EE38" s="160" t="s">
        <v>568</v>
      </c>
      <c r="EF38" s="323" t="s">
        <v>400</v>
      </c>
      <c r="EG38" s="322" t="s">
        <v>434</v>
      </c>
      <c r="EH38" s="160">
        <f>$AP14</f>
        <v>4.5174606420727743E-2</v>
      </c>
      <c r="EI38" s="160" t="s">
        <v>392</v>
      </c>
    </row>
    <row r="39" spans="1:139" ht="15" customHeight="1" thickTop="1" thickBot="1" x14ac:dyDescent="0.3">
      <c r="L39" s="81"/>
      <c r="M39" s="81"/>
      <c r="N39" s="81" t="s">
        <v>122</v>
      </c>
      <c r="O39" s="3">
        <f>B4*1.204*1012*5/1000000</f>
        <v>3.7522106159999993</v>
      </c>
      <c r="P39" s="81" t="s">
        <v>123</v>
      </c>
      <c r="R39" s="81"/>
      <c r="X39" s="258"/>
      <c r="Y39" s="258"/>
      <c r="Z39" s="259"/>
      <c r="AA39" s="259"/>
      <c r="AB39" s="259"/>
      <c r="AC39" s="258"/>
      <c r="AD39" s="258"/>
      <c r="AE39" s="258"/>
      <c r="AF39" s="14"/>
      <c r="AG39" s="14"/>
      <c r="AH39" s="14"/>
      <c r="AM39" s="154" t="s">
        <v>389</v>
      </c>
      <c r="AN39" s="81" t="s">
        <v>390</v>
      </c>
      <c r="AO39" s="81" t="s">
        <v>421</v>
      </c>
      <c r="AP39" s="3">
        <f>'Verwarming Tabula 2zone Ref 1'!B139+SUM(R21:R24)</f>
        <v>51.346760837798342</v>
      </c>
      <c r="AQ39" s="81" t="s">
        <v>392</v>
      </c>
      <c r="AR39" s="204">
        <v>82.5</v>
      </c>
      <c r="AV39" s="205" t="s">
        <v>389</v>
      </c>
      <c r="AW39" s="205" t="s">
        <v>390</v>
      </c>
      <c r="AX39" s="205" t="s">
        <v>421</v>
      </c>
      <c r="AY39" s="207" t="s">
        <v>434</v>
      </c>
      <c r="AZ39" s="206">
        <f t="shared" si="3"/>
        <v>64.400000000000006</v>
      </c>
      <c r="BA39" s="205" t="s">
        <v>392</v>
      </c>
      <c r="BQ39" s="154" t="s">
        <v>389</v>
      </c>
      <c r="BR39" s="81" t="s">
        <v>390</v>
      </c>
      <c r="BS39" s="81" t="s">
        <v>421</v>
      </c>
      <c r="BT39" s="204">
        <f t="shared" si="20"/>
        <v>82.5</v>
      </c>
      <c r="BU39" s="81" t="s">
        <v>392</v>
      </c>
      <c r="BV39" s="204">
        <v>82.5</v>
      </c>
      <c r="BZ39" s="211">
        <f>CO29</f>
        <v>64.400000000000006</v>
      </c>
      <c r="CA39" s="211"/>
      <c r="CB39" s="81" t="s">
        <v>495</v>
      </c>
      <c r="CC39" s="204">
        <v>1.35E-4</v>
      </c>
      <c r="CD39" s="204">
        <v>1.1900000000000001E-3</v>
      </c>
      <c r="CH39" s="81" t="s">
        <v>491</v>
      </c>
      <c r="CI39" s="204">
        <v>-6</v>
      </c>
      <c r="CJ39" s="204">
        <v>2.3599999999999999E-2</v>
      </c>
      <c r="CK39" s="81">
        <v>-254.34</v>
      </c>
      <c r="CL39" s="81" t="s">
        <v>505</v>
      </c>
      <c r="CV39" s="212" t="s">
        <v>506</v>
      </c>
      <c r="CW39" s="81" t="s">
        <v>416</v>
      </c>
      <c r="CX39" s="204">
        <v>0.16</v>
      </c>
      <c r="CY39" s="204">
        <v>2.48E-6</v>
      </c>
      <c r="CZ39" s="81">
        <v>64442</v>
      </c>
      <c r="DA39" s="81" t="s">
        <v>505</v>
      </c>
      <c r="DB39" s="81" t="s">
        <v>510</v>
      </c>
      <c r="DF39" s="81" t="s">
        <v>389</v>
      </c>
      <c r="DG39" s="81" t="s">
        <v>390</v>
      </c>
      <c r="DH39" s="81" t="str">
        <f t="shared" si="13"/>
        <v>hwiD</v>
      </c>
      <c r="DI39" s="81" t="s">
        <v>434</v>
      </c>
      <c r="DJ39" s="204">
        <f t="shared" si="14"/>
        <v>705</v>
      </c>
      <c r="DK39" s="81" t="s">
        <v>392</v>
      </c>
      <c r="DL39" s="81" t="s">
        <v>422</v>
      </c>
      <c r="DM39" s="289">
        <f t="shared" si="0"/>
        <v>88.889498993412957</v>
      </c>
      <c r="DN39" s="289">
        <f t="shared" si="1"/>
        <v>171.23287671232879</v>
      </c>
      <c r="DO39" s="289">
        <f t="shared" si="2"/>
        <v>280.1120448179272</v>
      </c>
      <c r="DQ39" s="290" t="s">
        <v>506</v>
      </c>
      <c r="DR39" s="290" t="s">
        <v>478</v>
      </c>
      <c r="DS39" s="291">
        <v>-15.9</v>
      </c>
      <c r="DT39" s="291">
        <v>5.72</v>
      </c>
      <c r="DU39" s="290">
        <v>-2.79</v>
      </c>
      <c r="DV39" s="290">
        <v>5.3E-3</v>
      </c>
      <c r="DW39" s="291" t="s">
        <v>516</v>
      </c>
      <c r="DY39" s="212" t="s">
        <v>568</v>
      </c>
      <c r="DZ39" s="295" t="s">
        <v>401</v>
      </c>
      <c r="EA39" s="292" t="s">
        <v>434</v>
      </c>
      <c r="EB39" s="293">
        <f t="shared" ref="EB39:EB42" si="24">DS43</f>
        <v>0.114</v>
      </c>
      <c r="EC39" s="212" t="s">
        <v>392</v>
      </c>
      <c r="EE39" s="160" t="s">
        <v>568</v>
      </c>
      <c r="EF39" s="324" t="s">
        <v>401</v>
      </c>
      <c r="EG39" s="322" t="s">
        <v>434</v>
      </c>
      <c r="EH39" s="160">
        <f>$AP15</f>
        <v>0.11148096801011302</v>
      </c>
      <c r="EI39" s="160" t="s">
        <v>392</v>
      </c>
    </row>
    <row r="40" spans="1:139" ht="15" customHeight="1" thickTop="1" thickBot="1" x14ac:dyDescent="0.3">
      <c r="A40" s="81" t="s">
        <v>271</v>
      </c>
      <c r="L40" s="81"/>
      <c r="M40" s="81"/>
      <c r="N40" s="81" t="s">
        <v>124</v>
      </c>
      <c r="O40" s="3">
        <f>SUM(S6:S9,S15)/1000000</f>
        <v>24.013923012000006</v>
      </c>
      <c r="P40" s="81" t="s">
        <v>125</v>
      </c>
      <c r="Q40" s="3">
        <f>SUM(U6:U9,U15)/1000000</f>
        <v>12.164747100000001</v>
      </c>
      <c r="R40" s="81"/>
      <c r="X40" s="260" t="s">
        <v>63</v>
      </c>
      <c r="Y40" s="261"/>
      <c r="Z40" s="262" t="s">
        <v>21</v>
      </c>
      <c r="AA40" s="263">
        <f>1/(1/10+SUM(AD42:AD46))</f>
        <v>0.28445648493057907</v>
      </c>
      <c r="AB40" s="261" t="s">
        <v>5</v>
      </c>
      <c r="AC40" s="261"/>
      <c r="AD40" s="261" t="s">
        <v>22</v>
      </c>
      <c r="AE40" s="264">
        <f>SUM(AE42:AE46)</f>
        <v>466626.5</v>
      </c>
      <c r="AF40" s="14" t="s">
        <v>23</v>
      </c>
      <c r="AG40" s="14">
        <f>SUM(AE42:AE43)</f>
        <v>110960</v>
      </c>
      <c r="AH40" s="14"/>
      <c r="AM40" s="154" t="s">
        <v>389</v>
      </c>
      <c r="AN40" s="81" t="s">
        <v>390</v>
      </c>
      <c r="AO40" s="81" t="s">
        <v>422</v>
      </c>
      <c r="AP40" s="81">
        <f>SUM(O17:O20)*1/(SUM(AD15:AD17)+1/23)+O25*1/(SUM(AD7:AD8)+SUM(AD9:AD10)/2+1/23)</f>
        <v>88.889498993412957</v>
      </c>
      <c r="AQ40" s="81" t="s">
        <v>392</v>
      </c>
      <c r="AR40" s="81">
        <f>1/(0.00584)</f>
        <v>171.23287671232879</v>
      </c>
      <c r="AV40" s="205" t="s">
        <v>389</v>
      </c>
      <c r="AW40" s="205" t="s">
        <v>390</v>
      </c>
      <c r="AX40" s="205" t="s">
        <v>422</v>
      </c>
      <c r="AY40" s="207" t="s">
        <v>434</v>
      </c>
      <c r="AZ40" s="206">
        <f t="shared" si="3"/>
        <v>280.1120448179272</v>
      </c>
      <c r="BA40" s="205" t="s">
        <v>392</v>
      </c>
      <c r="BQ40" s="154" t="s">
        <v>389</v>
      </c>
      <c r="BR40" s="81" t="s">
        <v>390</v>
      </c>
      <c r="BS40" s="81" t="s">
        <v>422</v>
      </c>
      <c r="BT40" s="204">
        <f t="shared" si="20"/>
        <v>171.23287671232879</v>
      </c>
      <c r="BU40" s="81" t="s">
        <v>392</v>
      </c>
      <c r="BV40" s="81">
        <f>1/(0.00584)</f>
        <v>171.23287671232879</v>
      </c>
      <c r="BZ40" s="211">
        <f>1/CO35</f>
        <v>280.1120448179272</v>
      </c>
      <c r="CA40" s="211"/>
      <c r="CB40" s="81" t="s">
        <v>496</v>
      </c>
      <c r="CC40" s="204">
        <v>58.3</v>
      </c>
      <c r="CD40" s="204">
        <v>1.63</v>
      </c>
      <c r="CH40" s="81" t="s">
        <v>492</v>
      </c>
      <c r="CI40" s="204">
        <v>-6.6</v>
      </c>
      <c r="CJ40" s="204">
        <v>2.63E-2</v>
      </c>
      <c r="CK40" s="81">
        <v>-250.67</v>
      </c>
      <c r="CL40" s="81" t="s">
        <v>505</v>
      </c>
      <c r="CV40" s="212" t="s">
        <v>506</v>
      </c>
      <c r="CW40" s="81" t="s">
        <v>417</v>
      </c>
      <c r="CX40" s="204">
        <v>5.2999999999999999E-2</v>
      </c>
      <c r="CY40" s="204">
        <v>8.3099999999999996E-7</v>
      </c>
      <c r="CZ40" s="81">
        <v>63749</v>
      </c>
      <c r="DA40" s="81" t="s">
        <v>505</v>
      </c>
      <c r="DB40" s="81" t="s">
        <v>510</v>
      </c>
      <c r="DF40" s="81" t="s">
        <v>389</v>
      </c>
      <c r="DG40" s="81" t="s">
        <v>390</v>
      </c>
      <c r="DH40" s="81" t="str">
        <f t="shared" si="13"/>
        <v>hwiN</v>
      </c>
      <c r="DI40" s="81" t="s">
        <v>434</v>
      </c>
      <c r="DJ40" s="204">
        <f t="shared" si="14"/>
        <v>882</v>
      </c>
      <c r="DK40" s="81" t="s">
        <v>392</v>
      </c>
      <c r="DM40" s="287">
        <f t="shared" si="0"/>
        <v>0</v>
      </c>
      <c r="DN40" s="287">
        <f t="shared" si="1"/>
        <v>0</v>
      </c>
      <c r="DO40" s="287">
        <f t="shared" si="2"/>
        <v>0</v>
      </c>
      <c r="DQ40" s="290" t="s">
        <v>506</v>
      </c>
      <c r="DR40" s="290" t="s">
        <v>479</v>
      </c>
      <c r="DS40" s="291">
        <v>-16.899999999999999</v>
      </c>
      <c r="DT40" s="291">
        <v>179</v>
      </c>
      <c r="DU40" s="290">
        <v>-0.09</v>
      </c>
      <c r="DV40" s="291">
        <v>0.92479999999999996</v>
      </c>
      <c r="DY40" s="212" t="s">
        <v>568</v>
      </c>
      <c r="DZ40" s="295" t="s">
        <v>402</v>
      </c>
      <c r="EA40" s="292" t="s">
        <v>434</v>
      </c>
      <c r="EB40" s="293">
        <f t="shared" si="24"/>
        <v>0.72199999999999998</v>
      </c>
      <c r="EC40" s="212" t="s">
        <v>392</v>
      </c>
      <c r="EE40" s="160" t="s">
        <v>568</v>
      </c>
      <c r="EF40" s="324" t="s">
        <v>402</v>
      </c>
      <c r="EG40" s="322" t="s">
        <v>434</v>
      </c>
      <c r="EH40" s="160">
        <f>$AP16</f>
        <v>0.71165207368750494</v>
      </c>
      <c r="EI40" s="160" t="s">
        <v>392</v>
      </c>
    </row>
    <row r="41" spans="1:139" ht="15" customHeight="1" thickTop="1" thickBot="1" x14ac:dyDescent="0.3">
      <c r="A41" s="148" t="s">
        <v>272</v>
      </c>
      <c r="L41" s="81"/>
      <c r="M41" s="81"/>
      <c r="N41" s="81" t="s">
        <v>126</v>
      </c>
      <c r="O41" s="3">
        <f>SUM(S26:S27)/1000000</f>
        <v>54.621285000000015</v>
      </c>
      <c r="P41" s="81" t="s">
        <v>125</v>
      </c>
      <c r="Q41" s="3">
        <f>SUM(U26:U27)/1000000</f>
        <v>54.621285000000015</v>
      </c>
      <c r="R41" s="81"/>
      <c r="X41" s="265"/>
      <c r="Y41" s="266" t="s">
        <v>27</v>
      </c>
      <c r="Z41" s="266" t="s">
        <v>28</v>
      </c>
      <c r="AA41" s="266" t="s">
        <v>29</v>
      </c>
      <c r="AB41" s="266" t="s">
        <v>30</v>
      </c>
      <c r="AC41" s="266" t="s">
        <v>31</v>
      </c>
      <c r="AD41" s="266" t="s">
        <v>32</v>
      </c>
      <c r="AE41" s="267" t="s">
        <v>33</v>
      </c>
      <c r="AF41" s="14"/>
      <c r="AG41" s="14"/>
      <c r="AH41" s="14"/>
      <c r="AQ41" s="81" t="s">
        <v>392</v>
      </c>
      <c r="AV41" s="205"/>
      <c r="AW41" s="205"/>
      <c r="AX41" s="205"/>
      <c r="AY41" s="207"/>
      <c r="BA41" s="205"/>
      <c r="BT41" s="204"/>
      <c r="BU41" s="81" t="s">
        <v>392</v>
      </c>
      <c r="BZ41" s="211"/>
      <c r="CA41" s="211"/>
      <c r="CH41" s="81" t="s">
        <v>493</v>
      </c>
      <c r="CI41" s="204">
        <v>6.4400000000000004E-3</v>
      </c>
      <c r="CJ41" s="204">
        <v>1.36E-4</v>
      </c>
      <c r="CK41" s="81">
        <v>47.2</v>
      </c>
      <c r="CL41" s="81" t="s">
        <v>505</v>
      </c>
      <c r="CV41" s="212" t="s">
        <v>506</v>
      </c>
      <c r="CW41" s="81" t="s">
        <v>402</v>
      </c>
      <c r="CX41" s="204">
        <v>0.65</v>
      </c>
      <c r="CY41" s="204">
        <v>9.5799999999999998E-6</v>
      </c>
      <c r="CZ41" s="81">
        <v>67820</v>
      </c>
      <c r="DA41" s="81" t="s">
        <v>505</v>
      </c>
      <c r="DB41" s="81" t="s">
        <v>510</v>
      </c>
      <c r="DF41" s="81" t="s">
        <v>389</v>
      </c>
      <c r="DG41" s="81" t="s">
        <v>390</v>
      </c>
      <c r="DH41" s="81" t="str">
        <f t="shared" si="13"/>
        <v>hwN</v>
      </c>
      <c r="DI41" s="81" t="s">
        <v>434</v>
      </c>
      <c r="DJ41" s="204">
        <f t="shared" si="14"/>
        <v>384</v>
      </c>
      <c r="DK41" s="81" t="s">
        <v>392</v>
      </c>
      <c r="DL41" s="81" t="s">
        <v>423</v>
      </c>
      <c r="DM41" s="286">
        <f t="shared" si="0"/>
        <v>0.20342721022369359</v>
      </c>
      <c r="DN41" s="286">
        <f t="shared" si="1"/>
        <v>0.112</v>
      </c>
      <c r="DO41" s="286">
        <f t="shared" si="2"/>
        <v>0.14199999999999999</v>
      </c>
      <c r="DQ41" s="290" t="s">
        <v>506</v>
      </c>
      <c r="DR41" s="290" t="s">
        <v>480</v>
      </c>
      <c r="DS41" s="291">
        <v>-19</v>
      </c>
      <c r="DT41" s="291">
        <v>10.7</v>
      </c>
      <c r="DU41" s="290">
        <v>-1.78</v>
      </c>
      <c r="DV41" s="290">
        <v>7.51E-2</v>
      </c>
      <c r="DW41" s="291" t="s">
        <v>557</v>
      </c>
      <c r="DY41" s="212" t="s">
        <v>568</v>
      </c>
      <c r="DZ41" s="292" t="s">
        <v>403</v>
      </c>
      <c r="EA41" s="292" t="s">
        <v>434</v>
      </c>
      <c r="EB41" s="293">
        <f t="shared" si="24"/>
        <v>0.10299999999999999</v>
      </c>
      <c r="EC41" s="212" t="s">
        <v>392</v>
      </c>
      <c r="EE41" s="160" t="s">
        <v>568</v>
      </c>
      <c r="EF41" s="322" t="s">
        <v>403</v>
      </c>
      <c r="EG41" s="322" t="s">
        <v>434</v>
      </c>
      <c r="EH41" s="160">
        <f>$AP17</f>
        <v>7.0664188814546183E-2</v>
      </c>
      <c r="EI41" s="160" t="s">
        <v>392</v>
      </c>
    </row>
    <row r="42" spans="1:139" ht="15" customHeight="1" thickTop="1" thickBot="1" x14ac:dyDescent="0.3">
      <c r="A42" s="81" t="s">
        <v>273</v>
      </c>
      <c r="C42" s="81">
        <f>0.55</f>
        <v>0.55000000000000004</v>
      </c>
      <c r="L42" s="81"/>
      <c r="M42" s="81"/>
      <c r="N42" s="81" t="s">
        <v>127</v>
      </c>
      <c r="O42" s="3">
        <f>S14/1000000</f>
        <v>48.249180100000004</v>
      </c>
      <c r="Q42" s="3">
        <f>U14/1000000</f>
        <v>11.473264</v>
      </c>
      <c r="R42" s="81"/>
      <c r="X42" s="271"/>
      <c r="Y42" s="272" t="s">
        <v>128</v>
      </c>
      <c r="Z42" s="272">
        <v>0.02</v>
      </c>
      <c r="AA42" s="272">
        <v>1.4</v>
      </c>
      <c r="AB42" s="272">
        <v>2100</v>
      </c>
      <c r="AC42" s="272">
        <v>840</v>
      </c>
      <c r="AD42" s="273">
        <f>Z42/AA42</f>
        <v>1.4285714285714287E-2</v>
      </c>
      <c r="AE42" s="274">
        <f>Z42*AB42*AC42</f>
        <v>35280</v>
      </c>
      <c r="AF42" s="14" t="s">
        <v>104</v>
      </c>
      <c r="AG42" s="14"/>
      <c r="AH42" s="14"/>
      <c r="AM42" s="154" t="s">
        <v>389</v>
      </c>
      <c r="AN42" s="81" t="s">
        <v>390</v>
      </c>
      <c r="AO42" s="81" t="s">
        <v>423</v>
      </c>
      <c r="AP42" s="81">
        <f>SUM(O26)/(SUM($O$6:$O$14,$O$26,O30)+2*SUM($O$27))</f>
        <v>0.20342721022369359</v>
      </c>
      <c r="AQ42" s="81" t="s">
        <v>392</v>
      </c>
      <c r="AR42" s="204">
        <v>0.112</v>
      </c>
      <c r="AV42" s="205" t="s">
        <v>389</v>
      </c>
      <c r="AW42" s="205" t="s">
        <v>390</v>
      </c>
      <c r="AX42" s="205" t="s">
        <v>423</v>
      </c>
      <c r="AY42" s="207" t="s">
        <v>434</v>
      </c>
      <c r="AZ42" s="206">
        <f t="shared" si="3"/>
        <v>0.14199999999999999</v>
      </c>
      <c r="BA42" s="205" t="s">
        <v>392</v>
      </c>
      <c r="BQ42" s="154" t="s">
        <v>389</v>
      </c>
      <c r="BR42" s="81" t="s">
        <v>390</v>
      </c>
      <c r="BS42" s="81" t="s">
        <v>423</v>
      </c>
      <c r="BT42" s="204">
        <f t="shared" si="20"/>
        <v>0.112</v>
      </c>
      <c r="BU42" s="81" t="s">
        <v>392</v>
      </c>
      <c r="BV42" s="204">
        <v>0.112</v>
      </c>
      <c r="BZ42" s="211">
        <f>CI16</f>
        <v>0.14199999999999999</v>
      </c>
      <c r="CA42" s="211"/>
      <c r="CH42" s="81" t="s">
        <v>494</v>
      </c>
      <c r="CI42" s="204">
        <v>143</v>
      </c>
      <c r="CJ42" s="204">
        <v>1.36</v>
      </c>
      <c r="CK42" s="81">
        <v>105.13</v>
      </c>
      <c r="CL42" s="81" t="s">
        <v>505</v>
      </c>
      <c r="CV42" s="212" t="s">
        <v>506</v>
      </c>
      <c r="CW42" s="81" t="s">
        <v>418</v>
      </c>
      <c r="CX42" s="204">
        <v>0.64500000000000002</v>
      </c>
      <c r="CY42" s="204">
        <v>9.5200000000000003E-6</v>
      </c>
      <c r="CZ42" s="81">
        <v>67783</v>
      </c>
      <c r="DA42" s="81" t="s">
        <v>505</v>
      </c>
      <c r="DB42" s="81" t="s">
        <v>510</v>
      </c>
      <c r="DF42" s="81" t="s">
        <v>389</v>
      </c>
      <c r="DG42" s="81" t="s">
        <v>390</v>
      </c>
      <c r="DH42" s="81" t="str">
        <f t="shared" si="13"/>
        <v>infD</v>
      </c>
      <c r="DI42" s="81" t="s">
        <v>434</v>
      </c>
      <c r="DJ42" s="204">
        <f t="shared" si="14"/>
        <v>53</v>
      </c>
      <c r="DK42" s="81" t="s">
        <v>392</v>
      </c>
      <c r="DL42" s="81" t="s">
        <v>424</v>
      </c>
      <c r="DM42" s="286">
        <f t="shared" si="0"/>
        <v>0.16391084473409176</v>
      </c>
      <c r="DN42" s="286">
        <f t="shared" si="1"/>
        <v>0.23</v>
      </c>
      <c r="DO42" s="286">
        <f t="shared" si="2"/>
        <v>0.34599999999999997</v>
      </c>
      <c r="DQ42" s="290" t="s">
        <v>506</v>
      </c>
      <c r="DR42" s="290" t="s">
        <v>481</v>
      </c>
      <c r="DS42" s="291">
        <v>5.3199999999999997E-2</v>
      </c>
      <c r="DT42" s="291">
        <v>2.1900000000000001E-4</v>
      </c>
      <c r="DU42" s="290">
        <v>243.46</v>
      </c>
      <c r="DV42" s="290" t="s">
        <v>509</v>
      </c>
      <c r="DW42" s="291">
        <v>2E-16</v>
      </c>
      <c r="DX42" s="81" t="s">
        <v>510</v>
      </c>
      <c r="DY42" s="212" t="s">
        <v>568</v>
      </c>
      <c r="DZ42" s="292" t="s">
        <v>518</v>
      </c>
      <c r="EA42" s="292" t="s">
        <v>434</v>
      </c>
      <c r="EB42" s="293">
        <f t="shared" si="24"/>
        <v>2.6700000000000002E-2</v>
      </c>
      <c r="EC42" s="212" t="s">
        <v>392</v>
      </c>
      <c r="EE42" s="160" t="s">
        <v>568</v>
      </c>
      <c r="EF42" s="322" t="s">
        <v>518</v>
      </c>
      <c r="EG42" s="322" t="s">
        <v>434</v>
      </c>
      <c r="EH42" s="160">
        <f>$AP46</f>
        <v>6.1028163067108072E-2</v>
      </c>
      <c r="EI42" s="160" t="s">
        <v>392</v>
      </c>
    </row>
    <row r="43" spans="1:139" ht="15" customHeight="1" thickTop="1" thickBot="1" x14ac:dyDescent="0.3">
      <c r="A43" s="81" t="s">
        <v>274</v>
      </c>
      <c r="C43" s="81">
        <f>B7/B6</f>
        <v>0.46160714285714288</v>
      </c>
      <c r="D43" s="81" t="s">
        <v>275</v>
      </c>
      <c r="L43" s="81"/>
      <c r="M43" s="81"/>
      <c r="N43" s="81"/>
      <c r="Q43" s="81"/>
      <c r="R43" s="81"/>
      <c r="X43" s="220"/>
      <c r="Y43" s="221" t="s">
        <v>129</v>
      </c>
      <c r="Z43" s="221">
        <v>0.08</v>
      </c>
      <c r="AA43" s="221">
        <v>0.6</v>
      </c>
      <c r="AB43" s="221">
        <v>1100</v>
      </c>
      <c r="AC43" s="221">
        <v>860</v>
      </c>
      <c r="AD43" s="268">
        <f>Z43/AA43</f>
        <v>0.13333333333333333</v>
      </c>
      <c r="AE43" s="222">
        <f>Z43*AB43*AC43</f>
        <v>75680</v>
      </c>
      <c r="AF43" s="14"/>
      <c r="AG43" s="14"/>
      <c r="AH43" s="14"/>
      <c r="AM43" s="154" t="s">
        <v>389</v>
      </c>
      <c r="AN43" s="81" t="s">
        <v>390</v>
      </c>
      <c r="AO43" s="81" t="s">
        <v>424</v>
      </c>
      <c r="AP43" s="81">
        <f>SUM(O26)/SUM(O$17:O$25,2*O$28,O$26,O31,2*O29)</f>
        <v>0.16391084473409176</v>
      </c>
      <c r="AQ43" s="81" t="s">
        <v>392</v>
      </c>
      <c r="AR43" s="204">
        <v>0.23</v>
      </c>
      <c r="AV43" s="205" t="s">
        <v>389</v>
      </c>
      <c r="AW43" s="205" t="s">
        <v>390</v>
      </c>
      <c r="AX43" s="205" t="s">
        <v>424</v>
      </c>
      <c r="AY43" s="207" t="s">
        <v>434</v>
      </c>
      <c r="AZ43" s="206">
        <f t="shared" si="3"/>
        <v>0.34599999999999997</v>
      </c>
      <c r="BA43" s="205" t="s">
        <v>392</v>
      </c>
      <c r="BQ43" s="154" t="s">
        <v>389</v>
      </c>
      <c r="BR43" s="81" t="s">
        <v>390</v>
      </c>
      <c r="BS43" s="81" t="s">
        <v>424</v>
      </c>
      <c r="BT43" s="204">
        <f t="shared" si="20"/>
        <v>0.23</v>
      </c>
      <c r="BU43" s="81" t="s">
        <v>392</v>
      </c>
      <c r="BV43" s="204">
        <v>0.23</v>
      </c>
      <c r="BZ43" s="211">
        <f>CO14</f>
        <v>0.34599999999999997</v>
      </c>
      <c r="CA43" s="211"/>
      <c r="CH43" s="81" t="s">
        <v>495</v>
      </c>
      <c r="CI43" s="204">
        <v>1.35E-4</v>
      </c>
      <c r="CJ43" s="204">
        <v>1.1900000000000001E-3</v>
      </c>
      <c r="CK43" s="81">
        <v>0.11</v>
      </c>
      <c r="CL43" s="81">
        <v>0.91</v>
      </c>
      <c r="CV43" s="212" t="s">
        <v>506</v>
      </c>
      <c r="CW43" s="81" t="s">
        <v>518</v>
      </c>
      <c r="CX43" s="204">
        <v>7.0000000000000007E-2</v>
      </c>
      <c r="CY43" s="204">
        <v>1.1000000000000001E-6</v>
      </c>
      <c r="CZ43" s="81">
        <v>63858</v>
      </c>
      <c r="DA43" s="81" t="s">
        <v>505</v>
      </c>
      <c r="DB43" s="81" t="s">
        <v>510</v>
      </c>
      <c r="DF43" s="81" t="s">
        <v>389</v>
      </c>
      <c r="DG43" s="81" t="s">
        <v>390</v>
      </c>
      <c r="DH43" s="81" t="str">
        <f t="shared" si="13"/>
        <v>infN</v>
      </c>
      <c r="DI43" s="81" t="s">
        <v>434</v>
      </c>
      <c r="DJ43" s="204">
        <f t="shared" si="14"/>
        <v>36.9</v>
      </c>
      <c r="DK43" s="81" t="s">
        <v>392</v>
      </c>
      <c r="DL43" s="81" t="s">
        <v>425</v>
      </c>
      <c r="DM43" s="288">
        <f t="shared" si="0"/>
        <v>20786361.000000004</v>
      </c>
      <c r="DN43" s="288">
        <f t="shared" si="1"/>
        <v>10700000</v>
      </c>
      <c r="DO43" s="288">
        <f t="shared" si="2"/>
        <v>120000000</v>
      </c>
      <c r="DQ43" s="290" t="s">
        <v>506</v>
      </c>
      <c r="DR43" s="290" t="s">
        <v>482</v>
      </c>
      <c r="DS43" s="291">
        <v>0.114</v>
      </c>
      <c r="DT43" s="291">
        <v>4.64E-4</v>
      </c>
      <c r="DU43" s="290">
        <v>246.75</v>
      </c>
      <c r="DV43" s="290" t="s">
        <v>509</v>
      </c>
      <c r="DW43" s="291">
        <v>2E-16</v>
      </c>
      <c r="DX43" s="81" t="s">
        <v>510</v>
      </c>
      <c r="EA43" s="292"/>
      <c r="EE43" s="160"/>
      <c r="EF43" s="160"/>
      <c r="EG43" s="322"/>
      <c r="EH43" s="160"/>
      <c r="EI43" s="160"/>
    </row>
    <row r="44" spans="1:139" ht="15" customHeight="1" thickTop="1" thickBot="1" x14ac:dyDescent="0.3">
      <c r="A44" s="81" t="s">
        <v>277</v>
      </c>
      <c r="C44" s="81">
        <v>0.7</v>
      </c>
      <c r="E44" s="79"/>
      <c r="L44" s="81"/>
      <c r="M44" s="81"/>
      <c r="N44" s="81"/>
      <c r="Q44" s="81"/>
      <c r="R44" s="81"/>
      <c r="X44" s="220"/>
      <c r="Y44" s="221" t="s">
        <v>276</v>
      </c>
      <c r="Z44" s="320">
        <v>7.4999999999999997E-2</v>
      </c>
      <c r="AA44" s="320">
        <v>2.4E-2</v>
      </c>
      <c r="AB44" s="221">
        <v>26</v>
      </c>
      <c r="AC44" s="221">
        <v>1470</v>
      </c>
      <c r="AD44" s="268">
        <f>Z44/AA44</f>
        <v>3.125</v>
      </c>
      <c r="AE44" s="222">
        <f>Z44*AB44*AC44</f>
        <v>2866.5</v>
      </c>
      <c r="AF44" s="14"/>
      <c r="AG44" s="14"/>
      <c r="AH44" s="14"/>
      <c r="AM44" s="154" t="s">
        <v>389</v>
      </c>
      <c r="AN44" s="81" t="s">
        <v>390</v>
      </c>
      <c r="AO44" s="81" t="s">
        <v>425</v>
      </c>
      <c r="AP44" s="81">
        <f>U26/2</f>
        <v>20786361.000000004</v>
      </c>
      <c r="AQ44" s="81" t="s">
        <v>392</v>
      </c>
      <c r="AR44" s="204">
        <v>10700000</v>
      </c>
      <c r="AV44" s="205" t="s">
        <v>389</v>
      </c>
      <c r="AW44" s="205" t="s">
        <v>390</v>
      </c>
      <c r="AX44" s="205" t="s">
        <v>425</v>
      </c>
      <c r="AY44" s="207" t="s">
        <v>434</v>
      </c>
      <c r="AZ44" s="206">
        <f t="shared" si="3"/>
        <v>120000000</v>
      </c>
      <c r="BA44" s="205" t="s">
        <v>392</v>
      </c>
      <c r="BQ44" s="154" t="s">
        <v>389</v>
      </c>
      <c r="BR44" s="81" t="s">
        <v>390</v>
      </c>
      <c r="BS44" s="81" t="s">
        <v>425</v>
      </c>
      <c r="BT44" s="204">
        <f t="shared" si="20"/>
        <v>10700000</v>
      </c>
      <c r="BU44" s="81" t="s">
        <v>392</v>
      </c>
      <c r="BV44" s="204">
        <v>10700000</v>
      </c>
      <c r="BZ44" s="211">
        <f>CP51</f>
        <v>120000000</v>
      </c>
      <c r="CA44" s="211"/>
      <c r="CH44" s="81" t="s">
        <v>496</v>
      </c>
      <c r="CI44" s="204">
        <v>58.3</v>
      </c>
      <c r="CJ44" s="204">
        <v>1.63</v>
      </c>
      <c r="CK44" s="81">
        <v>35.75</v>
      </c>
      <c r="CL44" s="81" t="s">
        <v>505</v>
      </c>
      <c r="CN44" s="81" t="s">
        <v>497</v>
      </c>
      <c r="CO44" s="81" t="s">
        <v>512</v>
      </c>
      <c r="CV44" s="212" t="s">
        <v>506</v>
      </c>
      <c r="CW44" s="81" t="s">
        <v>519</v>
      </c>
      <c r="CX44" s="204">
        <v>0.13</v>
      </c>
      <c r="CY44" s="204">
        <v>2.0200000000000001E-6</v>
      </c>
      <c r="CZ44" s="81">
        <v>64246</v>
      </c>
      <c r="DA44" s="81" t="s">
        <v>505</v>
      </c>
      <c r="DB44" s="81" t="s">
        <v>510</v>
      </c>
      <c r="DJ44" s="204"/>
      <c r="DL44" s="81" t="s">
        <v>426</v>
      </c>
      <c r="DM44" s="288">
        <f t="shared" si="0"/>
        <v>20786361.000000004</v>
      </c>
      <c r="DN44" s="288">
        <f t="shared" si="1"/>
        <v>33900000</v>
      </c>
      <c r="DO44" s="288">
        <f t="shared" si="2"/>
        <v>630000</v>
      </c>
      <c r="DQ44" s="290" t="s">
        <v>506</v>
      </c>
      <c r="DR44" s="290" t="s">
        <v>483</v>
      </c>
      <c r="DS44" s="291">
        <v>0.72199999999999998</v>
      </c>
      <c r="DT44" s="291">
        <v>2.0400000000000001E-3</v>
      </c>
      <c r="DU44" s="290">
        <v>352.82</v>
      </c>
      <c r="DV44" s="290" t="s">
        <v>509</v>
      </c>
      <c r="DW44" s="291">
        <v>2E-16</v>
      </c>
      <c r="DX44" s="81" t="s">
        <v>510</v>
      </c>
      <c r="DY44" s="212" t="s">
        <v>568</v>
      </c>
      <c r="DZ44" s="297" t="s">
        <v>590</v>
      </c>
      <c r="EA44" s="292" t="s">
        <v>434</v>
      </c>
      <c r="EB44" s="293">
        <f>DS69</f>
        <v>4.3499999999999997E-2</v>
      </c>
      <c r="EC44" s="212" t="s">
        <v>392</v>
      </c>
      <c r="EE44" s="160" t="s">
        <v>568</v>
      </c>
      <c r="EF44" s="327" t="s">
        <v>590</v>
      </c>
      <c r="EG44" s="322" t="s">
        <v>434</v>
      </c>
      <c r="EH44" s="160">
        <f>$O$11*$Z$37*$AP$26</f>
        <v>0.55239042279302286</v>
      </c>
      <c r="EI44" s="160" t="s">
        <v>392</v>
      </c>
    </row>
    <row r="45" spans="1:139" ht="15" customHeight="1" thickTop="1" thickBot="1" x14ac:dyDescent="0.3">
      <c r="A45" s="81" t="s">
        <v>278</v>
      </c>
      <c r="C45" s="81">
        <v>0.5</v>
      </c>
      <c r="E45" s="79"/>
      <c r="L45" s="81"/>
      <c r="M45" s="81"/>
      <c r="N45" s="81"/>
      <c r="Q45" s="81"/>
      <c r="R45" s="81"/>
      <c r="X45" s="220"/>
      <c r="Y45" s="221" t="s">
        <v>131</v>
      </c>
      <c r="Z45" s="221">
        <v>0.2</v>
      </c>
      <c r="AA45" s="221">
        <v>1.4</v>
      </c>
      <c r="AB45" s="221">
        <v>2100</v>
      </c>
      <c r="AC45" s="221">
        <v>840</v>
      </c>
      <c r="AD45" s="268">
        <f>Z45/AA45</f>
        <v>0.14285714285714288</v>
      </c>
      <c r="AE45" s="222">
        <f>Z45*AB45*AC45</f>
        <v>352800</v>
      </c>
      <c r="AF45" s="14"/>
      <c r="AG45" s="14"/>
      <c r="AH45" s="14"/>
      <c r="AM45" s="154" t="s">
        <v>389</v>
      </c>
      <c r="AN45" s="81" t="s">
        <v>390</v>
      </c>
      <c r="AO45" s="81" t="s">
        <v>426</v>
      </c>
      <c r="AP45" s="81">
        <f>U26/2</f>
        <v>20786361.000000004</v>
      </c>
      <c r="AQ45" s="81" t="s">
        <v>392</v>
      </c>
      <c r="AR45" s="204">
        <v>33900000</v>
      </c>
      <c r="AV45" s="205" t="s">
        <v>389</v>
      </c>
      <c r="AW45" s="205" t="s">
        <v>390</v>
      </c>
      <c r="AX45" s="205" t="s">
        <v>426</v>
      </c>
      <c r="AY45" s="207" t="s">
        <v>434</v>
      </c>
      <c r="AZ45" s="206">
        <f t="shared" si="3"/>
        <v>630000</v>
      </c>
      <c r="BA45" s="205" t="s">
        <v>392</v>
      </c>
      <c r="BQ45" s="154" t="s">
        <v>389</v>
      </c>
      <c r="BR45" s="81" t="s">
        <v>390</v>
      </c>
      <c r="BS45" s="81" t="s">
        <v>426</v>
      </c>
      <c r="BT45" s="204">
        <f t="shared" si="20"/>
        <v>33900000</v>
      </c>
      <c r="BU45" s="81" t="s">
        <v>392</v>
      </c>
      <c r="BV45" s="204">
        <v>33900000</v>
      </c>
      <c r="BZ45" s="211">
        <f>CP52</f>
        <v>630000</v>
      </c>
      <c r="CA45" s="211"/>
      <c r="CN45" s="81" t="s">
        <v>506</v>
      </c>
      <c r="CO45" s="81" t="s">
        <v>499</v>
      </c>
      <c r="CV45" s="212" t="s">
        <v>506</v>
      </c>
      <c r="CW45" s="81" t="s">
        <v>404</v>
      </c>
      <c r="CX45" s="204">
        <v>281</v>
      </c>
      <c r="CY45" s="204">
        <v>1.15E-3</v>
      </c>
      <c r="CZ45" s="81">
        <v>244765</v>
      </c>
      <c r="DA45" s="81" t="s">
        <v>505</v>
      </c>
      <c r="DB45" s="81" t="s">
        <v>510</v>
      </c>
      <c r="DJ45" s="204"/>
      <c r="DL45" s="81" t="s">
        <v>427</v>
      </c>
      <c r="DM45" s="286">
        <f t="shared" si="0"/>
        <v>6.1028163067108072E-2</v>
      </c>
      <c r="DN45" s="286">
        <f t="shared" si="1"/>
        <v>7.5399999999999995E-2</v>
      </c>
      <c r="DO45" s="286">
        <f t="shared" si="2"/>
        <v>5.4300000000000001E-2</v>
      </c>
      <c r="DQ45" s="290" t="s">
        <v>506</v>
      </c>
      <c r="DR45" s="290" t="s">
        <v>484</v>
      </c>
      <c r="DS45" s="291">
        <v>0.10299999999999999</v>
      </c>
      <c r="DT45" s="291">
        <v>2.9300000000000002E-4</v>
      </c>
      <c r="DU45" s="290">
        <v>351.89</v>
      </c>
      <c r="DV45" s="290" t="s">
        <v>509</v>
      </c>
      <c r="DW45" s="291">
        <v>2E-16</v>
      </c>
      <c r="DX45" s="81" t="s">
        <v>510</v>
      </c>
      <c r="DY45" s="212" t="s">
        <v>568</v>
      </c>
      <c r="DZ45" s="297" t="s">
        <v>591</v>
      </c>
      <c r="EA45" s="292" t="s">
        <v>434</v>
      </c>
      <c r="EB45" s="293">
        <f t="shared" ref="EB45:EB59" si="25">DS70</f>
        <v>0.56399999999999995</v>
      </c>
      <c r="EC45" s="212" t="s">
        <v>392</v>
      </c>
      <c r="EE45" s="160" t="s">
        <v>568</v>
      </c>
      <c r="EF45" s="327" t="s">
        <v>591</v>
      </c>
      <c r="EG45" s="322" t="s">
        <v>434</v>
      </c>
      <c r="EH45" s="160">
        <f>$O$10*$Z$37*$AP$26</f>
        <v>0.64845832240920065</v>
      </c>
      <c r="EI45" s="160" t="s">
        <v>392</v>
      </c>
    </row>
    <row r="46" spans="1:139" ht="15" customHeight="1" thickTop="1" thickBot="1" x14ac:dyDescent="0.3">
      <c r="L46" s="81"/>
      <c r="M46" s="81"/>
      <c r="N46" s="81"/>
      <c r="Q46" s="81"/>
      <c r="R46" s="81"/>
      <c r="X46" s="237"/>
      <c r="Y46" s="219" t="s">
        <v>132</v>
      </c>
      <c r="Z46" s="219">
        <v>0</v>
      </c>
      <c r="AA46" s="219">
        <v>0.02</v>
      </c>
      <c r="AB46" s="219">
        <v>30</v>
      </c>
      <c r="AC46" s="219">
        <v>1470</v>
      </c>
      <c r="AD46" s="269">
        <f>Z46/AA46</f>
        <v>0</v>
      </c>
      <c r="AE46" s="242">
        <f>Z46*AB46*AC46</f>
        <v>0</v>
      </c>
      <c r="AF46" s="14"/>
      <c r="AG46" s="14"/>
      <c r="AH46" s="14"/>
      <c r="AM46" s="154" t="s">
        <v>389</v>
      </c>
      <c r="AN46" s="81" t="s">
        <v>390</v>
      </c>
      <c r="AO46" s="81" t="s">
        <v>427</v>
      </c>
      <c r="AP46" s="81">
        <f>AP42*0.3</f>
        <v>6.1028163067108072E-2</v>
      </c>
      <c r="AQ46" s="81" t="s">
        <v>392</v>
      </c>
      <c r="AR46" s="204">
        <v>7.5399999999999995E-2</v>
      </c>
      <c r="AV46" s="205" t="s">
        <v>389</v>
      </c>
      <c r="AW46" s="205" t="s">
        <v>390</v>
      </c>
      <c r="AX46" s="205" t="s">
        <v>427</v>
      </c>
      <c r="AY46" s="207" t="s">
        <v>434</v>
      </c>
      <c r="AZ46" s="206">
        <f t="shared" si="3"/>
        <v>5.4300000000000001E-2</v>
      </c>
      <c r="BA46" s="205" t="s">
        <v>392</v>
      </c>
      <c r="BQ46" s="154" t="s">
        <v>389</v>
      </c>
      <c r="BR46" s="81" t="s">
        <v>390</v>
      </c>
      <c r="BS46" s="81" t="s">
        <v>427</v>
      </c>
      <c r="BT46" s="204">
        <f t="shared" si="20"/>
        <v>7.5399999999999995E-2</v>
      </c>
      <c r="BU46" s="81" t="s">
        <v>392</v>
      </c>
      <c r="BV46" s="204">
        <v>7.5399999999999995E-2</v>
      </c>
      <c r="BZ46" s="211">
        <f>CI31</f>
        <v>5.4300000000000001E-2</v>
      </c>
      <c r="CA46" s="211"/>
      <c r="CN46" s="81" t="s">
        <v>506</v>
      </c>
      <c r="CO46" s="81" t="s">
        <v>500</v>
      </c>
      <c r="CP46" s="81" t="s">
        <v>501</v>
      </c>
      <c r="CQ46" s="81" t="s">
        <v>502</v>
      </c>
      <c r="CR46" s="81" t="s">
        <v>503</v>
      </c>
      <c r="CS46" s="81" t="s">
        <v>504</v>
      </c>
      <c r="CT46" s="81" t="s">
        <v>508</v>
      </c>
      <c r="CV46" s="212" t="s">
        <v>506</v>
      </c>
      <c r="CW46" s="81" t="s">
        <v>406</v>
      </c>
      <c r="CX46" s="204">
        <v>705</v>
      </c>
      <c r="CY46" s="204">
        <v>2.7899999999999999E-3</v>
      </c>
      <c r="CZ46" s="81">
        <v>252594</v>
      </c>
      <c r="DA46" s="81" t="s">
        <v>505</v>
      </c>
      <c r="DB46" s="81" t="s">
        <v>510</v>
      </c>
      <c r="DJ46" s="204"/>
      <c r="DL46" s="81" t="s">
        <v>428</v>
      </c>
      <c r="DM46" s="286">
        <f t="shared" si="0"/>
        <v>4.9173253420227526E-2</v>
      </c>
      <c r="DN46" s="286">
        <f t="shared" si="1"/>
        <v>0.127</v>
      </c>
      <c r="DO46" s="286">
        <f t="shared" si="2"/>
        <v>9.5100000000000004E-2</v>
      </c>
      <c r="DQ46" s="290" t="s">
        <v>506</v>
      </c>
      <c r="DR46" s="290" t="s">
        <v>485</v>
      </c>
      <c r="DS46" s="291">
        <v>2.6700000000000002E-2</v>
      </c>
      <c r="DT46" s="291">
        <v>1.9799999999999999E-4</v>
      </c>
      <c r="DU46" s="290">
        <v>134.87</v>
      </c>
      <c r="DV46" s="290" t="s">
        <v>509</v>
      </c>
      <c r="DW46" s="291">
        <v>2E-16</v>
      </c>
      <c r="DX46" s="81" t="s">
        <v>510</v>
      </c>
      <c r="DY46" s="212" t="s">
        <v>568</v>
      </c>
      <c r="DZ46" s="297" t="s">
        <v>592</v>
      </c>
      <c r="EA46" s="292" t="s">
        <v>434</v>
      </c>
      <c r="EB46" s="293">
        <f t="shared" si="25"/>
        <v>0.65700000000000003</v>
      </c>
      <c r="EC46" s="212" t="s">
        <v>392</v>
      </c>
      <c r="EE46" s="160" t="s">
        <v>568</v>
      </c>
      <c r="EF46" s="327" t="s">
        <v>592</v>
      </c>
      <c r="EG46" s="322" t="s">
        <v>434</v>
      </c>
      <c r="EH46" s="160">
        <f>$O$12*$Z$37*$AP$26</f>
        <v>0.72050924712133413</v>
      </c>
      <c r="EI46" s="160" t="s">
        <v>392</v>
      </c>
    </row>
    <row r="47" spans="1:139" ht="15" customHeight="1" thickTop="1" thickBot="1" x14ac:dyDescent="0.3">
      <c r="B47" s="3"/>
      <c r="L47" s="81"/>
      <c r="M47" s="81"/>
      <c r="N47" s="81"/>
      <c r="Q47" s="81"/>
      <c r="R47" s="81"/>
      <c r="X47" s="221"/>
      <c r="Y47" s="221"/>
      <c r="Z47" s="221"/>
      <c r="AA47" s="221"/>
      <c r="AB47" s="221"/>
      <c r="AC47" s="221"/>
      <c r="AD47" s="268"/>
      <c r="AE47" s="221"/>
      <c r="AF47" s="14"/>
      <c r="AG47" s="14"/>
      <c r="AH47" s="14"/>
      <c r="AM47" s="154" t="s">
        <v>389</v>
      </c>
      <c r="AN47" s="81" t="s">
        <v>390</v>
      </c>
      <c r="AO47" s="81" t="s">
        <v>428</v>
      </c>
      <c r="AP47" s="81">
        <f>AP43*0.3</f>
        <v>4.9173253420227526E-2</v>
      </c>
      <c r="AQ47" s="81" t="s">
        <v>392</v>
      </c>
      <c r="AR47" s="204">
        <v>0.127</v>
      </c>
      <c r="AV47" s="205" t="s">
        <v>389</v>
      </c>
      <c r="AW47" s="205" t="s">
        <v>390</v>
      </c>
      <c r="AX47" s="205" t="s">
        <v>428</v>
      </c>
      <c r="AY47" s="207" t="s">
        <v>434</v>
      </c>
      <c r="AZ47" s="206">
        <f t="shared" si="3"/>
        <v>9.5100000000000004E-2</v>
      </c>
      <c r="BA47" s="205" t="s">
        <v>392</v>
      </c>
      <c r="BQ47" s="154" t="s">
        <v>389</v>
      </c>
      <c r="BR47" s="81" t="s">
        <v>390</v>
      </c>
      <c r="BS47" s="81" t="s">
        <v>428</v>
      </c>
      <c r="BT47" s="204">
        <f t="shared" si="20"/>
        <v>0.127</v>
      </c>
      <c r="BU47" s="81" t="s">
        <v>392</v>
      </c>
      <c r="BV47" s="204">
        <v>0.127</v>
      </c>
      <c r="BZ47" s="211">
        <f>CO26</f>
        <v>9.5100000000000004E-2</v>
      </c>
      <c r="CA47" s="211"/>
      <c r="CN47" s="81" t="s">
        <v>506</v>
      </c>
      <c r="CO47" s="81" t="s">
        <v>513</v>
      </c>
      <c r="CP47" s="204">
        <v>290</v>
      </c>
      <c r="CQ47" s="204">
        <v>0.14499999999999999</v>
      </c>
      <c r="CR47" s="81">
        <v>1995.82</v>
      </c>
      <c r="CS47" s="81" t="s">
        <v>509</v>
      </c>
      <c r="CT47" s="204">
        <v>2E-16</v>
      </c>
      <c r="CU47" s="81" t="s">
        <v>510</v>
      </c>
      <c r="CV47" s="212" t="s">
        <v>506</v>
      </c>
      <c r="CW47" s="81" t="s">
        <v>420</v>
      </c>
      <c r="CX47" s="204">
        <v>882</v>
      </c>
      <c r="CY47" s="204">
        <v>6.6800000000000002E-3</v>
      </c>
      <c r="CZ47" s="81">
        <v>132039</v>
      </c>
      <c r="DA47" s="81" t="s">
        <v>505</v>
      </c>
      <c r="DB47" s="81" t="s">
        <v>510</v>
      </c>
      <c r="DJ47" s="204"/>
      <c r="DL47" s="81" t="s">
        <v>429</v>
      </c>
      <c r="DM47" s="289">
        <f t="shared" si="0"/>
        <v>374.43594009983366</v>
      </c>
      <c r="DN47" s="289">
        <f t="shared" si="1"/>
        <v>599</v>
      </c>
      <c r="DO47" s="289">
        <f t="shared" si="2"/>
        <v>138</v>
      </c>
      <c r="DQ47" s="290" t="s">
        <v>506</v>
      </c>
      <c r="DR47" s="290" t="s">
        <v>486</v>
      </c>
      <c r="DS47" s="291">
        <v>109</v>
      </c>
      <c r="DT47" s="291">
        <v>0.438</v>
      </c>
      <c r="DU47" s="290">
        <v>249.99</v>
      </c>
      <c r="DV47" s="290" t="s">
        <v>509</v>
      </c>
      <c r="DW47" s="291">
        <v>2E-16</v>
      </c>
      <c r="DX47" s="81" t="s">
        <v>510</v>
      </c>
      <c r="DY47" s="212" t="s">
        <v>568</v>
      </c>
      <c r="DZ47" s="297" t="s">
        <v>593</v>
      </c>
      <c r="EA47" s="292" t="s">
        <v>434</v>
      </c>
      <c r="EB47" s="293">
        <f t="shared" si="25"/>
        <v>0.97299999999999998</v>
      </c>
      <c r="EC47" s="212" t="s">
        <v>392</v>
      </c>
      <c r="EE47" s="160" t="s">
        <v>568</v>
      </c>
      <c r="EF47" s="327" t="s">
        <v>593</v>
      </c>
      <c r="EG47" s="322" t="s">
        <v>434</v>
      </c>
      <c r="EH47" s="160">
        <f>$O$13*$Z$37*$AP$26</f>
        <v>0.80857148843616389</v>
      </c>
      <c r="EI47" s="160" t="s">
        <v>392</v>
      </c>
    </row>
    <row r="48" spans="1:139" ht="15" customHeight="1" thickTop="1" thickBot="1" x14ac:dyDescent="0.3">
      <c r="B48" s="3"/>
      <c r="L48" s="81"/>
      <c r="M48" s="81"/>
      <c r="N48" s="81"/>
      <c r="Q48" s="81"/>
      <c r="R48" s="81"/>
      <c r="X48" s="258"/>
      <c r="Y48" s="258"/>
      <c r="Z48" s="277"/>
      <c r="AA48" s="277"/>
      <c r="AB48" s="277"/>
      <c r="AC48" s="258"/>
      <c r="AD48" s="258"/>
      <c r="AE48" s="258"/>
      <c r="AF48" s="14"/>
      <c r="AG48" s="14"/>
      <c r="AH48" s="14"/>
      <c r="AM48" s="154" t="s">
        <v>389</v>
      </c>
      <c r="AN48" s="81" t="s">
        <v>390</v>
      </c>
      <c r="AO48" s="81" t="s">
        <v>429</v>
      </c>
      <c r="AP48" s="81">
        <f>AA27*4*O26</f>
        <v>374.43594009983366</v>
      </c>
      <c r="AQ48" s="81" t="s">
        <v>392</v>
      </c>
      <c r="AR48" s="204">
        <v>599</v>
      </c>
      <c r="AV48" s="205" t="s">
        <v>389</v>
      </c>
      <c r="AW48" s="205" t="s">
        <v>390</v>
      </c>
      <c r="AX48" s="205" t="s">
        <v>429</v>
      </c>
      <c r="AY48" s="207" t="s">
        <v>434</v>
      </c>
      <c r="AZ48" s="206">
        <f t="shared" si="3"/>
        <v>138</v>
      </c>
      <c r="BA48" s="205" t="s">
        <v>392</v>
      </c>
      <c r="BQ48" s="154" t="s">
        <v>389</v>
      </c>
      <c r="BR48" s="81" t="s">
        <v>390</v>
      </c>
      <c r="BS48" s="81" t="s">
        <v>429</v>
      </c>
      <c r="BT48" s="204">
        <f t="shared" si="20"/>
        <v>599</v>
      </c>
      <c r="BU48" s="81" t="s">
        <v>392</v>
      </c>
      <c r="BV48" s="204">
        <v>599</v>
      </c>
      <c r="BZ48" s="211">
        <f>CP60</f>
        <v>138</v>
      </c>
      <c r="CA48" s="211"/>
      <c r="CN48" s="81" t="s">
        <v>506</v>
      </c>
      <c r="CO48" s="81" t="s">
        <v>514</v>
      </c>
      <c r="CP48" s="204">
        <v>291</v>
      </c>
      <c r="CQ48" s="204">
        <v>0.76600000000000001</v>
      </c>
      <c r="CR48" s="81">
        <v>379.48</v>
      </c>
      <c r="CS48" s="81" t="s">
        <v>509</v>
      </c>
      <c r="CT48" s="204">
        <v>2E-16</v>
      </c>
      <c r="CU48" s="81" t="s">
        <v>510</v>
      </c>
      <c r="CV48" s="212" t="s">
        <v>506</v>
      </c>
      <c r="CW48" s="81" t="s">
        <v>419</v>
      </c>
      <c r="CX48" s="204">
        <v>384</v>
      </c>
      <c r="CY48" s="204">
        <v>1.17E-3</v>
      </c>
      <c r="CZ48" s="81">
        <v>328443</v>
      </c>
      <c r="DA48" s="81" t="s">
        <v>505</v>
      </c>
      <c r="DB48" s="81" t="s">
        <v>510</v>
      </c>
      <c r="DJ48" s="204"/>
      <c r="DL48" s="81" t="s">
        <v>430</v>
      </c>
      <c r="DM48" s="289">
        <f t="shared" si="0"/>
        <v>187.21797004991683</v>
      </c>
      <c r="DN48" s="289">
        <f t="shared" si="1"/>
        <v>537</v>
      </c>
      <c r="DO48" s="289">
        <f t="shared" si="2"/>
        <v>7610</v>
      </c>
      <c r="DQ48" s="290" t="s">
        <v>506</v>
      </c>
      <c r="DR48" s="290" t="s">
        <v>487</v>
      </c>
      <c r="DS48" s="291">
        <v>157</v>
      </c>
      <c r="DT48" s="291">
        <v>0.51</v>
      </c>
      <c r="DU48" s="290">
        <v>306.83</v>
      </c>
      <c r="DV48" s="290" t="s">
        <v>509</v>
      </c>
      <c r="DW48" s="291">
        <v>2E-16</v>
      </c>
      <c r="DX48" s="81" t="s">
        <v>510</v>
      </c>
      <c r="DY48" s="212" t="s">
        <v>568</v>
      </c>
      <c r="DZ48" s="297" t="s">
        <v>594</v>
      </c>
      <c r="EA48" s="292" t="s">
        <v>434</v>
      </c>
      <c r="EB48" s="293">
        <f t="shared" si="25"/>
        <v>0.877</v>
      </c>
      <c r="EC48" s="212" t="s">
        <v>392</v>
      </c>
      <c r="EE48" s="160" t="s">
        <v>568</v>
      </c>
      <c r="EF48" s="327" t="s">
        <v>594</v>
      </c>
      <c r="EG48" s="322" t="s">
        <v>434</v>
      </c>
      <c r="EH48" s="160">
        <f>$O$11*$Z$37*$AP$27</f>
        <v>0.75258263897395739</v>
      </c>
      <c r="EI48" s="160" t="s">
        <v>392</v>
      </c>
    </row>
    <row r="49" spans="2:139" ht="15" customHeight="1" thickTop="1" thickBot="1" x14ac:dyDescent="0.3">
      <c r="B49" s="3"/>
      <c r="L49" s="81"/>
      <c r="M49" s="81"/>
      <c r="N49" s="81"/>
      <c r="Q49" s="81"/>
      <c r="R49" s="81"/>
      <c r="X49" s="278" t="s">
        <v>68</v>
      </c>
      <c r="Y49" s="279"/>
      <c r="Z49" s="280" t="s">
        <v>21</v>
      </c>
      <c r="AA49" s="281">
        <v>3.5</v>
      </c>
      <c r="AB49" s="279" t="s">
        <v>5</v>
      </c>
      <c r="AC49" s="279"/>
      <c r="AD49" s="279" t="s">
        <v>22</v>
      </c>
      <c r="AE49" s="282">
        <f>0.04*550*1660</f>
        <v>36520</v>
      </c>
      <c r="AF49" s="14" t="s">
        <v>23</v>
      </c>
      <c r="AG49" s="14">
        <f>SUM(AE51:AE52)</f>
        <v>181020.00000000003</v>
      </c>
      <c r="AH49" s="14"/>
      <c r="AM49" s="154" t="s">
        <v>389</v>
      </c>
      <c r="AN49" s="81" t="s">
        <v>390</v>
      </c>
      <c r="AO49" s="81" t="s">
        <v>430</v>
      </c>
      <c r="AP49" s="81">
        <f>AP50/2</f>
        <v>187.21797004991683</v>
      </c>
      <c r="AQ49" s="81" t="s">
        <v>392</v>
      </c>
      <c r="AR49" s="204">
        <v>537</v>
      </c>
      <c r="AV49" s="205" t="s">
        <v>389</v>
      </c>
      <c r="AW49" s="205" t="s">
        <v>390</v>
      </c>
      <c r="AX49" s="205" t="s">
        <v>430</v>
      </c>
      <c r="AY49" s="207" t="s">
        <v>434</v>
      </c>
      <c r="AZ49" s="206">
        <f>BZ49</f>
        <v>7610</v>
      </c>
      <c r="BA49" s="205" t="s">
        <v>392</v>
      </c>
      <c r="BQ49" s="154" t="s">
        <v>389</v>
      </c>
      <c r="BR49" s="81" t="s">
        <v>390</v>
      </c>
      <c r="BS49" s="81" t="s">
        <v>430</v>
      </c>
      <c r="BT49" s="204">
        <f t="shared" si="20"/>
        <v>537</v>
      </c>
      <c r="BU49" s="81" t="s">
        <v>392</v>
      </c>
      <c r="BV49" s="204">
        <v>537</v>
      </c>
      <c r="BZ49" s="211">
        <f>CP61</f>
        <v>7610</v>
      </c>
      <c r="CA49" s="211"/>
      <c r="CN49" s="81" t="s">
        <v>506</v>
      </c>
      <c r="CO49" s="81" t="s">
        <v>423</v>
      </c>
      <c r="CP49" s="204">
        <v>0.14299999999999999</v>
      </c>
      <c r="CQ49" s="204">
        <v>7.2499999999999995E-4</v>
      </c>
      <c r="CR49" s="81">
        <v>197.29</v>
      </c>
      <c r="CS49" s="81" t="s">
        <v>509</v>
      </c>
      <c r="CT49" s="204">
        <v>2E-16</v>
      </c>
      <c r="CU49" s="81" t="s">
        <v>510</v>
      </c>
      <c r="CV49" s="212" t="s">
        <v>506</v>
      </c>
      <c r="CW49" s="81" t="s">
        <v>407</v>
      </c>
      <c r="CX49" s="204">
        <v>53</v>
      </c>
      <c r="CY49" s="204">
        <v>2.9300000000000002E-4</v>
      </c>
      <c r="CZ49" s="81">
        <v>180769</v>
      </c>
      <c r="DA49" s="81" t="s">
        <v>505</v>
      </c>
      <c r="DB49" s="81" t="s">
        <v>510</v>
      </c>
      <c r="DJ49" s="204"/>
      <c r="DL49" s="81" t="s">
        <v>431</v>
      </c>
      <c r="DM49" s="289">
        <f t="shared" si="0"/>
        <v>374.43594009983366</v>
      </c>
      <c r="DN49" s="289">
        <f t="shared" si="1"/>
        <v>594</v>
      </c>
      <c r="DO49" s="289">
        <f>BZ50</f>
        <v>371</v>
      </c>
      <c r="DQ49" s="290" t="s">
        <v>506</v>
      </c>
      <c r="DR49" s="290" t="s">
        <v>285</v>
      </c>
      <c r="DS49" s="291">
        <v>259</v>
      </c>
      <c r="DT49" s="291">
        <v>0.76500000000000001</v>
      </c>
      <c r="DU49" s="290">
        <v>338.69</v>
      </c>
      <c r="DV49" s="290" t="s">
        <v>509</v>
      </c>
      <c r="DW49" s="291">
        <v>2E-16</v>
      </c>
      <c r="DX49" s="81" t="s">
        <v>510</v>
      </c>
      <c r="DY49" s="212" t="s">
        <v>568</v>
      </c>
      <c r="DZ49" s="297" t="s">
        <v>595</v>
      </c>
      <c r="EA49" s="292" t="s">
        <v>434</v>
      </c>
      <c r="EB49" s="293">
        <f t="shared" si="25"/>
        <v>0.505</v>
      </c>
      <c r="EC49" s="212" t="s">
        <v>392</v>
      </c>
      <c r="EE49" s="160" t="s">
        <v>568</v>
      </c>
      <c r="EF49" s="327" t="s">
        <v>595</v>
      </c>
      <c r="EG49" s="322" t="s">
        <v>434</v>
      </c>
      <c r="EH49" s="160">
        <f>$O$10*$Z$37*$AP$27</f>
        <v>0.88346657618681945</v>
      </c>
      <c r="EI49" s="160" t="s">
        <v>392</v>
      </c>
    </row>
    <row r="50" spans="2:139" ht="15" customHeight="1" thickTop="1" thickBot="1" x14ac:dyDescent="0.3">
      <c r="L50" s="81"/>
      <c r="M50" s="81"/>
      <c r="N50" s="81"/>
      <c r="Q50" s="81"/>
      <c r="R50" s="81"/>
      <c r="X50" s="283"/>
      <c r="Y50" s="284" t="s">
        <v>16</v>
      </c>
      <c r="Z50" s="284">
        <v>3.5</v>
      </c>
      <c r="AA50" s="284" t="s">
        <v>5</v>
      </c>
      <c r="AB50" s="284"/>
      <c r="AC50" s="284" t="s">
        <v>303</v>
      </c>
      <c r="AD50" s="284">
        <f>(1/AA49-1/8-1/23)*0.11</f>
        <v>1.2895962732919253E-2</v>
      </c>
      <c r="AE50" s="285"/>
      <c r="AF50" s="14"/>
      <c r="AG50" s="14"/>
      <c r="AH50" s="14"/>
      <c r="AM50" s="154" t="s">
        <v>389</v>
      </c>
      <c r="AN50" s="81" t="s">
        <v>390</v>
      </c>
      <c r="AO50" s="81" t="s">
        <v>431</v>
      </c>
      <c r="AP50" s="81">
        <f>AP48</f>
        <v>374.43594009983366</v>
      </c>
      <c r="AQ50" s="81" t="s">
        <v>392</v>
      </c>
      <c r="AR50" s="204">
        <v>594</v>
      </c>
      <c r="AV50" s="205" t="s">
        <v>389</v>
      </c>
      <c r="AW50" s="205" t="s">
        <v>390</v>
      </c>
      <c r="AX50" s="205" t="s">
        <v>431</v>
      </c>
      <c r="AY50" s="207" t="s">
        <v>434</v>
      </c>
      <c r="AZ50" s="206">
        <f t="shared" si="3"/>
        <v>371</v>
      </c>
      <c r="BA50" s="205" t="s">
        <v>392</v>
      </c>
      <c r="BQ50" s="154" t="s">
        <v>389</v>
      </c>
      <c r="BR50" s="81" t="s">
        <v>390</v>
      </c>
      <c r="BS50" s="81" t="s">
        <v>431</v>
      </c>
      <c r="BT50" s="204">
        <f t="shared" si="20"/>
        <v>594</v>
      </c>
      <c r="BU50" s="81" t="s">
        <v>392</v>
      </c>
      <c r="BV50" s="204">
        <v>594</v>
      </c>
      <c r="BZ50" s="211">
        <f>CP62</f>
        <v>371</v>
      </c>
      <c r="CA50" s="211"/>
      <c r="CN50" s="81" t="s">
        <v>506</v>
      </c>
      <c r="CO50" s="81" t="s">
        <v>424</v>
      </c>
      <c r="CP50" s="204">
        <v>0.72299999999999998</v>
      </c>
      <c r="CQ50" s="204">
        <v>2.46E-2</v>
      </c>
      <c r="CR50" s="81">
        <v>29.4</v>
      </c>
      <c r="CS50" s="81" t="s">
        <v>509</v>
      </c>
      <c r="CT50" s="204">
        <v>2E-16</v>
      </c>
      <c r="CU50" s="81" t="s">
        <v>510</v>
      </c>
      <c r="CV50" s="212" t="s">
        <v>506</v>
      </c>
      <c r="CW50" s="81" t="s">
        <v>421</v>
      </c>
      <c r="CX50" s="204">
        <v>36.9</v>
      </c>
      <c r="CY50" s="204">
        <v>5.6099999999999998E-4</v>
      </c>
      <c r="CZ50" s="81">
        <v>65843</v>
      </c>
      <c r="DA50" s="81" t="s">
        <v>505</v>
      </c>
      <c r="DB50" s="81" t="s">
        <v>510</v>
      </c>
      <c r="DJ50" s="204"/>
      <c r="DQ50" s="290" t="s">
        <v>506</v>
      </c>
      <c r="DR50" s="290" t="s">
        <v>120</v>
      </c>
      <c r="DS50" s="291">
        <v>122</v>
      </c>
      <c r="DT50" s="291">
        <v>0.34</v>
      </c>
      <c r="DU50" s="290">
        <v>360.21</v>
      </c>
      <c r="DV50" s="290" t="s">
        <v>509</v>
      </c>
      <c r="DW50" s="291">
        <v>2E-16</v>
      </c>
      <c r="DX50" s="81" t="s">
        <v>510</v>
      </c>
      <c r="DY50" s="212" t="s">
        <v>568</v>
      </c>
      <c r="DZ50" s="297" t="s">
        <v>596</v>
      </c>
      <c r="EA50" s="292" t="s">
        <v>434</v>
      </c>
      <c r="EB50" s="293">
        <f t="shared" si="25"/>
        <v>1.02</v>
      </c>
      <c r="EC50" s="212" t="s">
        <v>392</v>
      </c>
      <c r="EE50" s="160" t="s">
        <v>568</v>
      </c>
      <c r="EF50" s="327" t="s">
        <v>596</v>
      </c>
      <c r="EG50" s="322" t="s">
        <v>434</v>
      </c>
      <c r="EH50" s="160">
        <f>$O$12*$Z$37*$AP$27</f>
        <v>0.98162952909646606</v>
      </c>
      <c r="EI50" s="160" t="s">
        <v>392</v>
      </c>
    </row>
    <row r="51" spans="2:139" ht="15" customHeight="1" thickTop="1" thickBot="1" x14ac:dyDescent="0.3">
      <c r="L51" s="81"/>
      <c r="M51" s="81"/>
      <c r="N51" s="81"/>
      <c r="Q51" s="81"/>
      <c r="R51" s="81"/>
      <c r="X51" s="258"/>
      <c r="Y51" s="258"/>
      <c r="Z51" s="259"/>
      <c r="AA51" s="259"/>
      <c r="AB51" s="259"/>
      <c r="AC51" s="258"/>
      <c r="AD51" s="258"/>
      <c r="AE51" s="258"/>
      <c r="AF51" s="14"/>
      <c r="AG51" s="14"/>
      <c r="AH51" s="14"/>
      <c r="CN51" s="81" t="s">
        <v>506</v>
      </c>
      <c r="CO51" s="81" t="s">
        <v>515</v>
      </c>
      <c r="CP51" s="204">
        <v>120000000</v>
      </c>
      <c r="CQ51" s="204">
        <v>15700000</v>
      </c>
      <c r="CR51" s="81">
        <v>7.65</v>
      </c>
      <c r="CS51" s="204">
        <v>2.8000000000000001E-14</v>
      </c>
      <c r="CT51" s="81" t="s">
        <v>510</v>
      </c>
      <c r="CV51" s="212" t="s">
        <v>506</v>
      </c>
      <c r="CW51" s="81" t="s">
        <v>488</v>
      </c>
      <c r="CX51" s="204">
        <v>-10</v>
      </c>
      <c r="CY51" s="204">
        <v>1.5799999999999999E-4</v>
      </c>
      <c r="CZ51" s="81">
        <v>-63411</v>
      </c>
      <c r="DA51" s="81" t="s">
        <v>505</v>
      </c>
      <c r="DB51" s="81" t="s">
        <v>510</v>
      </c>
      <c r="DJ51" s="204"/>
      <c r="DQ51" s="290" t="s">
        <v>506</v>
      </c>
      <c r="DR51" s="290" t="s">
        <v>488</v>
      </c>
      <c r="DS51" s="291">
        <v>-6.18</v>
      </c>
      <c r="DT51" s="291">
        <v>1.8599999999999998E-2</v>
      </c>
      <c r="DU51" s="290">
        <v>-331.78</v>
      </c>
      <c r="DV51" s="290" t="s">
        <v>509</v>
      </c>
      <c r="DW51" s="291">
        <v>2E-16</v>
      </c>
      <c r="DX51" s="81" t="s">
        <v>510</v>
      </c>
      <c r="DY51" s="212" t="s">
        <v>568</v>
      </c>
      <c r="DZ51" s="297" t="s">
        <v>597</v>
      </c>
      <c r="EA51" s="292" t="s">
        <v>434</v>
      </c>
      <c r="EB51" s="293">
        <f t="shared" si="25"/>
        <v>0.747</v>
      </c>
      <c r="EC51" s="212" t="s">
        <v>392</v>
      </c>
      <c r="EE51" s="160" t="s">
        <v>568</v>
      </c>
      <c r="EF51" s="327" t="s">
        <v>597</v>
      </c>
      <c r="EG51" s="322" t="s">
        <v>434</v>
      </c>
      <c r="EH51" s="160">
        <f>$O$13*$Z$37*$AP$27</f>
        <v>1.1016064715415899</v>
      </c>
      <c r="EI51" s="160" t="s">
        <v>392</v>
      </c>
    </row>
    <row r="52" spans="2:139" thickTop="1" thickBot="1" x14ac:dyDescent="0.3">
      <c r="X52" s="303" t="s">
        <v>610</v>
      </c>
      <c r="Y52" s="304"/>
      <c r="Z52" s="305" t="s">
        <v>21</v>
      </c>
      <c r="AA52" s="306">
        <f>(1/(1/4+SUM(AD54:AD56)+1/4))</f>
        <v>1.2616822429906542</v>
      </c>
      <c r="AB52" s="304" t="s">
        <v>5</v>
      </c>
      <c r="AC52" s="304"/>
      <c r="AD52" s="304" t="s">
        <v>22</v>
      </c>
      <c r="AE52" s="307">
        <f>SUM(AE54:AE58)</f>
        <v>181020.00000000003</v>
      </c>
      <c r="CN52" s="81" t="s">
        <v>506</v>
      </c>
      <c r="CO52" s="81" t="s">
        <v>426</v>
      </c>
      <c r="CP52" s="204">
        <v>630000</v>
      </c>
      <c r="CQ52" s="204">
        <v>33500</v>
      </c>
      <c r="CR52" s="81">
        <v>18.79</v>
      </c>
      <c r="CS52" s="81" t="s">
        <v>509</v>
      </c>
      <c r="CT52" s="204">
        <v>2E-16</v>
      </c>
      <c r="CU52" s="81" t="s">
        <v>510</v>
      </c>
      <c r="CV52" s="212" t="s">
        <v>506</v>
      </c>
      <c r="CW52" s="81" t="s">
        <v>489</v>
      </c>
      <c r="CX52" s="204">
        <v>-10</v>
      </c>
      <c r="CY52" s="204">
        <v>1.5799999999999999E-4</v>
      </c>
      <c r="CZ52" s="81">
        <v>-63411</v>
      </c>
      <c r="DA52" s="81" t="s">
        <v>505</v>
      </c>
      <c r="DB52" s="81" t="s">
        <v>510</v>
      </c>
      <c r="DF52" s="81" t="s">
        <v>389</v>
      </c>
      <c r="DG52" s="81" t="s">
        <v>390</v>
      </c>
      <c r="DH52" s="81" t="str">
        <f t="shared" si="13"/>
        <v>UfDN</v>
      </c>
      <c r="DI52" s="81" t="s">
        <v>434</v>
      </c>
      <c r="DJ52" s="204">
        <f t="shared" si="14"/>
        <v>532</v>
      </c>
      <c r="DK52" s="81" t="s">
        <v>392</v>
      </c>
      <c r="DQ52" s="290" t="s">
        <v>506</v>
      </c>
      <c r="DR52" s="290" t="s">
        <v>489</v>
      </c>
      <c r="DS52" s="291">
        <v>-6.79</v>
      </c>
      <c r="DT52" s="291">
        <v>1.6299999999999999E-2</v>
      </c>
      <c r="DU52" s="290">
        <v>-416.49</v>
      </c>
      <c r="DV52" s="290" t="s">
        <v>509</v>
      </c>
      <c r="DW52" s="291">
        <v>2E-16</v>
      </c>
      <c r="DX52" s="81" t="s">
        <v>510</v>
      </c>
      <c r="DY52" s="212" t="s">
        <v>568</v>
      </c>
      <c r="DZ52" s="297" t="s">
        <v>598</v>
      </c>
      <c r="EA52" s="292" t="s">
        <v>434</v>
      </c>
      <c r="EB52" s="293">
        <f t="shared" si="25"/>
        <v>0.17799999999999999</v>
      </c>
      <c r="EC52" s="212" t="s">
        <v>392</v>
      </c>
      <c r="EE52" s="160" t="s">
        <v>568</v>
      </c>
      <c r="EF52" s="327" t="s">
        <v>598</v>
      </c>
      <c r="EG52" s="322" t="s">
        <v>434</v>
      </c>
      <c r="EH52" s="160">
        <f>$O$11*$Z$37*$AP$28</f>
        <v>5.0745503496690055E-2</v>
      </c>
      <c r="EI52" s="160" t="s">
        <v>392</v>
      </c>
    </row>
    <row r="53" spans="2:139" thickTop="1" thickBot="1" x14ac:dyDescent="0.3">
      <c r="X53" s="308"/>
      <c r="Y53" s="266" t="s">
        <v>27</v>
      </c>
      <c r="Z53" s="266" t="s">
        <v>28</v>
      </c>
      <c r="AA53" s="266" t="s">
        <v>29</v>
      </c>
      <c r="AB53" s="266" t="s">
        <v>30</v>
      </c>
      <c r="AC53" s="266" t="s">
        <v>31</v>
      </c>
      <c r="AD53" s="266" t="s">
        <v>32</v>
      </c>
      <c r="AE53" s="309" t="s">
        <v>33</v>
      </c>
      <c r="CN53" s="81">
        <v>17</v>
      </c>
      <c r="CV53" s="212" t="s">
        <v>506</v>
      </c>
      <c r="CW53" s="81" t="s">
        <v>490</v>
      </c>
      <c r="CX53" s="204">
        <v>-10</v>
      </c>
      <c r="CY53" s="204">
        <v>1.5799999999999999E-4</v>
      </c>
      <c r="CZ53" s="81">
        <v>-63411</v>
      </c>
      <c r="DA53" s="81" t="s">
        <v>505</v>
      </c>
      <c r="DB53" s="81" t="s">
        <v>510</v>
      </c>
      <c r="DF53" s="81" t="s">
        <v>389</v>
      </c>
      <c r="DG53" s="81" t="s">
        <v>390</v>
      </c>
      <c r="DH53" s="81" t="str">
        <f t="shared" si="13"/>
        <v>Ufi</v>
      </c>
      <c r="DI53" s="81" t="s">
        <v>434</v>
      </c>
      <c r="DJ53" s="204">
        <f t="shared" si="14"/>
        <v>1</v>
      </c>
      <c r="DK53" s="81" t="s">
        <v>392</v>
      </c>
      <c r="DQ53" s="290" t="s">
        <v>506</v>
      </c>
      <c r="DR53" s="290" t="s">
        <v>490</v>
      </c>
      <c r="DS53" s="291">
        <v>-7.38</v>
      </c>
      <c r="DT53" s="291">
        <v>2.4799999999999999E-2</v>
      </c>
      <c r="DU53" s="290">
        <v>-297.20999999999998</v>
      </c>
      <c r="DV53" s="290" t="s">
        <v>509</v>
      </c>
      <c r="DW53" s="291">
        <v>2E-16</v>
      </c>
      <c r="DX53" s="81" t="s">
        <v>510</v>
      </c>
      <c r="DY53" s="212" t="s">
        <v>568</v>
      </c>
      <c r="DZ53" s="297" t="s">
        <v>599</v>
      </c>
      <c r="EA53" s="292" t="s">
        <v>434</v>
      </c>
      <c r="EB53" s="293">
        <f t="shared" si="25"/>
        <v>1.2399999999999999E-16</v>
      </c>
      <c r="EC53" s="212" t="s">
        <v>392</v>
      </c>
      <c r="EE53" s="160" t="s">
        <v>568</v>
      </c>
      <c r="EF53" s="327" t="s">
        <v>599</v>
      </c>
      <c r="EG53" s="322" t="s">
        <v>434</v>
      </c>
      <c r="EH53" s="160">
        <f>$O$10*$Z$37*$AP$28</f>
        <v>5.9570808452636147E-2</v>
      </c>
      <c r="EI53" s="160" t="s">
        <v>392</v>
      </c>
    </row>
    <row r="54" spans="2:139" thickTop="1" thickBot="1" x14ac:dyDescent="0.3">
      <c r="X54" s="310"/>
      <c r="Y54" s="221" t="s">
        <v>90</v>
      </c>
      <c r="Z54" s="221">
        <v>0.02</v>
      </c>
      <c r="AA54" s="221">
        <v>0.6</v>
      </c>
      <c r="AB54" s="221">
        <v>975</v>
      </c>
      <c r="AC54" s="221">
        <v>840</v>
      </c>
      <c r="AD54" s="268">
        <f>Z54/AA54</f>
        <v>3.3333333333333333E-2</v>
      </c>
      <c r="AE54" s="311">
        <f>Z54*AB54*AC54</f>
        <v>16380</v>
      </c>
      <c r="AO54" s="160" t="s">
        <v>432</v>
      </c>
      <c r="AP54" s="160">
        <f>SUM(AP42,AP4:AP7)</f>
        <v>1</v>
      </c>
      <c r="AQ54" s="160"/>
      <c r="BS54" s="160" t="s">
        <v>432</v>
      </c>
      <c r="BT54" s="160">
        <f>SUM(BT42,BT4:BT7)</f>
        <v>0.99119290000000004</v>
      </c>
      <c r="BU54" s="160"/>
      <c r="CN54" s="81" t="s">
        <v>506</v>
      </c>
      <c r="CO54" s="81" t="s">
        <v>480</v>
      </c>
      <c r="CP54" s="204">
        <v>-3.69</v>
      </c>
      <c r="CQ54" s="204">
        <v>1.17</v>
      </c>
      <c r="CR54" s="81">
        <v>-3.14</v>
      </c>
      <c r="CS54" s="81">
        <v>1.6999999999999999E-3</v>
      </c>
      <c r="CT54" s="81" t="s">
        <v>516</v>
      </c>
      <c r="CV54" s="212" t="s">
        <v>506</v>
      </c>
      <c r="CW54" s="81" t="s">
        <v>491</v>
      </c>
      <c r="CX54" s="204">
        <v>-10</v>
      </c>
      <c r="CY54" s="204">
        <v>1.5799999999999999E-4</v>
      </c>
      <c r="CZ54" s="81">
        <v>-63411</v>
      </c>
      <c r="DA54" s="81" t="s">
        <v>505</v>
      </c>
      <c r="DB54" s="81" t="s">
        <v>510</v>
      </c>
      <c r="DF54" s="81" t="s">
        <v>389</v>
      </c>
      <c r="DG54" s="81" t="s">
        <v>390</v>
      </c>
      <c r="DH54" s="81" t="str">
        <f t="shared" si="13"/>
        <v>UfND</v>
      </c>
      <c r="DI54" s="81" t="s">
        <v>434</v>
      </c>
      <c r="DJ54" s="204">
        <f t="shared" si="14"/>
        <v>351</v>
      </c>
      <c r="DK54" s="81" t="s">
        <v>392</v>
      </c>
      <c r="DQ54" s="290" t="s">
        <v>506</v>
      </c>
      <c r="DR54" s="290" t="s">
        <v>491</v>
      </c>
      <c r="DS54" s="291">
        <v>-6.44</v>
      </c>
      <c r="DT54" s="291">
        <v>1.5699999999999999E-2</v>
      </c>
      <c r="DU54" s="290">
        <v>-411.5</v>
      </c>
      <c r="DV54" s="290" t="s">
        <v>509</v>
      </c>
      <c r="DW54" s="291">
        <v>2E-16</v>
      </c>
      <c r="DX54" s="81" t="s">
        <v>510</v>
      </c>
      <c r="DY54" s="212" t="s">
        <v>568</v>
      </c>
      <c r="DZ54" s="297" t="s">
        <v>600</v>
      </c>
      <c r="EA54" s="292" t="s">
        <v>434</v>
      </c>
      <c r="EB54" s="293">
        <f t="shared" si="25"/>
        <v>2.0199999999999999E-2</v>
      </c>
      <c r="EC54" s="212" t="s">
        <v>392</v>
      </c>
      <c r="EE54" s="160" t="s">
        <v>568</v>
      </c>
      <c r="EF54" s="327" t="s">
        <v>600</v>
      </c>
      <c r="EG54" s="322" t="s">
        <v>434</v>
      </c>
      <c r="EH54" s="160">
        <f>$O$12*$Z$37*$AP$28</f>
        <v>6.6189787169595726E-2</v>
      </c>
      <c r="EI54" s="160" t="s">
        <v>392</v>
      </c>
    </row>
    <row r="55" spans="2:139" thickTop="1" thickBot="1" x14ac:dyDescent="0.3">
      <c r="X55" s="310"/>
      <c r="Y55" s="231" t="s">
        <v>611</v>
      </c>
      <c r="Z55" s="221">
        <v>0.14000000000000001</v>
      </c>
      <c r="AA55" s="221">
        <v>0.54</v>
      </c>
      <c r="AB55" s="221">
        <v>1400</v>
      </c>
      <c r="AC55" s="231">
        <v>840</v>
      </c>
      <c r="AD55" s="268">
        <f>Z55/AA55</f>
        <v>0.25925925925925924</v>
      </c>
      <c r="AE55" s="222">
        <f>Z55*AB55*AC55</f>
        <v>164640.00000000003</v>
      </c>
      <c r="AO55" s="160" t="s">
        <v>432</v>
      </c>
      <c r="AP55" s="160">
        <f>SUM(AP43,AP26:AP28)</f>
        <v>1</v>
      </c>
      <c r="AQ55" s="160"/>
      <c r="BS55" s="160" t="s">
        <v>432</v>
      </c>
      <c r="BT55" s="160">
        <f>SUM(BT43,BT26:BT28)</f>
        <v>1.006</v>
      </c>
      <c r="BU55" s="160"/>
      <c r="CN55" s="81" t="s">
        <v>506</v>
      </c>
      <c r="CO55" s="81" t="s">
        <v>517</v>
      </c>
      <c r="CP55" s="204">
        <v>-0.99099999999999999</v>
      </c>
      <c r="CQ55" s="204">
        <v>0.94399999999999995</v>
      </c>
      <c r="CR55" s="81">
        <v>-1.05</v>
      </c>
      <c r="CS55" s="81">
        <v>0.29389999999999999</v>
      </c>
      <c r="CV55" s="212" t="s">
        <v>506</v>
      </c>
      <c r="CW55" s="81" t="s">
        <v>492</v>
      </c>
      <c r="CX55" s="204">
        <v>-10</v>
      </c>
      <c r="CY55" s="204">
        <v>1.5799999999999999E-4</v>
      </c>
      <c r="CZ55" s="81">
        <v>-63411</v>
      </c>
      <c r="DA55" s="81" t="s">
        <v>505</v>
      </c>
      <c r="DB55" s="81" t="s">
        <v>510</v>
      </c>
      <c r="DF55" s="81" t="s">
        <v>389</v>
      </c>
      <c r="DG55" s="81" t="s">
        <v>390</v>
      </c>
      <c r="DH55" s="81" t="str">
        <f t="shared" si="13"/>
        <v>UwD</v>
      </c>
      <c r="DI55" s="81" t="s">
        <v>434</v>
      </c>
      <c r="DJ55" s="204">
        <f t="shared" si="14"/>
        <v>61.2</v>
      </c>
      <c r="DK55" s="81" t="s">
        <v>392</v>
      </c>
      <c r="DQ55" s="290" t="s">
        <v>506</v>
      </c>
      <c r="DR55" s="290" t="s">
        <v>492</v>
      </c>
      <c r="DS55" s="291">
        <v>-7.12</v>
      </c>
      <c r="DT55" s="291">
        <v>2.0500000000000001E-2</v>
      </c>
      <c r="DU55" s="290">
        <v>-347.95</v>
      </c>
      <c r="DV55" s="290" t="s">
        <v>509</v>
      </c>
      <c r="DW55" s="291">
        <v>2E-16</v>
      </c>
      <c r="DX55" s="81" t="s">
        <v>510</v>
      </c>
      <c r="DY55" s="212" t="s">
        <v>568</v>
      </c>
      <c r="DZ55" s="297" t="s">
        <v>601</v>
      </c>
      <c r="EA55" s="292" t="s">
        <v>434</v>
      </c>
      <c r="EB55" s="293">
        <f t="shared" si="25"/>
        <v>0.35299999999999998</v>
      </c>
      <c r="EC55" s="212" t="s">
        <v>392</v>
      </c>
      <c r="EE55" s="160" t="s">
        <v>568</v>
      </c>
      <c r="EF55" s="327" t="s">
        <v>601</v>
      </c>
      <c r="EG55" s="322" t="s">
        <v>434</v>
      </c>
      <c r="EH55" s="160">
        <f>$O$13*$Z$37*$AP$28</f>
        <v>7.427965004587965E-2</v>
      </c>
      <c r="EI55" s="160" t="s">
        <v>392</v>
      </c>
    </row>
    <row r="56" spans="2:139" thickTop="1" thickBot="1" x14ac:dyDescent="0.3">
      <c r="X56" s="312"/>
      <c r="Y56" s="313" t="s">
        <v>269</v>
      </c>
      <c r="Z56" s="314">
        <v>0</v>
      </c>
      <c r="AA56" s="314">
        <v>3.5999999999999997E-2</v>
      </c>
      <c r="AB56" s="314">
        <v>26</v>
      </c>
      <c r="AC56" s="314">
        <v>1470</v>
      </c>
      <c r="AD56" s="315">
        <f>Z56/AA56</f>
        <v>0</v>
      </c>
      <c r="AE56" s="316">
        <f>Z56*AB56*AC56</f>
        <v>0</v>
      </c>
      <c r="AO56" s="160" t="s">
        <v>433</v>
      </c>
      <c r="AP56" s="160">
        <f>SUM(AP46,AP14:AP17)</f>
        <v>0.99999999999999989</v>
      </c>
      <c r="AQ56" s="160"/>
      <c r="BS56" s="160" t="s">
        <v>433</v>
      </c>
      <c r="BT56" s="160">
        <f>SUM(BT46,BT14:BT17)</f>
        <v>0.98349999999999993</v>
      </c>
      <c r="BU56" s="160"/>
      <c r="CN56" s="81" t="s">
        <v>506</v>
      </c>
      <c r="CO56" s="81" t="s">
        <v>518</v>
      </c>
      <c r="CP56" s="204">
        <v>5.6500000000000002E-2</v>
      </c>
      <c r="CQ56" s="204">
        <v>4.6299999999999998E-4</v>
      </c>
      <c r="CR56" s="81">
        <v>122.19</v>
      </c>
      <c r="CS56" s="81" t="s">
        <v>509</v>
      </c>
      <c r="CT56" s="204">
        <v>2E-16</v>
      </c>
      <c r="CU56" s="81" t="s">
        <v>510</v>
      </c>
      <c r="CV56" s="212" t="s">
        <v>506</v>
      </c>
      <c r="CW56" s="81" t="s">
        <v>530</v>
      </c>
      <c r="CX56" s="204">
        <v>-10</v>
      </c>
      <c r="CY56" s="204">
        <v>1.5799999999999999E-4</v>
      </c>
      <c r="CZ56" s="81">
        <v>-63411</v>
      </c>
      <c r="DA56" s="81" t="s">
        <v>505</v>
      </c>
      <c r="DB56" s="81" t="s">
        <v>510</v>
      </c>
      <c r="DF56" s="81" t="s">
        <v>389</v>
      </c>
      <c r="DG56" s="81" t="s">
        <v>390</v>
      </c>
      <c r="DH56" s="81" t="str">
        <f t="shared" si="13"/>
        <v>UwN</v>
      </c>
      <c r="DI56" s="81" t="s">
        <v>434</v>
      </c>
      <c r="DJ56" s="204">
        <f t="shared" si="14"/>
        <v>50</v>
      </c>
      <c r="DK56" s="81" t="s">
        <v>392</v>
      </c>
      <c r="DQ56" s="290" t="s">
        <v>506</v>
      </c>
      <c r="DR56" s="290" t="s">
        <v>493</v>
      </c>
      <c r="DS56" s="291">
        <v>2.1600000000000001E-2</v>
      </c>
      <c r="DT56" s="291">
        <v>1.8100000000000001E-4</v>
      </c>
      <c r="DU56" s="290">
        <v>119.08</v>
      </c>
      <c r="DV56" s="290" t="s">
        <v>509</v>
      </c>
      <c r="DW56" s="291">
        <v>2E-16</v>
      </c>
      <c r="DX56" s="81" t="s">
        <v>510</v>
      </c>
      <c r="DY56" s="212" t="s">
        <v>568</v>
      </c>
      <c r="DZ56" s="297" t="s">
        <v>602</v>
      </c>
      <c r="EA56" s="292" t="s">
        <v>434</v>
      </c>
      <c r="EB56" s="293">
        <f t="shared" si="25"/>
        <v>0.46500000000000002</v>
      </c>
      <c r="EC56" s="212" t="s">
        <v>392</v>
      </c>
      <c r="EE56" s="160" t="s">
        <v>568</v>
      </c>
      <c r="EF56" s="327" t="s">
        <v>602</v>
      </c>
      <c r="EG56" s="322" t="s">
        <v>434</v>
      </c>
      <c r="EH56" s="160">
        <f>$O$11*$Z$37*$AP$43</f>
        <v>0.26578143473632976</v>
      </c>
      <c r="EI56" s="160" t="s">
        <v>392</v>
      </c>
    </row>
    <row r="57" spans="2:139" thickTop="1" thickBot="1" x14ac:dyDescent="0.3">
      <c r="AO57" s="160" t="s">
        <v>433</v>
      </c>
      <c r="AP57" s="160">
        <f>SUM(AP47,AP33:AP35)</f>
        <v>0.99999999999999989</v>
      </c>
      <c r="AQ57" s="160"/>
      <c r="BS57" s="160" t="s">
        <v>433</v>
      </c>
      <c r="BT57" s="160">
        <f>SUM(BT47,BT33:BT35)</f>
        <v>0.98880000000000012</v>
      </c>
      <c r="BU57" s="160"/>
      <c r="CN57" s="81" t="s">
        <v>506</v>
      </c>
      <c r="CO57" s="81" t="s">
        <v>519</v>
      </c>
      <c r="CP57" s="204">
        <v>1.15E-3</v>
      </c>
      <c r="CQ57" s="204">
        <v>8.8200000000000003E-5</v>
      </c>
      <c r="CR57" s="81">
        <v>13.04</v>
      </c>
      <c r="CS57" s="81" t="s">
        <v>509</v>
      </c>
      <c r="CT57" s="204">
        <v>2E-16</v>
      </c>
      <c r="CU57" s="81" t="s">
        <v>510</v>
      </c>
      <c r="CV57" s="212" t="s">
        <v>506</v>
      </c>
      <c r="CW57" s="81" t="s">
        <v>531</v>
      </c>
      <c r="CX57" s="204">
        <v>-10</v>
      </c>
      <c r="CY57" s="204">
        <v>1.5799999999999999E-4</v>
      </c>
      <c r="CZ57" s="81">
        <v>-63411</v>
      </c>
      <c r="DA57" s="81" t="s">
        <v>505</v>
      </c>
      <c r="DB57" s="81" t="s">
        <v>510</v>
      </c>
      <c r="DJ57" s="204"/>
      <c r="DQ57" s="290" t="s">
        <v>506</v>
      </c>
      <c r="DR57" s="290" t="s">
        <v>494</v>
      </c>
      <c r="DS57" s="291">
        <v>86.7</v>
      </c>
      <c r="DT57" s="291">
        <v>0.36199999999999999</v>
      </c>
      <c r="DU57" s="290">
        <v>239.67</v>
      </c>
      <c r="DV57" s="290" t="s">
        <v>509</v>
      </c>
      <c r="DW57" s="291">
        <v>2E-16</v>
      </c>
      <c r="DX57" s="81" t="s">
        <v>510</v>
      </c>
      <c r="DY57" s="212" t="s">
        <v>568</v>
      </c>
      <c r="DZ57" s="297" t="s">
        <v>603</v>
      </c>
      <c r="EA57" s="292" t="s">
        <v>434</v>
      </c>
      <c r="EB57" s="293">
        <f t="shared" si="25"/>
        <v>0.63700000000000001</v>
      </c>
      <c r="EC57" s="212" t="s">
        <v>392</v>
      </c>
      <c r="EE57" s="160" t="s">
        <v>568</v>
      </c>
      <c r="EF57" s="327" t="s">
        <v>603</v>
      </c>
      <c r="EG57" s="322" t="s">
        <v>434</v>
      </c>
      <c r="EH57" s="160">
        <f>$O$10*$Z$37*$AP$43</f>
        <v>0.31200429295134363</v>
      </c>
      <c r="EI57" s="160" t="s">
        <v>392</v>
      </c>
    </row>
    <row r="58" spans="2:139" thickTop="1" thickBot="1" x14ac:dyDescent="0.3">
      <c r="CN58" s="81" t="s">
        <v>506</v>
      </c>
      <c r="CO58" s="81" t="s">
        <v>492</v>
      </c>
      <c r="CP58" s="204">
        <v>-2.19</v>
      </c>
      <c r="CQ58" s="204">
        <v>2.1600000000000001E-2</v>
      </c>
      <c r="CR58" s="81">
        <v>-101.52</v>
      </c>
      <c r="CS58" s="81" t="s">
        <v>509</v>
      </c>
      <c r="CT58" s="204">
        <v>2E-16</v>
      </c>
      <c r="CU58" s="81" t="s">
        <v>510</v>
      </c>
      <c r="CV58" s="212" t="s">
        <v>506</v>
      </c>
      <c r="CW58" s="81" t="s">
        <v>532</v>
      </c>
      <c r="CX58" s="204">
        <v>-10</v>
      </c>
      <c r="CY58" s="204">
        <v>1.5799999999999999E-4</v>
      </c>
      <c r="CZ58" s="81">
        <v>-63411</v>
      </c>
      <c r="DA58" s="81" t="s">
        <v>505</v>
      </c>
      <c r="DB58" s="81" t="s">
        <v>510</v>
      </c>
      <c r="DJ58" s="204"/>
      <c r="DQ58" s="290" t="s">
        <v>506</v>
      </c>
      <c r="DR58" s="290" t="s">
        <v>495</v>
      </c>
      <c r="DS58" s="291">
        <v>9980</v>
      </c>
      <c r="DT58" s="291">
        <v>226</v>
      </c>
      <c r="DU58" s="290">
        <v>44.15</v>
      </c>
      <c r="DV58" s="291" t="s">
        <v>509</v>
      </c>
      <c r="DW58" s="291">
        <v>2E-16</v>
      </c>
      <c r="DX58" s="81" t="s">
        <v>510</v>
      </c>
      <c r="DY58" s="212" t="s">
        <v>568</v>
      </c>
      <c r="DZ58" s="297" t="s">
        <v>604</v>
      </c>
      <c r="EA58" s="292" t="s">
        <v>434</v>
      </c>
      <c r="EB58" s="293">
        <f t="shared" si="25"/>
        <v>0.54500000000000004</v>
      </c>
      <c r="EC58" s="212" t="s">
        <v>392</v>
      </c>
      <c r="EE58" s="160" t="s">
        <v>568</v>
      </c>
      <c r="EF58" s="327" t="s">
        <v>604</v>
      </c>
      <c r="EG58" s="322" t="s">
        <v>434</v>
      </c>
      <c r="EH58" s="160">
        <f>$O$12*$Z$37*$AP$43</f>
        <v>0.34667143661260402</v>
      </c>
      <c r="EI58" s="160" t="s">
        <v>392</v>
      </c>
    </row>
    <row r="59" spans="2:139" thickTop="1" thickBot="1" x14ac:dyDescent="0.3">
      <c r="CN59" s="81" t="s">
        <v>506</v>
      </c>
      <c r="CO59" s="81" t="s">
        <v>520</v>
      </c>
      <c r="CP59" s="204">
        <v>-5.72</v>
      </c>
      <c r="CQ59" s="204">
        <v>2.24E-2</v>
      </c>
      <c r="CR59" s="81">
        <v>-255.17</v>
      </c>
      <c r="CS59" s="81" t="s">
        <v>509</v>
      </c>
      <c r="CT59" s="204">
        <v>2E-16</v>
      </c>
      <c r="CU59" s="81" t="s">
        <v>510</v>
      </c>
      <c r="CV59" s="212" t="s">
        <v>506</v>
      </c>
      <c r="CW59" s="81" t="s">
        <v>429</v>
      </c>
      <c r="CX59" s="204">
        <v>532</v>
      </c>
      <c r="CY59" s="204">
        <v>8.1700000000000002E-3</v>
      </c>
      <c r="CZ59" s="81">
        <v>65144</v>
      </c>
      <c r="DA59" s="81" t="s">
        <v>505</v>
      </c>
      <c r="DB59" s="81" t="s">
        <v>510</v>
      </c>
      <c r="DJ59" s="204"/>
      <c r="DQ59" s="290" t="s">
        <v>506</v>
      </c>
      <c r="DR59" s="290" t="s">
        <v>496</v>
      </c>
      <c r="DS59" s="291">
        <v>54.5</v>
      </c>
      <c r="DT59" s="291">
        <v>0.64800000000000002</v>
      </c>
      <c r="DU59" s="290">
        <v>84.05</v>
      </c>
      <c r="DV59" s="290" t="s">
        <v>509</v>
      </c>
      <c r="DW59" s="291">
        <v>2E-16</v>
      </c>
      <c r="DX59" s="81" t="s">
        <v>510</v>
      </c>
      <c r="DY59" s="212" t="s">
        <v>568</v>
      </c>
      <c r="DZ59" s="297" t="s">
        <v>605</v>
      </c>
      <c r="EA59" s="292" t="s">
        <v>434</v>
      </c>
      <c r="EB59" s="293">
        <f t="shared" si="25"/>
        <v>0.373</v>
      </c>
      <c r="EC59" s="212" t="s">
        <v>392</v>
      </c>
      <c r="EE59" s="160" t="s">
        <v>568</v>
      </c>
      <c r="EF59" s="327" t="s">
        <v>605</v>
      </c>
      <c r="EG59" s="322" t="s">
        <v>434</v>
      </c>
      <c r="EH59" s="160">
        <f>$O$13*$Z$37*$AP$43</f>
        <v>0.38904238997636681</v>
      </c>
      <c r="EI59" s="160" t="s">
        <v>392</v>
      </c>
    </row>
    <row r="60" spans="2:139" thickTop="1" thickBot="1" x14ac:dyDescent="0.3">
      <c r="CN60" s="81" t="s">
        <v>506</v>
      </c>
      <c r="CO60" s="81" t="s">
        <v>429</v>
      </c>
      <c r="CP60" s="204">
        <v>138</v>
      </c>
      <c r="CQ60" s="204">
        <v>1.2</v>
      </c>
      <c r="CR60" s="81">
        <v>115.34</v>
      </c>
      <c r="CS60" s="81" t="s">
        <v>509</v>
      </c>
      <c r="CT60" s="204">
        <v>2E-16</v>
      </c>
      <c r="CU60" s="81" t="s">
        <v>510</v>
      </c>
      <c r="CV60" s="212" t="s">
        <v>506</v>
      </c>
      <c r="CW60" s="81" t="s">
        <v>430</v>
      </c>
      <c r="CX60" s="204">
        <v>1</v>
      </c>
      <c r="CY60" s="204">
        <v>1.5800000000000001E-5</v>
      </c>
      <c r="CZ60" s="81">
        <v>63424</v>
      </c>
      <c r="DA60" s="81" t="s">
        <v>505</v>
      </c>
      <c r="DB60" s="81" t="s">
        <v>510</v>
      </c>
      <c r="DJ60" s="204"/>
      <c r="DZ60" s="297"/>
      <c r="EA60" s="292"/>
      <c r="EB60" s="293"/>
      <c r="EE60" s="160"/>
      <c r="EF60" s="327"/>
      <c r="EG60" s="322"/>
      <c r="EH60" s="160"/>
      <c r="EI60" s="160"/>
    </row>
    <row r="61" spans="2:139" thickTop="1" thickBot="1" x14ac:dyDescent="0.3">
      <c r="CN61" s="81" t="s">
        <v>506</v>
      </c>
      <c r="CO61" s="81" t="s">
        <v>430</v>
      </c>
      <c r="CP61" s="204">
        <v>7610</v>
      </c>
      <c r="CQ61" s="204">
        <v>117</v>
      </c>
      <c r="CR61" s="81">
        <v>64.83</v>
      </c>
      <c r="CS61" s="81" t="s">
        <v>509</v>
      </c>
      <c r="CT61" s="204">
        <v>2E-16</v>
      </c>
      <c r="CU61" s="81" t="s">
        <v>510</v>
      </c>
      <c r="CV61" s="212" t="s">
        <v>506</v>
      </c>
      <c r="CW61" s="81" t="s">
        <v>431</v>
      </c>
      <c r="CX61" s="204">
        <v>351</v>
      </c>
      <c r="CY61" s="204">
        <v>5.3400000000000001E-3</v>
      </c>
      <c r="CZ61" s="81">
        <v>65718</v>
      </c>
      <c r="DA61" s="81" t="s">
        <v>505</v>
      </c>
      <c r="DB61" s="81" t="s">
        <v>510</v>
      </c>
      <c r="DJ61" s="204"/>
      <c r="DY61" s="212" t="s">
        <v>568</v>
      </c>
      <c r="DZ61" s="297" t="s">
        <v>413</v>
      </c>
      <c r="EA61" s="292" t="s">
        <v>434</v>
      </c>
      <c r="EB61" s="293">
        <f>DS86</f>
        <v>2100000</v>
      </c>
      <c r="EC61" s="212" t="s">
        <v>392</v>
      </c>
      <c r="EE61" s="160" t="s">
        <v>568</v>
      </c>
      <c r="EF61" s="327" t="s">
        <v>413</v>
      </c>
      <c r="EG61" s="322" t="s">
        <v>434</v>
      </c>
      <c r="EH61" s="326">
        <f>$AP30</f>
        <v>1336649.5999999999</v>
      </c>
      <c r="EI61" s="160" t="s">
        <v>392</v>
      </c>
    </row>
    <row r="62" spans="2:139" thickTop="1" thickBot="1" x14ac:dyDescent="0.3">
      <c r="CN62" s="81" t="s">
        <v>506</v>
      </c>
      <c r="CO62" s="81" t="s">
        <v>431</v>
      </c>
      <c r="CP62" s="204">
        <v>371</v>
      </c>
      <c r="CQ62" s="204">
        <v>5.67</v>
      </c>
      <c r="CR62" s="81">
        <v>65.489999999999995</v>
      </c>
      <c r="CS62" s="81" t="s">
        <v>509</v>
      </c>
      <c r="CT62" s="204">
        <v>2E-16</v>
      </c>
      <c r="CU62" s="81" t="s">
        <v>510</v>
      </c>
      <c r="CV62" s="212" t="s">
        <v>506</v>
      </c>
      <c r="CW62" s="81" t="s">
        <v>408</v>
      </c>
      <c r="CX62" s="204">
        <v>61.2</v>
      </c>
      <c r="CY62" s="204">
        <v>2.7300000000000002E-4</v>
      </c>
      <c r="CZ62" s="81">
        <v>224462</v>
      </c>
      <c r="DA62" s="81" t="s">
        <v>505</v>
      </c>
      <c r="DB62" s="81" t="s">
        <v>510</v>
      </c>
      <c r="DJ62" s="204"/>
      <c r="DQ62" s="290" t="s">
        <v>506</v>
      </c>
      <c r="DR62" s="290" t="s">
        <v>497</v>
      </c>
      <c r="DS62" s="290" t="s">
        <v>558</v>
      </c>
      <c r="DY62" s="212" t="s">
        <v>568</v>
      </c>
      <c r="DZ62" s="297" t="s">
        <v>414</v>
      </c>
      <c r="EA62" s="292" t="s">
        <v>434</v>
      </c>
      <c r="EB62" s="293">
        <f t="shared" ref="EB62:EB63" si="26">DS87</f>
        <v>4730000</v>
      </c>
      <c r="EC62" s="212" t="s">
        <v>392</v>
      </c>
      <c r="EE62" s="160" t="s">
        <v>568</v>
      </c>
      <c r="EF62" s="327" t="s">
        <v>414</v>
      </c>
      <c r="EG62" s="322" t="s">
        <v>434</v>
      </c>
      <c r="EH62" s="326">
        <f>$AP31</f>
        <v>13637952.9</v>
      </c>
      <c r="EI62" s="160" t="s">
        <v>392</v>
      </c>
    </row>
    <row r="63" spans="2:139" thickTop="1" thickBot="1" x14ac:dyDescent="0.3">
      <c r="CV63" s="212" t="s">
        <v>506</v>
      </c>
      <c r="CW63" s="81" t="s">
        <v>422</v>
      </c>
      <c r="CX63" s="204">
        <v>50</v>
      </c>
      <c r="CY63" s="204">
        <v>2.2499999999999999E-4</v>
      </c>
      <c r="CZ63" s="81">
        <v>221939</v>
      </c>
      <c r="DA63" s="81" t="s">
        <v>505</v>
      </c>
      <c r="DB63" s="81" t="s">
        <v>510</v>
      </c>
      <c r="DQ63" s="290" t="s">
        <v>506</v>
      </c>
      <c r="DR63" s="290" t="s">
        <v>499</v>
      </c>
      <c r="DY63" s="212" t="s">
        <v>568</v>
      </c>
      <c r="DZ63" s="297" t="s">
        <v>415</v>
      </c>
      <c r="EA63" s="292" t="s">
        <v>434</v>
      </c>
      <c r="EB63" s="293">
        <f t="shared" si="26"/>
        <v>20800000</v>
      </c>
      <c r="EC63" s="212" t="s">
        <v>392</v>
      </c>
      <c r="EE63" s="160" t="s">
        <v>568</v>
      </c>
      <c r="EF63" s="327" t="s">
        <v>415</v>
      </c>
      <c r="EG63" s="322" t="s">
        <v>434</v>
      </c>
      <c r="EH63" s="326">
        <f>$AP32</f>
        <v>14895259.499999998</v>
      </c>
      <c r="EI63" s="160" t="s">
        <v>392</v>
      </c>
    </row>
    <row r="64" spans="2:139" thickTop="1" thickBot="1" x14ac:dyDescent="0.3">
      <c r="DQ64" s="290" t="s">
        <v>506</v>
      </c>
      <c r="DR64" s="290" t="s">
        <v>500</v>
      </c>
      <c r="DS64" s="290" t="s">
        <v>501</v>
      </c>
      <c r="DT64" s="290" t="s">
        <v>502</v>
      </c>
      <c r="DU64" s="290" t="s">
        <v>503</v>
      </c>
      <c r="DV64" s="290" t="s">
        <v>504</v>
      </c>
      <c r="DW64" s="290" t="s">
        <v>508</v>
      </c>
      <c r="EA64" s="292"/>
      <c r="EE64" s="160"/>
      <c r="EF64" s="160"/>
      <c r="EG64" s="322"/>
      <c r="EH64" s="160"/>
      <c r="EI64" s="160"/>
    </row>
    <row r="65" spans="121:139" thickTop="1" thickBot="1" x14ac:dyDescent="0.3">
      <c r="DQ65" s="290" t="s">
        <v>506</v>
      </c>
      <c r="DR65" s="290" t="s">
        <v>465</v>
      </c>
      <c r="DS65" s="291">
        <v>292</v>
      </c>
      <c r="DT65" s="291">
        <v>2.6599999999999999E-2</v>
      </c>
      <c r="DU65" s="290">
        <v>10947.06</v>
      </c>
      <c r="DV65" s="290" t="s">
        <v>509</v>
      </c>
      <c r="DW65" s="291">
        <v>2E-16</v>
      </c>
      <c r="DX65" s="81" t="s">
        <v>510</v>
      </c>
      <c r="DY65" s="212" t="s">
        <v>568</v>
      </c>
      <c r="DZ65" s="297" t="s">
        <v>416</v>
      </c>
      <c r="EA65" s="292" t="s">
        <v>434</v>
      </c>
      <c r="EB65" s="293">
        <f>DS93</f>
        <v>0.11899999999999999</v>
      </c>
      <c r="EC65" s="212" t="s">
        <v>392</v>
      </c>
      <c r="EE65" s="160" t="s">
        <v>568</v>
      </c>
      <c r="EF65" s="327" t="s">
        <v>416</v>
      </c>
      <c r="EG65" s="322" t="s">
        <v>434</v>
      </c>
      <c r="EH65" s="160">
        <f>$AP33</f>
        <v>0.10219989320869988</v>
      </c>
      <c r="EI65" s="160" t="s">
        <v>392</v>
      </c>
    </row>
    <row r="66" spans="121:139" thickTop="1" thickBot="1" x14ac:dyDescent="0.3">
      <c r="DQ66" s="290" t="s">
        <v>506</v>
      </c>
      <c r="DR66" s="290" t="s">
        <v>466</v>
      </c>
      <c r="DS66" s="291">
        <v>288</v>
      </c>
      <c r="DT66" s="291">
        <v>6.6900000000000001E-2</v>
      </c>
      <c r="DU66" s="290">
        <v>4308.83</v>
      </c>
      <c r="DV66" s="290" t="s">
        <v>509</v>
      </c>
      <c r="DW66" s="291">
        <v>2E-16</v>
      </c>
      <c r="DX66" s="81" t="s">
        <v>510</v>
      </c>
      <c r="DY66" s="212" t="s">
        <v>568</v>
      </c>
      <c r="DZ66" s="297" t="s">
        <v>417</v>
      </c>
      <c r="EA66" s="292" t="s">
        <v>434</v>
      </c>
      <c r="EB66" s="293">
        <f t="shared" ref="EB66:EB68" si="27">DS94</f>
        <v>0.12</v>
      </c>
      <c r="EC66" s="212" t="s">
        <v>392</v>
      </c>
      <c r="EE66" s="160" t="s">
        <v>568</v>
      </c>
      <c r="EF66" s="327" t="s">
        <v>417</v>
      </c>
      <c r="EG66" s="322" t="s">
        <v>434</v>
      </c>
      <c r="EH66" s="160">
        <f>$AP34</f>
        <v>0.13923823107751293</v>
      </c>
      <c r="EI66" s="160" t="s">
        <v>392</v>
      </c>
    </row>
    <row r="67" spans="121:139" thickTop="1" thickBot="1" x14ac:dyDescent="0.3">
      <c r="DQ67" s="290" t="s">
        <v>506</v>
      </c>
      <c r="DR67" s="290" t="s">
        <v>467</v>
      </c>
      <c r="DS67" s="291">
        <v>292</v>
      </c>
      <c r="DT67" s="291">
        <v>4.7E-2</v>
      </c>
      <c r="DU67" s="290">
        <v>6219.88</v>
      </c>
      <c r="DV67" s="290" t="s">
        <v>509</v>
      </c>
      <c r="DW67" s="291">
        <v>2E-16</v>
      </c>
      <c r="DX67" s="81" t="s">
        <v>510</v>
      </c>
      <c r="DY67" s="212" t="s">
        <v>568</v>
      </c>
      <c r="DZ67" s="297" t="s">
        <v>418</v>
      </c>
      <c r="EA67" s="292" t="s">
        <v>434</v>
      </c>
      <c r="EB67" s="293">
        <f t="shared" si="27"/>
        <v>0.70499999999999996</v>
      </c>
      <c r="EC67" s="212" t="s">
        <v>392</v>
      </c>
      <c r="EE67" s="160" t="s">
        <v>568</v>
      </c>
      <c r="EF67" s="327" t="s">
        <v>418</v>
      </c>
      <c r="EG67" s="322" t="s">
        <v>434</v>
      </c>
      <c r="EH67" s="160">
        <f>$AP35</f>
        <v>0.70938862229355959</v>
      </c>
      <c r="EI67" s="160" t="s">
        <v>392</v>
      </c>
    </row>
    <row r="68" spans="121:139" thickTop="1" thickBot="1" x14ac:dyDescent="0.3">
      <c r="DQ68" s="290" t="s">
        <v>506</v>
      </c>
      <c r="DR68" s="290" t="s">
        <v>468</v>
      </c>
      <c r="DS68" s="291">
        <v>295</v>
      </c>
      <c r="DT68" s="291">
        <v>7.6200000000000004E-2</v>
      </c>
      <c r="DU68" s="290">
        <v>3870.68</v>
      </c>
      <c r="DV68" s="290" t="s">
        <v>509</v>
      </c>
      <c r="DW68" s="291">
        <v>2E-16</v>
      </c>
      <c r="DX68" s="81" t="s">
        <v>510</v>
      </c>
      <c r="DY68" s="212" t="s">
        <v>568</v>
      </c>
      <c r="DZ68" s="297" t="s">
        <v>519</v>
      </c>
      <c r="EA68" s="292" t="s">
        <v>434</v>
      </c>
      <c r="EB68" s="293">
        <f t="shared" si="27"/>
        <v>5.62E-2</v>
      </c>
      <c r="EC68" s="212" t="s">
        <v>392</v>
      </c>
      <c r="EE68" s="160" t="s">
        <v>568</v>
      </c>
      <c r="EF68" s="327" t="s">
        <v>519</v>
      </c>
      <c r="EG68" s="322" t="s">
        <v>434</v>
      </c>
      <c r="EH68" s="160">
        <f>$AP47</f>
        <v>4.9173253420227526E-2</v>
      </c>
      <c r="EI68" s="160" t="s">
        <v>392</v>
      </c>
    </row>
    <row r="69" spans="121:139" thickTop="1" thickBot="1" x14ac:dyDescent="0.3">
      <c r="DQ69" s="290" t="s">
        <v>506</v>
      </c>
      <c r="DR69" s="290" t="s">
        <v>541</v>
      </c>
      <c r="DS69" s="291">
        <v>4.3499999999999997E-2</v>
      </c>
      <c r="DT69" s="291">
        <v>4.6899999999999997E-2</v>
      </c>
      <c r="DU69" s="290">
        <v>0.93</v>
      </c>
      <c r="DV69" s="291">
        <v>0.35</v>
      </c>
      <c r="DW69" s="291"/>
      <c r="EA69" s="292"/>
      <c r="EE69" s="160"/>
      <c r="EF69" s="160"/>
      <c r="EG69" s="322"/>
      <c r="EH69" s="160"/>
      <c r="EI69" s="160"/>
    </row>
    <row r="70" spans="121:139" thickTop="1" thickBot="1" x14ac:dyDescent="0.3">
      <c r="DQ70" s="290" t="s">
        <v>506</v>
      </c>
      <c r="DR70" s="290" t="s">
        <v>410</v>
      </c>
      <c r="DS70" s="291">
        <v>0.56399999999999995</v>
      </c>
      <c r="DT70" s="291">
        <v>7.6799999999999993E-2</v>
      </c>
      <c r="DU70" s="290">
        <v>7.34</v>
      </c>
      <c r="DV70" s="291">
        <v>2.2999999999999998E-13</v>
      </c>
      <c r="DW70" s="290" t="s">
        <v>510</v>
      </c>
      <c r="DY70" s="212" t="s">
        <v>568</v>
      </c>
      <c r="DZ70" s="297" t="s">
        <v>419</v>
      </c>
      <c r="EA70" s="292" t="s">
        <v>434</v>
      </c>
      <c r="EB70" s="293">
        <f>DS97</f>
        <v>274</v>
      </c>
      <c r="EC70" s="212" t="s">
        <v>392</v>
      </c>
      <c r="EE70" s="160" t="s">
        <v>568</v>
      </c>
      <c r="EF70" s="327" t="s">
        <v>419</v>
      </c>
      <c r="EG70" s="322" t="s">
        <v>434</v>
      </c>
      <c r="EH70" s="160">
        <f>$AP37</f>
        <v>220.67738079012443</v>
      </c>
      <c r="EI70" s="160" t="s">
        <v>392</v>
      </c>
    </row>
    <row r="71" spans="121:139" thickTop="1" thickBot="1" x14ac:dyDescent="0.3">
      <c r="DQ71" s="290" t="s">
        <v>506</v>
      </c>
      <c r="DR71" s="290" t="s">
        <v>542</v>
      </c>
      <c r="DS71" s="291">
        <v>0.65700000000000003</v>
      </c>
      <c r="DT71" s="291">
        <v>2.3199999999999998E-2</v>
      </c>
      <c r="DU71" s="290">
        <v>28.27</v>
      </c>
      <c r="DV71" s="290" t="s">
        <v>509</v>
      </c>
      <c r="DW71" s="291">
        <v>2E-16</v>
      </c>
      <c r="DX71" s="81" t="s">
        <v>510</v>
      </c>
      <c r="DY71" s="212" t="s">
        <v>568</v>
      </c>
      <c r="DZ71" s="297" t="s">
        <v>420</v>
      </c>
      <c r="EA71" s="292" t="s">
        <v>434</v>
      </c>
      <c r="EB71" s="293">
        <f t="shared" ref="EB71:EB72" si="28">DS98</f>
        <v>284</v>
      </c>
      <c r="EC71" s="212" t="s">
        <v>392</v>
      </c>
      <c r="EE71" s="160" t="s">
        <v>568</v>
      </c>
      <c r="EF71" s="327" t="s">
        <v>420</v>
      </c>
      <c r="EG71" s="322" t="s">
        <v>434</v>
      </c>
      <c r="EH71" s="160">
        <f>$AP38</f>
        <v>297.81730970684839</v>
      </c>
      <c r="EI71" s="160" t="s">
        <v>392</v>
      </c>
    </row>
    <row r="72" spans="121:139" thickTop="1" thickBot="1" x14ac:dyDescent="0.3">
      <c r="DQ72" s="290" t="s">
        <v>506</v>
      </c>
      <c r="DR72" s="290" t="s">
        <v>543</v>
      </c>
      <c r="DS72" s="291">
        <v>0.97299999999999998</v>
      </c>
      <c r="DT72" s="291">
        <v>1.78E-2</v>
      </c>
      <c r="DU72" s="290">
        <v>54.57</v>
      </c>
      <c r="DV72" s="290" t="s">
        <v>509</v>
      </c>
      <c r="DW72" s="291">
        <v>2E-16</v>
      </c>
      <c r="DX72" s="81" t="s">
        <v>510</v>
      </c>
      <c r="DY72" s="212" t="s">
        <v>568</v>
      </c>
      <c r="DZ72" s="297" t="s">
        <v>421</v>
      </c>
      <c r="EA72" s="292" t="s">
        <v>434</v>
      </c>
      <c r="EB72" s="293">
        <f t="shared" si="28"/>
        <v>91.9</v>
      </c>
      <c r="EC72" s="212" t="s">
        <v>392</v>
      </c>
      <c r="EE72" s="160" t="s">
        <v>568</v>
      </c>
      <c r="EF72" s="327" t="s">
        <v>421</v>
      </c>
      <c r="EG72" s="322" t="s">
        <v>434</v>
      </c>
      <c r="EH72" s="161">
        <f>$AP39</f>
        <v>51.346760837798342</v>
      </c>
      <c r="EI72" s="160" t="s">
        <v>392</v>
      </c>
    </row>
    <row r="73" spans="121:139" thickTop="1" thickBot="1" x14ac:dyDescent="0.3">
      <c r="DQ73" s="290" t="s">
        <v>506</v>
      </c>
      <c r="DR73" s="290" t="s">
        <v>544</v>
      </c>
      <c r="DS73" s="291">
        <v>0.877</v>
      </c>
      <c r="DT73" s="291">
        <v>3.4599999999999999E-2</v>
      </c>
      <c r="DU73" s="290">
        <v>25.36</v>
      </c>
      <c r="DV73" s="290" t="s">
        <v>509</v>
      </c>
      <c r="DW73" s="291">
        <v>2E-16</v>
      </c>
      <c r="DX73" s="81" t="s">
        <v>510</v>
      </c>
      <c r="DY73" s="212" t="s">
        <v>568</v>
      </c>
      <c r="DZ73" s="297" t="s">
        <v>422</v>
      </c>
      <c r="EA73" s="292" t="s">
        <v>434</v>
      </c>
      <c r="EB73" s="293">
        <f>1/DS104</f>
        <v>189.03591682419659</v>
      </c>
      <c r="EC73" s="212" t="s">
        <v>392</v>
      </c>
      <c r="EE73" s="160" t="s">
        <v>568</v>
      </c>
      <c r="EF73" s="327" t="s">
        <v>422</v>
      </c>
      <c r="EG73" s="322" t="s">
        <v>434</v>
      </c>
      <c r="EH73" s="160">
        <f>$AP40</f>
        <v>88.889498993412957</v>
      </c>
      <c r="EI73" s="160" t="s">
        <v>392</v>
      </c>
    </row>
    <row r="74" spans="121:139" thickTop="1" thickBot="1" x14ac:dyDescent="0.3">
      <c r="DQ74" s="290" t="s">
        <v>506</v>
      </c>
      <c r="DR74" s="290" t="s">
        <v>411</v>
      </c>
      <c r="DS74" s="291">
        <v>0.505</v>
      </c>
      <c r="DT74" s="291">
        <v>7.0499999999999993E-2</v>
      </c>
      <c r="DU74" s="290">
        <v>7.16</v>
      </c>
      <c r="DV74" s="291">
        <v>8.7000000000000003E-13</v>
      </c>
      <c r="DW74" s="290" t="s">
        <v>510</v>
      </c>
      <c r="EA74" s="292"/>
      <c r="EE74" s="160"/>
      <c r="EF74" s="160"/>
      <c r="EG74" s="322"/>
      <c r="EH74" s="160"/>
      <c r="EI74" s="160"/>
    </row>
    <row r="75" spans="121:139" thickTop="1" thickBot="1" x14ac:dyDescent="0.3">
      <c r="DQ75" s="290" t="s">
        <v>506</v>
      </c>
      <c r="DR75" s="290" t="s">
        <v>545</v>
      </c>
      <c r="DS75" s="291">
        <v>1.02</v>
      </c>
      <c r="DT75" s="291">
        <v>1.9099999999999999E-2</v>
      </c>
      <c r="DU75" s="290">
        <v>53.32</v>
      </c>
      <c r="DV75" s="290" t="s">
        <v>509</v>
      </c>
      <c r="DW75" s="291">
        <v>2E-16</v>
      </c>
      <c r="DX75" s="81" t="s">
        <v>510</v>
      </c>
      <c r="DY75" s="212" t="s">
        <v>568</v>
      </c>
      <c r="DZ75" s="297" t="s">
        <v>515</v>
      </c>
      <c r="EA75" s="292" t="s">
        <v>434</v>
      </c>
      <c r="EB75" s="293">
        <f>DS115</f>
        <v>996000000</v>
      </c>
      <c r="EC75" s="212" t="s">
        <v>392</v>
      </c>
      <c r="EE75" s="160" t="s">
        <v>568</v>
      </c>
      <c r="EF75" s="327" t="s">
        <v>515</v>
      </c>
      <c r="EG75" s="322" t="s">
        <v>434</v>
      </c>
      <c r="EH75" s="160">
        <f>$AP44</f>
        <v>20786361.000000004</v>
      </c>
      <c r="EI75" s="160" t="s">
        <v>392</v>
      </c>
    </row>
    <row r="76" spans="121:139" thickTop="1" thickBot="1" x14ac:dyDescent="0.3">
      <c r="DQ76" s="290" t="s">
        <v>506</v>
      </c>
      <c r="DR76" s="290" t="s">
        <v>546</v>
      </c>
      <c r="DS76" s="291">
        <v>0.747</v>
      </c>
      <c r="DT76" s="291">
        <v>1.4500000000000001E-2</v>
      </c>
      <c r="DU76" s="290">
        <v>51.62</v>
      </c>
      <c r="DV76" s="290" t="s">
        <v>509</v>
      </c>
      <c r="DW76" s="291">
        <v>2E-16</v>
      </c>
      <c r="DX76" s="81" t="s">
        <v>510</v>
      </c>
      <c r="DY76" s="212" t="s">
        <v>568</v>
      </c>
      <c r="DZ76" s="297" t="s">
        <v>426</v>
      </c>
      <c r="EA76" s="292" t="s">
        <v>434</v>
      </c>
      <c r="EB76" s="293">
        <f>DS116</f>
        <v>994000000</v>
      </c>
      <c r="EC76" s="212" t="s">
        <v>392</v>
      </c>
      <c r="EE76" s="160" t="s">
        <v>568</v>
      </c>
      <c r="EF76" s="327" t="s">
        <v>426</v>
      </c>
      <c r="EG76" s="322" t="s">
        <v>434</v>
      </c>
      <c r="EH76" s="160">
        <f>$AP45</f>
        <v>20786361.000000004</v>
      </c>
      <c r="EI76" s="160" t="s">
        <v>392</v>
      </c>
    </row>
    <row r="77" spans="121:139" thickTop="1" thickBot="1" x14ac:dyDescent="0.3">
      <c r="DQ77" s="290" t="s">
        <v>506</v>
      </c>
      <c r="DR77" s="290" t="s">
        <v>547</v>
      </c>
      <c r="DS77" s="291">
        <v>0.17799999999999999</v>
      </c>
      <c r="DT77" s="291">
        <v>6.9000000000000006E-2</v>
      </c>
      <c r="DU77" s="290">
        <v>2.58</v>
      </c>
      <c r="DV77" s="290">
        <v>0.01</v>
      </c>
      <c r="DW77" s="291" t="s">
        <v>511</v>
      </c>
      <c r="DY77" s="212" t="s">
        <v>568</v>
      </c>
      <c r="DZ77" s="297" t="s">
        <v>429</v>
      </c>
      <c r="EA77" s="292" t="s">
        <v>434</v>
      </c>
      <c r="EB77" s="293">
        <f>DS123</f>
        <v>86.4</v>
      </c>
      <c r="EC77" s="212" t="s">
        <v>392</v>
      </c>
      <c r="EE77" s="160" t="s">
        <v>568</v>
      </c>
      <c r="EF77" s="327" t="s">
        <v>429</v>
      </c>
      <c r="EG77" s="322" t="s">
        <v>434</v>
      </c>
      <c r="EH77" s="160">
        <f>$AP48</f>
        <v>374.43594009983366</v>
      </c>
      <c r="EI77" s="160" t="s">
        <v>392</v>
      </c>
    </row>
    <row r="78" spans="121:139" thickTop="1" thickBot="1" x14ac:dyDescent="0.3">
      <c r="DQ78" s="290" t="s">
        <v>506</v>
      </c>
      <c r="DR78" s="290" t="s">
        <v>412</v>
      </c>
      <c r="DS78" s="291">
        <v>1.2399999999999999E-16</v>
      </c>
      <c r="DT78" s="291">
        <v>1.9800000000000001E-14</v>
      </c>
      <c r="DU78" s="290">
        <v>0.01</v>
      </c>
      <c r="DV78" s="290">
        <v>0.99</v>
      </c>
      <c r="DY78" s="212" t="s">
        <v>568</v>
      </c>
      <c r="DZ78" s="297" t="s">
        <v>430</v>
      </c>
      <c r="EA78" s="292" t="s">
        <v>434</v>
      </c>
      <c r="EB78" s="293">
        <f t="shared" ref="EB78:EB79" si="29">DS124</f>
        <v>1.2899999999999999E-3</v>
      </c>
      <c r="EC78" s="212" t="s">
        <v>392</v>
      </c>
      <c r="EE78" s="160" t="s">
        <v>568</v>
      </c>
      <c r="EF78" s="327" t="s">
        <v>430</v>
      </c>
      <c r="EG78" s="322" t="s">
        <v>434</v>
      </c>
      <c r="EH78" s="160">
        <f>$AP49</f>
        <v>187.21797004991683</v>
      </c>
      <c r="EI78" s="160" t="s">
        <v>392</v>
      </c>
    </row>
    <row r="79" spans="121:139" thickTop="1" thickBot="1" x14ac:dyDescent="0.3">
      <c r="DQ79" s="290" t="s">
        <v>506</v>
      </c>
      <c r="DR79" s="290" t="s">
        <v>548</v>
      </c>
      <c r="DS79" s="291">
        <v>2.0199999999999999E-2</v>
      </c>
      <c r="DT79" s="291">
        <v>3.56E-2</v>
      </c>
      <c r="DU79" s="290">
        <v>0.56999999999999995</v>
      </c>
      <c r="DV79" s="290">
        <v>0.56999999999999995</v>
      </c>
      <c r="DY79" s="212" t="s">
        <v>568</v>
      </c>
      <c r="DZ79" s="297" t="s">
        <v>431</v>
      </c>
      <c r="EA79" s="292" t="s">
        <v>434</v>
      </c>
      <c r="EB79" s="293">
        <f t="shared" si="29"/>
        <v>119</v>
      </c>
      <c r="EC79" s="212" t="s">
        <v>392</v>
      </c>
      <c r="EE79" s="160" t="s">
        <v>568</v>
      </c>
      <c r="EF79" s="327" t="s">
        <v>431</v>
      </c>
      <c r="EG79" s="322" t="s">
        <v>434</v>
      </c>
      <c r="EH79" s="160">
        <f>$AP50</f>
        <v>374.43594009983366</v>
      </c>
      <c r="EI79" s="160" t="s">
        <v>392</v>
      </c>
    </row>
    <row r="80" spans="121:139" thickTop="1" thickBot="1" x14ac:dyDescent="0.3">
      <c r="DQ80" s="290" t="s">
        <v>506</v>
      </c>
      <c r="DR80" s="290" t="s">
        <v>549</v>
      </c>
      <c r="DS80" s="291">
        <v>0.35299999999999998</v>
      </c>
      <c r="DT80" s="291">
        <v>3.1800000000000002E-2</v>
      </c>
      <c r="DU80" s="290">
        <v>11.1</v>
      </c>
      <c r="DV80" s="290" t="s">
        <v>509</v>
      </c>
      <c r="DW80" s="291">
        <v>2E-16</v>
      </c>
      <c r="DX80" s="81" t="s">
        <v>510</v>
      </c>
    </row>
    <row r="81" spans="121:128" thickTop="1" thickBot="1" x14ac:dyDescent="0.3">
      <c r="DQ81" s="290" t="s">
        <v>506</v>
      </c>
      <c r="DR81" s="290" t="s">
        <v>550</v>
      </c>
      <c r="DS81" s="291">
        <v>0.46500000000000002</v>
      </c>
      <c r="DT81" s="291">
        <v>2.23E-2</v>
      </c>
      <c r="DU81" s="290">
        <v>20.84</v>
      </c>
      <c r="DV81" s="290" t="s">
        <v>509</v>
      </c>
      <c r="DW81" s="291">
        <v>2E-16</v>
      </c>
      <c r="DX81" s="81" t="s">
        <v>510</v>
      </c>
    </row>
    <row r="82" spans="121:128" thickTop="1" thickBot="1" x14ac:dyDescent="0.3">
      <c r="DQ82" s="290" t="s">
        <v>506</v>
      </c>
      <c r="DR82" s="290" t="s">
        <v>551</v>
      </c>
      <c r="DS82" s="291">
        <v>0.63700000000000001</v>
      </c>
      <c r="DT82" s="291">
        <v>4.4699999999999997E-2</v>
      </c>
      <c r="DU82" s="290">
        <v>14.23</v>
      </c>
      <c r="DV82" s="290" t="s">
        <v>509</v>
      </c>
      <c r="DW82" s="291">
        <v>2E-16</v>
      </c>
      <c r="DX82" s="81" t="s">
        <v>510</v>
      </c>
    </row>
    <row r="83" spans="121:128" thickTop="1" thickBot="1" x14ac:dyDescent="0.3">
      <c r="DQ83" s="290" t="s">
        <v>506</v>
      </c>
      <c r="DR83" s="290" t="s">
        <v>552</v>
      </c>
      <c r="DS83" s="291">
        <v>0.54500000000000004</v>
      </c>
      <c r="DT83" s="291">
        <v>1.2500000000000001E-2</v>
      </c>
      <c r="DU83" s="290">
        <v>43.53</v>
      </c>
      <c r="DV83" s="290" t="s">
        <v>509</v>
      </c>
      <c r="DW83" s="291">
        <v>2E-16</v>
      </c>
      <c r="DX83" s="81" t="s">
        <v>510</v>
      </c>
    </row>
    <row r="84" spans="121:128" thickTop="1" thickBot="1" x14ac:dyDescent="0.3">
      <c r="DQ84" s="290" t="s">
        <v>506</v>
      </c>
      <c r="DR84" s="290" t="s">
        <v>553</v>
      </c>
      <c r="DS84" s="291">
        <v>0.373</v>
      </c>
      <c r="DT84" s="291">
        <v>9.4599999999999997E-3</v>
      </c>
      <c r="DU84" s="290">
        <v>39.43</v>
      </c>
      <c r="DV84" s="291" t="s">
        <v>509</v>
      </c>
      <c r="DW84" s="291">
        <v>2E-16</v>
      </c>
      <c r="DX84" s="81" t="s">
        <v>510</v>
      </c>
    </row>
    <row r="85" spans="121:128" thickTop="1" thickBot="1" x14ac:dyDescent="0.3">
      <c r="DQ85" s="290" t="s">
        <v>506</v>
      </c>
      <c r="DR85" s="290" t="s">
        <v>298</v>
      </c>
      <c r="DS85" s="291">
        <v>995000000</v>
      </c>
      <c r="DT85" s="291">
        <v>18800000</v>
      </c>
      <c r="DU85" s="290">
        <v>52.83</v>
      </c>
      <c r="DV85" s="290" t="s">
        <v>509</v>
      </c>
      <c r="DW85" s="291">
        <v>2E-16</v>
      </c>
      <c r="DX85" s="81" t="s">
        <v>510</v>
      </c>
    </row>
    <row r="86" spans="121:128" thickTop="1" thickBot="1" x14ac:dyDescent="0.3">
      <c r="DQ86" s="290" t="s">
        <v>506</v>
      </c>
      <c r="DR86" s="290" t="s">
        <v>475</v>
      </c>
      <c r="DS86" s="291">
        <v>2100000</v>
      </c>
      <c r="DT86" s="291">
        <v>10600</v>
      </c>
      <c r="DU86" s="290">
        <v>198.38</v>
      </c>
      <c r="DV86" s="290" t="s">
        <v>509</v>
      </c>
      <c r="DW86" s="291">
        <v>2E-16</v>
      </c>
      <c r="DX86" s="81" t="s">
        <v>510</v>
      </c>
    </row>
    <row r="87" spans="121:128" thickTop="1" thickBot="1" x14ac:dyDescent="0.3">
      <c r="DQ87" s="290" t="s">
        <v>506</v>
      </c>
      <c r="DR87" s="290" t="s">
        <v>291</v>
      </c>
      <c r="DS87" s="291">
        <v>4730000</v>
      </c>
      <c r="DT87" s="291">
        <v>90500</v>
      </c>
      <c r="DU87" s="290">
        <v>52.23</v>
      </c>
      <c r="DV87" s="290" t="s">
        <v>509</v>
      </c>
      <c r="DW87" s="291">
        <v>2E-16</v>
      </c>
      <c r="DX87" s="81" t="s">
        <v>510</v>
      </c>
    </row>
    <row r="88" spans="121:128" thickTop="1" thickBot="1" x14ac:dyDescent="0.3">
      <c r="DQ88" s="290" t="s">
        <v>506</v>
      </c>
      <c r="DR88" s="290" t="s">
        <v>293</v>
      </c>
      <c r="DS88" s="291">
        <v>20800000</v>
      </c>
      <c r="DT88" s="291">
        <v>901000</v>
      </c>
      <c r="DU88" s="290">
        <v>23.05</v>
      </c>
      <c r="DV88" s="291" t="s">
        <v>509</v>
      </c>
      <c r="DW88" s="291">
        <v>2E-16</v>
      </c>
      <c r="DX88" s="81" t="s">
        <v>510</v>
      </c>
    </row>
    <row r="89" spans="121:128" thickTop="1" thickBot="1" x14ac:dyDescent="0.3">
      <c r="DQ89" s="290" t="s">
        <v>506</v>
      </c>
      <c r="DR89" s="290" t="s">
        <v>476</v>
      </c>
      <c r="DS89" s="291">
        <v>-30.3</v>
      </c>
      <c r="DT89" s="291">
        <v>94.7</v>
      </c>
      <c r="DU89" s="290">
        <v>-0.32</v>
      </c>
      <c r="DV89" s="290">
        <v>0.75</v>
      </c>
      <c r="DW89" s="291"/>
    </row>
    <row r="90" spans="121:128" thickTop="1" thickBot="1" x14ac:dyDescent="0.3">
      <c r="DQ90" s="290" t="s">
        <v>506</v>
      </c>
      <c r="DR90" s="290" t="s">
        <v>477</v>
      </c>
      <c r="DS90" s="291">
        <v>-23.4</v>
      </c>
      <c r="DT90" s="291">
        <v>95.3</v>
      </c>
      <c r="DU90" s="290">
        <v>-0.25</v>
      </c>
      <c r="DV90" s="290">
        <v>0.81</v>
      </c>
    </row>
    <row r="91" spans="121:128" thickTop="1" thickBot="1" x14ac:dyDescent="0.3">
      <c r="DQ91" s="290" t="s">
        <v>506</v>
      </c>
      <c r="DR91" s="290" t="s">
        <v>478</v>
      </c>
      <c r="DS91" s="291">
        <v>-24.2</v>
      </c>
      <c r="DT91" s="291">
        <v>84.9</v>
      </c>
      <c r="DU91" s="290">
        <v>-0.28999999999999998</v>
      </c>
      <c r="DV91" s="290">
        <v>0.78</v>
      </c>
    </row>
    <row r="92" spans="121:128" thickTop="1" thickBot="1" x14ac:dyDescent="0.3">
      <c r="DQ92" s="290" t="s">
        <v>506</v>
      </c>
      <c r="DR92" s="290" t="s">
        <v>479</v>
      </c>
      <c r="DS92" s="291">
        <v>-33.4</v>
      </c>
      <c r="DT92" s="291">
        <v>96.8</v>
      </c>
      <c r="DU92" s="290">
        <v>-0.34</v>
      </c>
      <c r="DV92" s="290">
        <v>0.73</v>
      </c>
    </row>
    <row r="93" spans="121:128" thickTop="1" thickBot="1" x14ac:dyDescent="0.3">
      <c r="DQ93" s="290" t="s">
        <v>506</v>
      </c>
      <c r="DR93" s="290" t="s">
        <v>481</v>
      </c>
      <c r="DS93" s="291">
        <v>0.11899999999999999</v>
      </c>
      <c r="DT93" s="291">
        <v>8.8900000000000003E-4</v>
      </c>
      <c r="DU93" s="290">
        <v>133.93</v>
      </c>
      <c r="DV93" s="290" t="s">
        <v>509</v>
      </c>
      <c r="DW93" s="291">
        <v>2E-16</v>
      </c>
      <c r="DX93" s="81" t="s">
        <v>510</v>
      </c>
    </row>
    <row r="94" spans="121:128" thickTop="1" thickBot="1" x14ac:dyDescent="0.3">
      <c r="DQ94" s="290" t="s">
        <v>506</v>
      </c>
      <c r="DR94" s="290" t="s">
        <v>482</v>
      </c>
      <c r="DS94" s="291">
        <v>0.12</v>
      </c>
      <c r="DT94" s="291">
        <v>7.2000000000000005E-4</v>
      </c>
      <c r="DU94" s="290">
        <v>165.89</v>
      </c>
      <c r="DV94" s="290" t="s">
        <v>509</v>
      </c>
      <c r="DW94" s="291">
        <v>2E-16</v>
      </c>
      <c r="DX94" s="81" t="s">
        <v>510</v>
      </c>
    </row>
    <row r="95" spans="121:128" thickTop="1" thickBot="1" x14ac:dyDescent="0.3">
      <c r="DQ95" s="290" t="s">
        <v>506</v>
      </c>
      <c r="DR95" s="290" t="s">
        <v>483</v>
      </c>
      <c r="DS95" s="291">
        <v>0.70499999999999996</v>
      </c>
      <c r="DT95" s="291">
        <v>2.0500000000000002E-3</v>
      </c>
      <c r="DU95" s="290">
        <v>343.81</v>
      </c>
      <c r="DV95" s="290" t="s">
        <v>509</v>
      </c>
      <c r="DW95" s="291">
        <v>2E-16</v>
      </c>
      <c r="DX95" s="81" t="s">
        <v>510</v>
      </c>
    </row>
    <row r="96" spans="121:128" thickTop="1" thickBot="1" x14ac:dyDescent="0.3">
      <c r="DQ96" s="290" t="s">
        <v>506</v>
      </c>
      <c r="DR96" s="290" t="s">
        <v>484</v>
      </c>
      <c r="DS96" s="291">
        <v>5.62E-2</v>
      </c>
      <c r="DT96" s="291">
        <v>3.9500000000000001E-4</v>
      </c>
      <c r="DU96" s="290">
        <v>142.31</v>
      </c>
      <c r="DV96" s="290" t="s">
        <v>509</v>
      </c>
      <c r="DW96" s="291">
        <v>2E-16</v>
      </c>
      <c r="DX96" s="81" t="s">
        <v>510</v>
      </c>
    </row>
    <row r="97" spans="121:128" thickTop="1" thickBot="1" x14ac:dyDescent="0.3">
      <c r="DQ97" s="290" t="s">
        <v>506</v>
      </c>
      <c r="DR97" s="290" t="s">
        <v>486</v>
      </c>
      <c r="DS97" s="291">
        <v>274</v>
      </c>
      <c r="DT97" s="291">
        <v>2.68</v>
      </c>
      <c r="DU97" s="290">
        <v>102.3</v>
      </c>
      <c r="DV97" s="290" t="s">
        <v>509</v>
      </c>
      <c r="DW97" s="291">
        <v>2E-16</v>
      </c>
      <c r="DX97" s="81" t="s">
        <v>510</v>
      </c>
    </row>
    <row r="98" spans="121:128" thickTop="1" thickBot="1" x14ac:dyDescent="0.3">
      <c r="DQ98" s="290" t="s">
        <v>506</v>
      </c>
      <c r="DR98" s="290" t="s">
        <v>285</v>
      </c>
      <c r="DS98" s="291">
        <v>284</v>
      </c>
      <c r="DT98" s="291">
        <v>2.25</v>
      </c>
      <c r="DU98" s="290">
        <v>126.13</v>
      </c>
      <c r="DV98" s="290" t="s">
        <v>509</v>
      </c>
      <c r="DW98" s="291">
        <v>2E-16</v>
      </c>
      <c r="DX98" s="81" t="s">
        <v>510</v>
      </c>
    </row>
    <row r="99" spans="121:128" thickTop="1" thickBot="1" x14ac:dyDescent="0.3">
      <c r="DQ99" s="290" t="s">
        <v>506</v>
      </c>
      <c r="DR99" s="290" t="s">
        <v>120</v>
      </c>
      <c r="DS99" s="291">
        <v>91.9</v>
      </c>
      <c r="DT99" s="291">
        <v>0.34399999999999997</v>
      </c>
      <c r="DU99" s="290">
        <v>267.22000000000003</v>
      </c>
      <c r="DV99" s="290" t="s">
        <v>509</v>
      </c>
      <c r="DW99" s="291">
        <v>2E-16</v>
      </c>
      <c r="DX99" s="81" t="s">
        <v>510</v>
      </c>
    </row>
    <row r="100" spans="121:128" thickTop="1" thickBot="1" x14ac:dyDescent="0.3">
      <c r="DQ100" s="290" t="s">
        <v>506</v>
      </c>
      <c r="DR100" s="290" t="s">
        <v>488</v>
      </c>
      <c r="DS100" s="291">
        <v>-6.88</v>
      </c>
      <c r="DT100" s="291">
        <v>1.6400000000000001E-2</v>
      </c>
      <c r="DU100" s="290">
        <v>-418.35</v>
      </c>
      <c r="DV100" s="290" t="s">
        <v>509</v>
      </c>
      <c r="DW100" s="291">
        <v>2E-16</v>
      </c>
      <c r="DX100" s="81" t="s">
        <v>510</v>
      </c>
    </row>
    <row r="101" spans="121:128" thickTop="1" thickBot="1" x14ac:dyDescent="0.3">
      <c r="DQ101" s="290" t="s">
        <v>506</v>
      </c>
      <c r="DR101" s="290" t="s">
        <v>489</v>
      </c>
      <c r="DS101" s="291">
        <v>-6.21</v>
      </c>
      <c r="DT101" s="291">
        <v>1.6899999999999998E-2</v>
      </c>
      <c r="DU101" s="290">
        <v>-367.48</v>
      </c>
      <c r="DV101" s="290" t="s">
        <v>509</v>
      </c>
      <c r="DW101" s="291">
        <v>2E-16</v>
      </c>
      <c r="DX101" s="81" t="s">
        <v>510</v>
      </c>
    </row>
    <row r="102" spans="121:128" thickTop="1" thickBot="1" x14ac:dyDescent="0.3">
      <c r="DQ102" s="290" t="s">
        <v>506</v>
      </c>
      <c r="DR102" s="290" t="s">
        <v>490</v>
      </c>
      <c r="DS102" s="291">
        <v>-6.49</v>
      </c>
      <c r="DT102" s="291">
        <v>1.6500000000000001E-2</v>
      </c>
      <c r="DU102" s="290">
        <v>-394.48</v>
      </c>
      <c r="DV102" s="290" t="s">
        <v>509</v>
      </c>
      <c r="DW102" s="291">
        <v>2E-16</v>
      </c>
      <c r="DX102" s="81" t="s">
        <v>510</v>
      </c>
    </row>
    <row r="103" spans="121:128" thickTop="1" thickBot="1" x14ac:dyDescent="0.3">
      <c r="DQ103" s="290" t="s">
        <v>506</v>
      </c>
      <c r="DR103" s="290" t="s">
        <v>491</v>
      </c>
      <c r="DS103" s="291">
        <v>-6.13</v>
      </c>
      <c r="DT103" s="291">
        <v>1.8599999999999998E-2</v>
      </c>
      <c r="DU103" s="290">
        <v>-330.47</v>
      </c>
      <c r="DV103" s="290" t="s">
        <v>509</v>
      </c>
      <c r="DW103" s="291">
        <v>2E-16</v>
      </c>
      <c r="DX103" s="81" t="s">
        <v>510</v>
      </c>
    </row>
    <row r="104" spans="121:128" thickTop="1" thickBot="1" x14ac:dyDescent="0.3">
      <c r="DQ104" s="290" t="s">
        <v>506</v>
      </c>
      <c r="DR104" s="290" t="s">
        <v>493</v>
      </c>
      <c r="DS104" s="291">
        <v>5.2900000000000004E-3</v>
      </c>
      <c r="DT104" s="291">
        <v>3.26E-5</v>
      </c>
      <c r="DU104" s="290">
        <v>162.27000000000001</v>
      </c>
      <c r="DV104" s="290" t="s">
        <v>509</v>
      </c>
      <c r="DW104" s="291">
        <v>2E-16</v>
      </c>
      <c r="DX104" s="81" t="s">
        <v>510</v>
      </c>
    </row>
    <row r="105" spans="121:128" thickTop="1" thickBot="1" x14ac:dyDescent="0.3">
      <c r="DQ105" s="290" t="s">
        <v>506</v>
      </c>
      <c r="DR105" s="290" t="s">
        <v>494</v>
      </c>
      <c r="DS105" s="291">
        <v>124</v>
      </c>
      <c r="DT105" s="291">
        <v>1.43</v>
      </c>
      <c r="DU105" s="290">
        <v>86.4</v>
      </c>
      <c r="DV105" s="290" t="s">
        <v>509</v>
      </c>
      <c r="DW105" s="291">
        <v>2E-16</v>
      </c>
      <c r="DX105" s="81" t="s">
        <v>510</v>
      </c>
    </row>
    <row r="106" spans="121:128" thickTop="1" thickBot="1" x14ac:dyDescent="0.3">
      <c r="DQ106" s="290" t="s">
        <v>506</v>
      </c>
      <c r="DR106" s="290" t="s">
        <v>495</v>
      </c>
      <c r="DS106" s="291">
        <v>1.6500000000000001E-2</v>
      </c>
      <c r="DT106" s="291">
        <v>1.38</v>
      </c>
      <c r="DU106" s="290">
        <v>0.01</v>
      </c>
      <c r="DV106" s="290">
        <v>0.99</v>
      </c>
    </row>
    <row r="107" spans="121:128" thickTop="1" thickBot="1" x14ac:dyDescent="0.3">
      <c r="DS107" s="291"/>
      <c r="DT107" s="291"/>
    </row>
    <row r="108" spans="121:128" thickTop="1" thickBot="1" x14ac:dyDescent="0.3">
      <c r="DQ108" s="290" t="s">
        <v>565</v>
      </c>
    </row>
    <row r="109" spans="121:128" thickTop="1" thickBot="1" x14ac:dyDescent="0.3">
      <c r="DQ109" s="290" t="s">
        <v>506</v>
      </c>
      <c r="DR109" s="290" t="s">
        <v>499</v>
      </c>
    </row>
    <row r="110" spans="121:128" thickTop="1" thickBot="1" x14ac:dyDescent="0.3">
      <c r="DQ110" s="290" t="s">
        <v>506</v>
      </c>
      <c r="DR110" s="290" t="s">
        <v>500</v>
      </c>
      <c r="DS110" s="290" t="s">
        <v>501</v>
      </c>
      <c r="DT110" s="290" t="s">
        <v>502</v>
      </c>
      <c r="DU110" s="290" t="s">
        <v>503</v>
      </c>
      <c r="DV110" s="290" t="s">
        <v>504</v>
      </c>
      <c r="DW110" s="290" t="s">
        <v>508</v>
      </c>
      <c r="DX110" s="81" t="s">
        <v>510</v>
      </c>
    </row>
    <row r="111" spans="121:128" thickTop="1" thickBot="1" x14ac:dyDescent="0.3">
      <c r="DQ111" s="290" t="s">
        <v>506</v>
      </c>
      <c r="DR111" s="290" t="s">
        <v>513</v>
      </c>
      <c r="DS111" s="291">
        <v>290</v>
      </c>
      <c r="DT111" s="291">
        <v>7.7700000000000005E-2</v>
      </c>
      <c r="DU111" s="290">
        <v>3733.51</v>
      </c>
      <c r="DV111" s="290" t="s">
        <v>505</v>
      </c>
      <c r="DW111" s="290" t="s">
        <v>510</v>
      </c>
      <c r="DX111" s="81" t="s">
        <v>510</v>
      </c>
    </row>
    <row r="112" spans="121:128" thickTop="1" thickBot="1" x14ac:dyDescent="0.3">
      <c r="DQ112" s="290" t="s">
        <v>506</v>
      </c>
      <c r="DR112" s="290" t="s">
        <v>514</v>
      </c>
      <c r="DS112" s="291">
        <v>295</v>
      </c>
      <c r="DT112" s="291">
        <v>8.7900000000000006E-2</v>
      </c>
      <c r="DU112" s="290">
        <v>3355.39</v>
      </c>
      <c r="DV112" s="290" t="s">
        <v>505</v>
      </c>
      <c r="DW112" s="291" t="s">
        <v>510</v>
      </c>
      <c r="DX112" s="81" t="s">
        <v>510</v>
      </c>
    </row>
    <row r="113" spans="121:134" thickTop="1" thickBot="1" x14ac:dyDescent="0.3">
      <c r="DQ113" s="290" t="s">
        <v>506</v>
      </c>
      <c r="DR113" s="290" t="s">
        <v>423</v>
      </c>
      <c r="DS113" s="291">
        <v>7.1099999999999997E-2</v>
      </c>
      <c r="DT113" s="291">
        <v>1.6900000000000001E-3</v>
      </c>
      <c r="DU113" s="290">
        <v>42.07</v>
      </c>
      <c r="DV113" s="290" t="s">
        <v>505</v>
      </c>
      <c r="DW113" s="291" t="s">
        <v>510</v>
      </c>
    </row>
    <row r="114" spans="121:134" thickTop="1" thickBot="1" x14ac:dyDescent="0.3">
      <c r="DQ114" s="290" t="s">
        <v>506</v>
      </c>
      <c r="DR114" s="290" t="s">
        <v>424</v>
      </c>
      <c r="DS114" s="291">
        <v>0.20699999999999999</v>
      </c>
      <c r="DT114" s="291">
        <v>2.0899999999999998E-3</v>
      </c>
      <c r="DU114" s="290">
        <v>99.3</v>
      </c>
      <c r="DV114" s="290" t="s">
        <v>505</v>
      </c>
      <c r="DW114" s="291" t="s">
        <v>510</v>
      </c>
      <c r="DX114" s="81" t="s">
        <v>510</v>
      </c>
    </row>
    <row r="115" spans="121:134" thickTop="1" thickBot="1" x14ac:dyDescent="0.3">
      <c r="DQ115" s="290" t="s">
        <v>506</v>
      </c>
      <c r="DR115" s="290" t="s">
        <v>515</v>
      </c>
      <c r="DS115" s="291">
        <v>996000000</v>
      </c>
      <c r="DT115" s="291">
        <v>18300000</v>
      </c>
      <c r="DU115" s="290">
        <v>54.5</v>
      </c>
      <c r="DV115" s="291" t="s">
        <v>505</v>
      </c>
      <c r="DW115" s="290" t="s">
        <v>510</v>
      </c>
    </row>
    <row r="116" spans="121:134" thickTop="1" thickBot="1" x14ac:dyDescent="0.3">
      <c r="DQ116" s="290" t="s">
        <v>506</v>
      </c>
      <c r="DR116" s="290" t="s">
        <v>426</v>
      </c>
      <c r="DS116" s="291">
        <v>994000000</v>
      </c>
      <c r="DT116" s="291">
        <v>28100000</v>
      </c>
      <c r="DU116" s="290">
        <v>35.42</v>
      </c>
      <c r="DV116" s="290" t="s">
        <v>505</v>
      </c>
      <c r="DW116" s="291" t="s">
        <v>510</v>
      </c>
    </row>
    <row r="117" spans="121:134" thickTop="1" thickBot="1" x14ac:dyDescent="0.3">
      <c r="DQ117" s="290" t="s">
        <v>506</v>
      </c>
      <c r="DR117" s="290" t="s">
        <v>480</v>
      </c>
      <c r="DS117" s="291">
        <v>-15.6</v>
      </c>
      <c r="DT117" s="291">
        <v>218</v>
      </c>
      <c r="DU117" s="290">
        <v>-7.0000000000000007E-2</v>
      </c>
      <c r="DV117" s="290">
        <v>0.94</v>
      </c>
      <c r="DX117" s="81" t="s">
        <v>510</v>
      </c>
    </row>
    <row r="118" spans="121:134" thickTop="1" thickBot="1" x14ac:dyDescent="0.3">
      <c r="DQ118" s="290" t="s">
        <v>506</v>
      </c>
      <c r="DR118" s="290" t="s">
        <v>517</v>
      </c>
      <c r="DS118" s="291">
        <v>-17.100000000000001</v>
      </c>
      <c r="DT118" s="291">
        <v>263</v>
      </c>
      <c r="DU118" s="290">
        <v>-0.06</v>
      </c>
      <c r="DV118" s="290">
        <v>0.95</v>
      </c>
      <c r="DX118" s="81" t="s">
        <v>510</v>
      </c>
    </row>
    <row r="119" spans="121:134" thickTop="1" thickBot="1" x14ac:dyDescent="0.3">
      <c r="DQ119" s="290" t="s">
        <v>506</v>
      </c>
      <c r="DR119" s="290" t="s">
        <v>518</v>
      </c>
      <c r="DS119" s="291">
        <v>2.5100000000000001E-2</v>
      </c>
      <c r="DT119" s="291">
        <v>1.4100000000000001E-4</v>
      </c>
      <c r="DU119" s="290">
        <v>178.37</v>
      </c>
      <c r="DV119" s="290" t="s">
        <v>505</v>
      </c>
      <c r="DW119" s="291" t="s">
        <v>510</v>
      </c>
      <c r="DX119" s="81" t="s">
        <v>510</v>
      </c>
    </row>
    <row r="120" spans="121:134" thickTop="1" thickBot="1" x14ac:dyDescent="0.3">
      <c r="DQ120" s="290" t="s">
        <v>506</v>
      </c>
      <c r="DR120" s="290" t="s">
        <v>519</v>
      </c>
      <c r="DS120" s="291">
        <v>5.5800000000000002E-2</v>
      </c>
      <c r="DT120" s="291">
        <v>2.8699999999999998E-4</v>
      </c>
      <c r="DU120" s="290">
        <v>194.09</v>
      </c>
      <c r="DV120" s="290" t="s">
        <v>505</v>
      </c>
      <c r="DW120" s="291" t="s">
        <v>510</v>
      </c>
      <c r="DX120" s="81" t="s">
        <v>510</v>
      </c>
    </row>
    <row r="121" spans="121:134" thickTop="1" thickBot="1" x14ac:dyDescent="0.3">
      <c r="DQ121" s="290" t="s">
        <v>506</v>
      </c>
      <c r="DR121" s="290" t="s">
        <v>492</v>
      </c>
      <c r="DS121" s="291">
        <v>-5.89</v>
      </c>
      <c r="DT121" s="291">
        <v>1.78E-2</v>
      </c>
      <c r="DU121" s="290">
        <v>-330.85</v>
      </c>
      <c r="DV121" s="290" t="s">
        <v>505</v>
      </c>
      <c r="DW121" s="291" t="s">
        <v>510</v>
      </c>
      <c r="DX121" s="81" t="s">
        <v>510</v>
      </c>
    </row>
    <row r="122" spans="121:134" thickTop="1" thickBot="1" x14ac:dyDescent="0.3">
      <c r="DQ122" s="290" t="s">
        <v>506</v>
      </c>
      <c r="DR122" s="290" t="s">
        <v>520</v>
      </c>
      <c r="DS122" s="291">
        <v>-5.92</v>
      </c>
      <c r="DT122" s="291">
        <v>1.61E-2</v>
      </c>
      <c r="DU122" s="290">
        <v>-368.65</v>
      </c>
      <c r="DV122" s="290" t="s">
        <v>505</v>
      </c>
      <c r="DW122" s="291" t="s">
        <v>510</v>
      </c>
      <c r="DX122" s="81" t="s">
        <v>510</v>
      </c>
    </row>
    <row r="123" spans="121:134" thickTop="1" thickBot="1" x14ac:dyDescent="0.3">
      <c r="DQ123" s="290" t="s">
        <v>506</v>
      </c>
      <c r="DR123" s="290" t="s">
        <v>429</v>
      </c>
      <c r="DS123" s="291">
        <v>86.4</v>
      </c>
      <c r="DT123" s="291">
        <v>0.44400000000000001</v>
      </c>
      <c r="DU123" s="290">
        <v>194.67</v>
      </c>
      <c r="DV123" s="290" t="s">
        <v>505</v>
      </c>
      <c r="DW123" s="291" t="s">
        <v>510</v>
      </c>
      <c r="DX123" s="81" t="s">
        <v>510</v>
      </c>
    </row>
    <row r="124" spans="121:134" thickTop="1" thickBot="1" x14ac:dyDescent="0.3">
      <c r="DQ124" s="290" t="s">
        <v>506</v>
      </c>
      <c r="DR124" s="290" t="s">
        <v>430</v>
      </c>
      <c r="DS124" s="291">
        <v>1.2899999999999999E-3</v>
      </c>
      <c r="DT124" s="291">
        <v>0.24399999999999999</v>
      </c>
      <c r="DU124" s="290">
        <v>0.01</v>
      </c>
      <c r="DV124" s="290">
        <v>1</v>
      </c>
      <c r="DW124" s="291"/>
    </row>
    <row r="125" spans="121:134" thickTop="1" thickBot="1" x14ac:dyDescent="0.3">
      <c r="DQ125" s="290" t="s">
        <v>506</v>
      </c>
      <c r="DR125" s="290" t="s">
        <v>431</v>
      </c>
      <c r="DS125" s="291">
        <v>119</v>
      </c>
      <c r="DT125" s="291">
        <v>1.38</v>
      </c>
      <c r="DU125" s="290">
        <v>86.53</v>
      </c>
      <c r="DV125" s="290" t="s">
        <v>505</v>
      </c>
      <c r="DW125" s="291" t="s">
        <v>510</v>
      </c>
      <c r="DX125" s="81">
        <v>0.01</v>
      </c>
      <c r="ED125" s="81" t="s">
        <v>564</v>
      </c>
    </row>
    <row r="126" spans="121:134" thickTop="1" thickBot="1" x14ac:dyDescent="0.3">
      <c r="DQ126" s="290" t="s">
        <v>506</v>
      </c>
      <c r="DR126" s="290" t="s">
        <v>559</v>
      </c>
    </row>
    <row r="127" spans="121:134" thickTop="1" thickBot="1" x14ac:dyDescent="0.3">
      <c r="DQ127" s="290" t="s">
        <v>506</v>
      </c>
      <c r="DR127" s="290" t="s">
        <v>560</v>
      </c>
      <c r="DS127" s="290" t="s">
        <v>561</v>
      </c>
      <c r="DT127" s="290">
        <v>0</v>
      </c>
      <c r="DU127" s="290" t="s">
        <v>562</v>
      </c>
      <c r="DV127" s="290">
        <v>1E-3</v>
      </c>
      <c r="DW127" s="290" t="s">
        <v>563</v>
      </c>
    </row>
  </sheetData>
  <mergeCells count="7">
    <mergeCell ref="E36:F36"/>
    <mergeCell ref="A1:G1"/>
    <mergeCell ref="A3:H3"/>
    <mergeCell ref="K3:U3"/>
    <mergeCell ref="W3:AH3"/>
    <mergeCell ref="L4:P4"/>
    <mergeCell ref="E33:F33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topLeftCell="A115" zoomScaleNormal="100" workbookViewId="0">
      <selection activeCell="B140" sqref="B140"/>
    </sheetView>
  </sheetViews>
  <sheetFormatPr defaultRowHeight="15" x14ac:dyDescent="0.25"/>
  <cols>
    <col min="1" max="3" width="9.140625" style="3"/>
    <col min="4" max="4" width="20" style="3"/>
    <col min="5" max="1025" width="9.140625" style="3"/>
  </cols>
  <sheetData>
    <row r="1" spans="1:26" ht="20.25" customHeight="1" x14ac:dyDescent="0.25">
      <c r="A1" s="341" t="s">
        <v>161</v>
      </c>
      <c r="B1" s="341"/>
      <c r="C1" s="341"/>
      <c r="D1" s="341"/>
      <c r="E1" s="341"/>
      <c r="F1" s="341"/>
      <c r="G1" s="341"/>
      <c r="H1" s="341"/>
      <c r="I1" s="341"/>
      <c r="J1" s="91"/>
      <c r="K1" s="91"/>
      <c r="L1" s="91"/>
      <c r="M1" s="91"/>
      <c r="N1" s="91"/>
      <c r="O1" s="91"/>
      <c r="P1" s="91"/>
    </row>
    <row r="2" spans="1:26" ht="15.75" customHeight="1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26" ht="15.75" customHeight="1" x14ac:dyDescent="0.25">
      <c r="A3" s="91" t="s">
        <v>162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26" ht="15.75" customHeight="1" x14ac:dyDescent="0.25">
      <c r="A4" s="92" t="s">
        <v>163</v>
      </c>
      <c r="B4" s="92">
        <v>-8</v>
      </c>
      <c r="C4" s="92" t="s">
        <v>164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U4" s="93"/>
      <c r="V4" s="75"/>
      <c r="W4" s="75"/>
      <c r="X4" s="75"/>
      <c r="Y4" s="94"/>
    </row>
    <row r="5" spans="1:26" ht="18" customHeight="1" x14ac:dyDescent="0.25">
      <c r="A5" s="93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94"/>
      <c r="U5" s="95"/>
      <c r="V5" s="338" t="s">
        <v>165</v>
      </c>
      <c r="W5" s="338"/>
      <c r="X5" s="338"/>
      <c r="Y5" s="96"/>
    </row>
    <row r="6" spans="1:26" ht="18.75" customHeight="1" x14ac:dyDescent="0.3">
      <c r="A6" s="97" t="s">
        <v>166</v>
      </c>
      <c r="B6" s="92">
        <v>1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6"/>
      <c r="U6" s="95"/>
      <c r="V6" s="99" t="s">
        <v>166</v>
      </c>
      <c r="W6" s="100" t="s">
        <v>167</v>
      </c>
      <c r="X6" s="75"/>
      <c r="Y6" s="96"/>
    </row>
    <row r="7" spans="1:26" ht="16.5" customHeight="1" x14ac:dyDescent="0.25">
      <c r="A7" s="343" t="s">
        <v>168</v>
      </c>
      <c r="B7" s="343"/>
      <c r="C7" s="343"/>
      <c r="D7" s="343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94"/>
      <c r="U7" s="95"/>
      <c r="V7" s="101">
        <f>B6</f>
        <v>1</v>
      </c>
      <c r="W7" s="102">
        <f>B73</f>
        <v>7301.598667630069</v>
      </c>
      <c r="X7" s="98" t="s">
        <v>169</v>
      </c>
      <c r="Y7" s="96"/>
      <c r="Z7" s="3">
        <f>0.7*W7</f>
        <v>5111.1190673410483</v>
      </c>
    </row>
    <row r="8" spans="1:26" ht="15" customHeight="1" x14ac:dyDescent="0.25">
      <c r="A8" s="95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6"/>
      <c r="U8" s="95"/>
      <c r="V8" s="101">
        <f>B78</f>
        <v>2</v>
      </c>
      <c r="W8" s="102">
        <f>B152</f>
        <v>6275.5794682436572</v>
      </c>
      <c r="X8" s="98" t="s">
        <v>169</v>
      </c>
      <c r="Y8" s="96"/>
      <c r="Z8" s="3">
        <f>0.7*W8</f>
        <v>4392.9056277705595</v>
      </c>
    </row>
    <row r="9" spans="1:26" ht="15" customHeight="1" x14ac:dyDescent="0.25">
      <c r="A9" s="103" t="s">
        <v>170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6"/>
      <c r="U9" s="95"/>
      <c r="V9" s="101">
        <f>B158</f>
        <v>3</v>
      </c>
      <c r="W9" s="102"/>
      <c r="X9" s="98" t="s">
        <v>169</v>
      </c>
      <c r="Y9" s="96"/>
    </row>
    <row r="10" spans="1:26" ht="15" customHeight="1" x14ac:dyDescent="0.25">
      <c r="A10" s="95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6"/>
      <c r="U10" s="95"/>
      <c r="V10" s="101">
        <f>B237</f>
        <v>4</v>
      </c>
      <c r="W10" s="102"/>
      <c r="X10" s="98" t="s">
        <v>169</v>
      </c>
      <c r="Y10" s="96"/>
    </row>
    <row r="11" spans="1:26" ht="15.75" customHeight="1" x14ac:dyDescent="0.25">
      <c r="A11" s="95"/>
      <c r="B11" s="104" t="s">
        <v>10</v>
      </c>
      <c r="C11" s="104" t="s">
        <v>171</v>
      </c>
      <c r="D11" s="104" t="s">
        <v>172</v>
      </c>
      <c r="E11" s="104" t="s">
        <v>173</v>
      </c>
      <c r="F11" s="104" t="s">
        <v>174</v>
      </c>
      <c r="G11" s="104" t="s">
        <v>16</v>
      </c>
      <c r="H11" s="105" t="s">
        <v>17</v>
      </c>
      <c r="I11" s="105" t="s">
        <v>175</v>
      </c>
      <c r="J11" s="98"/>
      <c r="K11" s="98"/>
      <c r="L11" s="98"/>
      <c r="M11" s="98"/>
      <c r="N11" s="98"/>
      <c r="O11" s="98"/>
      <c r="P11" s="96"/>
      <c r="U11" s="95"/>
      <c r="V11" s="101">
        <f>B316</f>
        <v>5</v>
      </c>
      <c r="W11" s="102"/>
      <c r="X11" s="98" t="s">
        <v>169</v>
      </c>
      <c r="Y11" s="96"/>
    </row>
    <row r="12" spans="1:26" ht="16.5" customHeight="1" x14ac:dyDescent="0.25">
      <c r="A12" s="95"/>
      <c r="B12" s="106" t="str">
        <f>'Gebouwgegevens Tabula 2zone'!K6</f>
        <v>W1</v>
      </c>
      <c r="C12" s="107">
        <f>VLOOKUP(B12,'Gebouwgegevens Tabula 2zone'!$K$5:$R$83,3,0)</f>
        <v>1</v>
      </c>
      <c r="D12" s="107" t="str">
        <f>VLOOKUP(B12,'Gebouwgegevens Tabula 2zone'!$K$5:$R$83,4,0)</f>
        <v>Wall External</v>
      </c>
      <c r="E12" s="107">
        <f>VLOOKUP(B12,'Gebouwgegevens Tabula 2zone'!$K$5:$R$83,5,0)</f>
        <v>17.590457494591035</v>
      </c>
      <c r="F12" s="107" t="str">
        <f>VLOOKUP(B12,'Gebouwgegevens Tabula 2zone'!$K$5:$R$83,6,0)</f>
        <v>front</v>
      </c>
      <c r="G12" s="107">
        <f>VLOOKUP(B12,'Gebouwgegevens Tabula 2zone'!$K$5:$R$83,7,0)</f>
        <v>0.59788861556532236</v>
      </c>
      <c r="H12" s="108">
        <f>VLOOKUP(B12,'Gebouwgegevens Tabula 2zone'!$K$5:$R$83,8,0)</f>
        <v>10.517134278601683</v>
      </c>
      <c r="I12" s="108">
        <v>1</v>
      </c>
      <c r="J12" s="98"/>
      <c r="K12" s="98"/>
      <c r="L12" s="98"/>
      <c r="M12" s="98"/>
      <c r="N12" s="98"/>
      <c r="O12" s="98"/>
      <c r="P12" s="96"/>
      <c r="U12" s="95"/>
      <c r="V12" s="101">
        <f>6</f>
        <v>6</v>
      </c>
      <c r="W12" s="102"/>
      <c r="X12" s="98" t="s">
        <v>169</v>
      </c>
      <c r="Y12" s="96"/>
    </row>
    <row r="13" spans="1:26" ht="16.5" customHeight="1" x14ac:dyDescent="0.25">
      <c r="A13" s="95"/>
      <c r="B13" s="106" t="str">
        <f>'Gebouwgegevens Tabula 2zone'!K7</f>
        <v>W2</v>
      </c>
      <c r="C13" s="107">
        <f>VLOOKUP(B13,'Gebouwgegevens Tabula 2zone'!$K$5:$R$83,3,0)</f>
        <v>1</v>
      </c>
      <c r="D13" s="107" t="str">
        <f>VLOOKUP(B13,'Gebouwgegevens Tabula 2zone'!$K$5:$R$83,4,0)</f>
        <v>Wall External</v>
      </c>
      <c r="E13" s="107">
        <f>VLOOKUP(B13,'Gebouwgegevens Tabula 2zone'!$K$5:$R$83,5,0)</f>
        <v>30.921227867960802</v>
      </c>
      <c r="F13" s="107" t="str">
        <f>VLOOKUP(B13,'Gebouwgegevens Tabula 2zone'!$K$5:$R$83,6,0)</f>
        <v>right</v>
      </c>
      <c r="G13" s="107">
        <f>VLOOKUP(B13,'Gebouwgegevens Tabula 2zone'!$K$5:$R$83,7,0)</f>
        <v>0.59788861556532236</v>
      </c>
      <c r="H13" s="108">
        <f>VLOOKUP(B13,'Gebouwgegevens Tabula 2zone'!$K$5:$R$83,8,0)</f>
        <v>18.487450121554946</v>
      </c>
      <c r="I13" s="108">
        <v>1</v>
      </c>
      <c r="J13" s="98"/>
      <c r="K13" s="98"/>
      <c r="L13" s="98"/>
      <c r="M13" s="98"/>
      <c r="N13" s="98"/>
      <c r="O13" s="98"/>
      <c r="P13" s="96"/>
      <c r="U13" s="95"/>
      <c r="V13" s="101">
        <v>7</v>
      </c>
      <c r="W13" s="102"/>
      <c r="X13" s="98" t="s">
        <v>169</v>
      </c>
      <c r="Y13" s="96"/>
    </row>
    <row r="14" spans="1:26" ht="16.5" customHeight="1" x14ac:dyDescent="0.25">
      <c r="A14" s="95"/>
      <c r="B14" s="106" t="str">
        <f>'Gebouwgegevens Tabula 2zone'!K8</f>
        <v>W3</v>
      </c>
      <c r="C14" s="107">
        <f>VLOOKUP(B14,'Gebouwgegevens Tabula 2zone'!$K$5:$R$83,3,0)</f>
        <v>1</v>
      </c>
      <c r="D14" s="107" t="str">
        <f>VLOOKUP(B14,'Gebouwgegevens Tabula 2zone'!$K$5:$R$83,4,0)</f>
        <v>Wall External</v>
      </c>
      <c r="E14" s="107">
        <f>VLOOKUP(B14,'Gebouwgegevens Tabula 2zone'!$K$5:$R$83,5,0)</f>
        <v>17.590457494591035</v>
      </c>
      <c r="F14" s="107" t="str">
        <f>VLOOKUP(B14,'Gebouwgegevens Tabula 2zone'!$K$5:$R$83,6,0)</f>
        <v>back</v>
      </c>
      <c r="G14" s="107">
        <f>VLOOKUP(B14,'Gebouwgegevens Tabula 2zone'!$K$5:$R$83,7,0)</f>
        <v>0.59788861556532236</v>
      </c>
      <c r="H14" s="108">
        <f>VLOOKUP(B14,'Gebouwgegevens Tabula 2zone'!$K$5:$R$83,8,0)</f>
        <v>10.517134278601683</v>
      </c>
      <c r="I14" s="108">
        <v>1</v>
      </c>
      <c r="J14" s="98"/>
      <c r="K14" s="98"/>
      <c r="L14" s="98"/>
      <c r="M14" s="98"/>
      <c r="N14" s="98"/>
      <c r="O14" s="98"/>
      <c r="P14" s="96"/>
      <c r="U14" s="95"/>
      <c r="V14" s="101">
        <v>8</v>
      </c>
      <c r="W14" s="102"/>
      <c r="X14" s="98" t="s">
        <v>169</v>
      </c>
      <c r="Y14" s="96"/>
    </row>
    <row r="15" spans="1:26" ht="16.5" customHeight="1" x14ac:dyDescent="0.25">
      <c r="A15" s="95"/>
      <c r="B15" s="106" t="str">
        <f>'Gebouwgegevens Tabula 2zone'!K9</f>
        <v>W4</v>
      </c>
      <c r="C15" s="107">
        <f>VLOOKUP(B15,'Gebouwgegevens Tabula 2zone'!$K$5:$R$83,3,0)</f>
        <v>1</v>
      </c>
      <c r="D15" s="107" t="str">
        <f>VLOOKUP(B15,'Gebouwgegevens Tabula 2zone'!$K$5:$R$83,4,0)</f>
        <v>Wall External</v>
      </c>
      <c r="E15" s="107">
        <f>VLOOKUP(B15,'Gebouwgegevens Tabula 2zone'!$K$5:$R$83,5,0)</f>
        <v>0</v>
      </c>
      <c r="F15" s="107" t="str">
        <f>VLOOKUP(B15,'Gebouwgegevens Tabula 2zone'!$K$5:$R$83,6,0)</f>
        <v>left</v>
      </c>
      <c r="G15" s="107">
        <f>VLOOKUP(B15,'Gebouwgegevens Tabula 2zone'!$K$5:$R$83,7,0)</f>
        <v>0.59788861556532236</v>
      </c>
      <c r="H15" s="108">
        <f>VLOOKUP(B15,'Gebouwgegevens Tabula 2zone'!$K$5:$R$83,8,0)</f>
        <v>0</v>
      </c>
      <c r="I15" s="108">
        <v>1</v>
      </c>
      <c r="J15" s="98"/>
      <c r="K15" s="98"/>
      <c r="L15" s="98"/>
      <c r="M15" s="98"/>
      <c r="N15" s="98"/>
      <c r="O15" s="98"/>
      <c r="P15" s="96"/>
      <c r="U15" s="95"/>
      <c r="V15" s="101">
        <v>9</v>
      </c>
      <c r="W15" s="102"/>
      <c r="X15" s="98" t="s">
        <v>169</v>
      </c>
      <c r="Y15" s="96"/>
    </row>
    <row r="16" spans="1:26" ht="16.5" customHeight="1" x14ac:dyDescent="0.25">
      <c r="A16" s="95"/>
      <c r="B16" s="106" t="str">
        <f>'Gebouwgegevens Tabula 2zone'!K10</f>
        <v>W5</v>
      </c>
      <c r="C16" s="107">
        <f>VLOOKUP(B16,'Gebouwgegevens Tabula 2zone'!$K$5:$R$83,3,0)</f>
        <v>1</v>
      </c>
      <c r="D16" s="107" t="str">
        <f>VLOOKUP(B16,'Gebouwgegevens Tabula 2zone'!$K$5:$R$83,4,0)</f>
        <v>Window</v>
      </c>
      <c r="E16" s="107">
        <f>VLOOKUP(B16,'Gebouwgegevens Tabula 2zone'!$K$5:$R$83,5,0)</f>
        <v>4.05</v>
      </c>
      <c r="F16" s="107" t="str">
        <f>VLOOKUP(B16,'Gebouwgegevens Tabula 2zone'!$K$5:$R$83,6,0)</f>
        <v>front</v>
      </c>
      <c r="G16" s="107">
        <f>VLOOKUP(B16,'Gebouwgegevens Tabula 2zone'!$K$5:$R$83,7,0)</f>
        <v>3.5</v>
      </c>
      <c r="H16" s="108">
        <f>VLOOKUP(B16,'Gebouwgegevens Tabula 2zone'!$K$5:$R$83,8,0)</f>
        <v>14.174999999999999</v>
      </c>
      <c r="I16" s="108">
        <v>1</v>
      </c>
      <c r="J16" s="98"/>
      <c r="K16" s="98"/>
      <c r="L16" s="98"/>
      <c r="M16" s="98"/>
      <c r="N16" s="98"/>
      <c r="O16" s="98"/>
      <c r="P16" s="96"/>
      <c r="U16" s="95"/>
      <c r="V16" s="101">
        <v>10</v>
      </c>
      <c r="W16" s="102"/>
      <c r="X16" s="98" t="s">
        <v>169</v>
      </c>
      <c r="Y16" s="96"/>
    </row>
    <row r="17" spans="1:25" ht="16.5" customHeight="1" x14ac:dyDescent="0.25">
      <c r="A17" s="95"/>
      <c r="B17" s="106" t="str">
        <f>'Gebouwgegevens Tabula 2zone'!K11</f>
        <v>W6</v>
      </c>
      <c r="C17" s="107">
        <f>VLOOKUP(B17,'Gebouwgegevens Tabula 2zone'!$K$5:$R$83,3,0)</f>
        <v>1</v>
      </c>
      <c r="D17" s="107" t="str">
        <f>VLOOKUP(B17,'Gebouwgegevens Tabula 2zone'!$K$5:$R$83,4,0)</f>
        <v>Window</v>
      </c>
      <c r="E17" s="107">
        <f>VLOOKUP(B17,'Gebouwgegevens Tabula 2zone'!$K$5:$R$83,5,0)</f>
        <v>3.45</v>
      </c>
      <c r="F17" s="107" t="str">
        <f>VLOOKUP(B17,'Gebouwgegevens Tabula 2zone'!$K$5:$R$83,6,0)</f>
        <v>right</v>
      </c>
      <c r="G17" s="107">
        <f>VLOOKUP(B17,'Gebouwgegevens Tabula 2zone'!$K$5:$R$83,7,0)</f>
        <v>3.5</v>
      </c>
      <c r="H17" s="108">
        <f>VLOOKUP(B17,'Gebouwgegevens Tabula 2zone'!$K$5:$R$83,8,0)</f>
        <v>12.075000000000001</v>
      </c>
      <c r="I17" s="108">
        <v>1</v>
      </c>
      <c r="J17" s="98"/>
      <c r="K17" s="98"/>
      <c r="L17" s="98"/>
      <c r="M17" s="98"/>
      <c r="N17" s="98"/>
      <c r="O17" s="98"/>
      <c r="P17" s="96"/>
      <c r="U17" s="95"/>
      <c r="V17" s="101"/>
      <c r="W17" s="102"/>
      <c r="X17" s="98"/>
      <c r="Y17" s="96"/>
    </row>
    <row r="18" spans="1:25" ht="16.5" customHeight="1" x14ac:dyDescent="0.25">
      <c r="A18" s="95"/>
      <c r="B18" s="106" t="str">
        <f>'Gebouwgegevens Tabula 2zone'!K12</f>
        <v>W7</v>
      </c>
      <c r="C18" s="107">
        <f>VLOOKUP(B18,'Gebouwgegevens Tabula 2zone'!$K$5:$R$83,3,0)</f>
        <v>1</v>
      </c>
      <c r="D18" s="107" t="str">
        <f>VLOOKUP(B18,'Gebouwgegevens Tabula 2zone'!$K$5:$R$83,4,0)</f>
        <v>Window</v>
      </c>
      <c r="E18" s="107">
        <f>VLOOKUP(B18,'Gebouwgegevens Tabula 2zone'!$K$5:$R$83,5,0)</f>
        <v>4.5</v>
      </c>
      <c r="F18" s="107" t="str">
        <f>VLOOKUP(B18,'Gebouwgegevens Tabula 2zone'!$K$5:$R$83,6,0)</f>
        <v>back</v>
      </c>
      <c r="G18" s="107">
        <f>VLOOKUP(B18,'Gebouwgegevens Tabula 2zone'!$K$5:$R$83,7,0)</f>
        <v>3.5</v>
      </c>
      <c r="H18" s="108">
        <f>VLOOKUP(B18,'Gebouwgegevens Tabula 2zone'!$K$5:$R$83,8,0)</f>
        <v>15.75</v>
      </c>
      <c r="I18" s="108">
        <v>1</v>
      </c>
      <c r="J18" s="98"/>
      <c r="K18" s="98"/>
      <c r="L18" s="98"/>
      <c r="M18" s="98"/>
      <c r="N18" s="98"/>
      <c r="O18" s="98"/>
      <c r="P18" s="96"/>
      <c r="U18" s="95"/>
      <c r="V18" s="99" t="s">
        <v>176</v>
      </c>
      <c r="W18" s="100">
        <f>SUM(W7:W16)</f>
        <v>13577.178135873726</v>
      </c>
      <c r="X18" s="75" t="s">
        <v>169</v>
      </c>
      <c r="Y18" s="96"/>
    </row>
    <row r="19" spans="1:25" ht="16.5" customHeight="1" x14ac:dyDescent="0.25">
      <c r="A19" s="95"/>
      <c r="B19" s="106" t="str">
        <f>'Gebouwgegevens Tabula 2zone'!K13</f>
        <v>W8</v>
      </c>
      <c r="C19" s="107">
        <f>VLOOKUP(B19,'Gebouwgegevens Tabula 2zone'!$K$5:$R$83,3,0)</f>
        <v>1</v>
      </c>
      <c r="D19" s="107" t="str">
        <f>VLOOKUP(B19,'Gebouwgegevens Tabula 2zone'!$K$5:$R$83,4,0)</f>
        <v>Window</v>
      </c>
      <c r="E19" s="107">
        <f>VLOOKUP(B19,'Gebouwgegevens Tabula 2zone'!$K$5:$R$83,5,0)</f>
        <v>5.05</v>
      </c>
      <c r="F19" s="107" t="str">
        <f>VLOOKUP(B19,'Gebouwgegevens Tabula 2zone'!$K$5:$R$83,6,0)</f>
        <v>left</v>
      </c>
      <c r="G19" s="107">
        <f>VLOOKUP(B19,'Gebouwgegevens Tabula 2zone'!$K$5:$R$83,7,0)</f>
        <v>3.5</v>
      </c>
      <c r="H19" s="108">
        <f>VLOOKUP(B19,'Gebouwgegevens Tabula 2zone'!$K$5:$R$83,8,0)</f>
        <v>17.675000000000001</v>
      </c>
      <c r="I19" s="108">
        <v>1</v>
      </c>
      <c r="J19" s="98"/>
      <c r="K19" s="98"/>
      <c r="L19" s="98"/>
      <c r="M19" s="98"/>
      <c r="N19" s="98"/>
      <c r="O19" s="98"/>
      <c r="P19" s="96"/>
      <c r="U19" s="109"/>
      <c r="V19" s="110"/>
      <c r="W19" s="110"/>
      <c r="X19" s="110"/>
      <c r="Y19" s="111"/>
    </row>
    <row r="20" spans="1:25" ht="16.5" customHeight="1" x14ac:dyDescent="0.25">
      <c r="A20" s="95"/>
      <c r="B20" s="106"/>
      <c r="C20" s="107"/>
      <c r="D20" s="107"/>
      <c r="E20" s="107"/>
      <c r="F20" s="107"/>
      <c r="G20" s="107"/>
      <c r="H20" s="108"/>
      <c r="I20" s="108"/>
      <c r="J20" s="98"/>
      <c r="K20" s="98"/>
      <c r="L20" s="98"/>
      <c r="M20" s="98"/>
      <c r="N20" s="98"/>
      <c r="O20" s="98"/>
      <c r="P20" s="96"/>
      <c r="U20" s="98"/>
      <c r="V20" s="98"/>
      <c r="W20" s="98"/>
      <c r="X20" s="98"/>
      <c r="Y20" s="98"/>
    </row>
    <row r="21" spans="1:25" ht="16.5" customHeight="1" x14ac:dyDescent="0.25">
      <c r="A21" s="95"/>
      <c r="B21" s="106" t="str">
        <f>'Gebouwgegevens Allacker'!J15</f>
        <v>W10</v>
      </c>
      <c r="C21" s="107">
        <f>VLOOKUP(B21,'Gebouwgegevens Tabula 2zone'!$K$5:$R$83,3,0)</f>
        <v>1</v>
      </c>
      <c r="D21" s="107" t="str">
        <f>VLOOKUP(B21,'Gebouwgegevens Tabula 2zone'!$K$5:$R$83,4,0)</f>
        <v>Roof</v>
      </c>
      <c r="E21" s="107">
        <f>VLOOKUP(B21,'Gebouwgegevens Tabula 2zone'!$K$5:$R$83,5,0)</f>
        <v>0</v>
      </c>
      <c r="F21" s="107">
        <f>VLOOKUP(B21,'Gebouwgegevens Tabula 2zone'!$K$5:$R$83,6,0)</f>
        <v>0</v>
      </c>
      <c r="G21" s="107">
        <f>VLOOKUP(B21,'Gebouwgegevens Tabula 2zone'!$K$5:$R$83,7,0)</f>
        <v>0.59974793202856758</v>
      </c>
      <c r="H21" s="108">
        <f>VLOOKUP(B21,'Gebouwgegevens Tabula 2zone'!$K$5:$R$83,8,0)</f>
        <v>0</v>
      </c>
      <c r="I21" s="108">
        <v>1</v>
      </c>
      <c r="J21" s="98"/>
      <c r="K21" s="98"/>
      <c r="L21" s="98"/>
      <c r="M21" s="98"/>
      <c r="N21" s="98"/>
      <c r="O21" s="98"/>
      <c r="P21" s="96"/>
      <c r="U21" s="98"/>
      <c r="V21" s="98" t="s">
        <v>266</v>
      </c>
      <c r="W21" s="98">
        <f>1.1*W7</f>
        <v>8031.7585343930768</v>
      </c>
      <c r="X21" s="98"/>
      <c r="Y21" s="98"/>
    </row>
    <row r="22" spans="1:25" ht="16.5" customHeight="1" x14ac:dyDescent="0.25">
      <c r="A22" s="95"/>
      <c r="B22" s="106" t="s">
        <v>67</v>
      </c>
      <c r="C22" s="107">
        <f>VLOOKUP(B22,'Gebouwgegevens Tabula 2zone'!$K$5:$R$83,3,0)</f>
        <v>1</v>
      </c>
      <c r="D22" s="107" t="str">
        <f>VLOOKUP(B22,'Gebouwgegevens Tabula 2zone'!$K$5:$R$83,4,0)</f>
        <v>Door</v>
      </c>
      <c r="E22" s="107">
        <f>VLOOKUP(B22,'Gebouwgegevens Tabula 2zone'!$K$5:$R$83,5,0)</f>
        <v>9.5</v>
      </c>
      <c r="F22" s="107">
        <f>VLOOKUP(B22,'Gebouwgegevens Tabula 2zone'!$K$5:$R$83,6,0)</f>
        <v>0</v>
      </c>
      <c r="G22" s="107">
        <f>VLOOKUP(B22,'Gebouwgegevens Tabula 2zone'!$K$5:$R$83,7,0)</f>
        <v>3.5</v>
      </c>
      <c r="H22" s="108">
        <f>VLOOKUP(B22,'Gebouwgegevens Tabula 2zone'!$K$5:$R$83,8,0)</f>
        <v>33.25</v>
      </c>
      <c r="I22" s="108">
        <v>1</v>
      </c>
      <c r="J22" s="98"/>
      <c r="K22" s="98"/>
      <c r="L22" s="98"/>
      <c r="M22" s="98"/>
      <c r="N22" s="98"/>
      <c r="O22" s="98"/>
      <c r="P22" s="96"/>
      <c r="U22" s="98"/>
      <c r="V22" s="98"/>
      <c r="W22" s="98"/>
      <c r="X22" s="98"/>
      <c r="Y22" s="98"/>
    </row>
    <row r="23" spans="1:25" ht="16.5" customHeight="1" x14ac:dyDescent="0.25">
      <c r="A23" s="95"/>
      <c r="B23" s="106"/>
      <c r="C23" s="107"/>
      <c r="D23" s="107"/>
      <c r="E23" s="107"/>
      <c r="F23" s="107"/>
      <c r="G23" s="107"/>
      <c r="H23" s="108"/>
      <c r="I23" s="108"/>
      <c r="J23" s="98"/>
      <c r="K23" s="98"/>
      <c r="L23" s="98"/>
      <c r="M23" s="98"/>
      <c r="N23" s="98"/>
      <c r="O23" s="98"/>
      <c r="P23" s="96"/>
      <c r="U23" s="98"/>
      <c r="V23" s="98"/>
      <c r="W23" s="98"/>
      <c r="X23" s="98"/>
      <c r="Y23" s="98"/>
    </row>
    <row r="24" spans="1:25" ht="15.75" customHeight="1" x14ac:dyDescent="0.25">
      <c r="A24" s="95"/>
      <c r="B24" s="112"/>
      <c r="C24" s="113"/>
      <c r="D24" s="113"/>
      <c r="E24" s="113"/>
      <c r="F24" s="113"/>
      <c r="G24" s="113"/>
      <c r="H24" s="108"/>
      <c r="I24" s="108"/>
      <c r="J24" s="98"/>
      <c r="K24" s="98"/>
      <c r="L24" s="98"/>
      <c r="M24" s="98"/>
      <c r="N24" s="98"/>
      <c r="O24" s="98"/>
      <c r="P24" s="96"/>
      <c r="U24" s="98"/>
      <c r="V24" s="98"/>
      <c r="W24" s="98"/>
      <c r="X24" s="98"/>
      <c r="Y24" s="98"/>
    </row>
    <row r="25" spans="1:25" ht="15" customHeight="1" x14ac:dyDescent="0.25">
      <c r="A25" s="95"/>
      <c r="B25" s="112"/>
      <c r="C25" s="113"/>
      <c r="D25" s="113"/>
      <c r="E25" s="113"/>
      <c r="F25" s="113"/>
      <c r="G25" s="113"/>
      <c r="H25" s="108"/>
      <c r="I25" s="108"/>
      <c r="J25" s="98"/>
      <c r="K25" s="98"/>
      <c r="L25" s="98"/>
      <c r="M25" s="98"/>
      <c r="N25" s="98"/>
      <c r="O25" s="98"/>
      <c r="P25" s="96"/>
      <c r="U25" s="98"/>
      <c r="V25" s="98"/>
      <c r="W25" s="98"/>
      <c r="X25" s="98"/>
      <c r="Y25" s="98"/>
    </row>
    <row r="26" spans="1:25" ht="15" customHeight="1" x14ac:dyDescent="0.25">
      <c r="A26" s="103" t="s">
        <v>177</v>
      </c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6"/>
    </row>
    <row r="27" spans="1:25" ht="15.75" customHeight="1" x14ac:dyDescent="0.25">
      <c r="A27" s="95"/>
      <c r="B27" s="58" t="s">
        <v>10</v>
      </c>
      <c r="C27" s="58" t="s">
        <v>178</v>
      </c>
      <c r="D27" s="58" t="s">
        <v>172</v>
      </c>
      <c r="E27" s="58" t="s">
        <v>179</v>
      </c>
      <c r="F27" s="58" t="s">
        <v>16</v>
      </c>
      <c r="G27" s="114" t="s">
        <v>17</v>
      </c>
      <c r="H27" s="114" t="s">
        <v>175</v>
      </c>
      <c r="I27" s="58" t="s">
        <v>180</v>
      </c>
      <c r="J27" s="58" t="s">
        <v>181</v>
      </c>
      <c r="K27" s="58" t="s">
        <v>182</v>
      </c>
      <c r="L27" s="115" t="s">
        <v>183</v>
      </c>
      <c r="M27" s="115" t="s">
        <v>184</v>
      </c>
      <c r="N27" s="115" t="s">
        <v>185</v>
      </c>
      <c r="O27" s="98"/>
      <c r="P27" s="96"/>
    </row>
    <row r="28" spans="1:25" ht="16.5" customHeight="1" x14ac:dyDescent="0.25">
      <c r="A28" s="95"/>
      <c r="B28" s="116" t="s">
        <v>61</v>
      </c>
      <c r="C28" s="117">
        <f>VLOOKUP(B28,'Gebouwgegevens Tabula 2zone'!$K$5:$R$83,3,0)</f>
        <v>1</v>
      </c>
      <c r="D28" s="117" t="str">
        <f>VLOOKUP(B28,'Gebouwgegevens Tabula 2zone'!$K$5:$R$83,4,0)</f>
        <v>Floor</v>
      </c>
      <c r="E28" s="117">
        <f>VLOOKUP(B28,'Gebouwgegevens Tabula 2zone'!$K$5:$R$83,5,0)</f>
        <v>103.4</v>
      </c>
      <c r="F28" s="117">
        <f>VLOOKUP(B28,'Gebouwgegevens Tabula 2zone'!$K$5:$R$83,7,0)</f>
        <v>0.66596194503171247</v>
      </c>
      <c r="G28" s="118">
        <f>VLOOKUP(B28,'Gebouwgegevens Tabula 2zone'!$K$5:$R$83,8,0)</f>
        <v>68.860465116279073</v>
      </c>
      <c r="H28" s="118">
        <f>N28/F28*1.45*(G34-12)/(G34+8)</f>
        <v>0.25449302555020187</v>
      </c>
      <c r="I28" s="117">
        <f>'Gebouwgegevens Tabula 2zone'!O14</f>
        <v>103.4</v>
      </c>
      <c r="J28" s="116">
        <f>SQRT(I28)*4</f>
        <v>40.67431622043572</v>
      </c>
      <c r="K28" s="116">
        <f>SUM('Gebouwgegevens Tabula 2zone'!Z17:Z19)</f>
        <v>0.155</v>
      </c>
      <c r="L28" s="119">
        <f>I28/(0.5*J28)</f>
        <v>5.0842895275544642</v>
      </c>
      <c r="M28" s="119">
        <f>K28+2*(1/F28)</f>
        <v>3.158174603174603</v>
      </c>
      <c r="N28" s="120">
        <f>IF(M28&lt;L28,2*2/(PI()*L28+M28)*LN(PI()*L28/M28+1),2/(0.457*L28+M28))</f>
        <v>0.37662815620537277</v>
      </c>
      <c r="O28" s="98"/>
      <c r="P28" s="96"/>
    </row>
    <row r="29" spans="1:25" ht="15.75" customHeight="1" x14ac:dyDescent="0.25">
      <c r="A29" s="95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8"/>
      <c r="P29" s="96"/>
    </row>
    <row r="30" spans="1:25" ht="15" customHeight="1" x14ac:dyDescent="0.25">
      <c r="A30" s="95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6"/>
    </row>
    <row r="31" spans="1:25" ht="15" customHeight="1" x14ac:dyDescent="0.25">
      <c r="A31" s="103" t="s">
        <v>186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6"/>
      <c r="V31" s="3">
        <f>1.1*W18</f>
        <v>14934.895949461101</v>
      </c>
    </row>
    <row r="32" spans="1:25" ht="15.75" customHeight="1" x14ac:dyDescent="0.25">
      <c r="A32" s="95"/>
      <c r="B32" s="58" t="s">
        <v>10</v>
      </c>
      <c r="C32" s="58" t="s">
        <v>187</v>
      </c>
      <c r="D32" s="58" t="s">
        <v>188</v>
      </c>
      <c r="E32" s="58" t="s">
        <v>135</v>
      </c>
      <c r="F32" s="58" t="s">
        <v>189</v>
      </c>
      <c r="G32" s="58" t="s">
        <v>190</v>
      </c>
      <c r="H32" s="58" t="s">
        <v>191</v>
      </c>
      <c r="I32" s="58" t="s">
        <v>16</v>
      </c>
      <c r="J32" s="114" t="s">
        <v>17</v>
      </c>
      <c r="K32" s="114" t="s">
        <v>175</v>
      </c>
      <c r="L32" s="98"/>
      <c r="M32" s="98"/>
      <c r="N32" s="98"/>
      <c r="O32" s="98"/>
      <c r="P32" s="96"/>
    </row>
    <row r="33" spans="1:16" ht="16.5" customHeight="1" x14ac:dyDescent="0.25">
      <c r="A33" s="95"/>
      <c r="B33" s="121" t="s">
        <v>98</v>
      </c>
      <c r="C33" s="122">
        <f>IF(VLOOKUP(B33,'Gebouwgegevens Tabula 2zone'!$K$5:$R$83,2,0)=B$6,VLOOKUP(B33,'Gebouwgegevens Tabula 2zone'!$K$5:$R$83,2,0),VLOOKUP(B33,'Gebouwgegevens Tabula 2zone'!$K$5:$R$83,3,0))</f>
        <v>1</v>
      </c>
      <c r="D33" s="122">
        <f>IF(VLOOKUP(B33,'Gebouwgegevens Tabula 2zone'!$K$5:$R$83,2,0)=B$6,VLOOKUP(B33,'Gebouwgegevens Tabula 2zone'!$K$5:$R$83,3,0),VLOOKUP(B33,'Gebouwgegevens Tabula 2zone'!$K$5:$R$83,2,0))</f>
        <v>2</v>
      </c>
      <c r="E33" s="122" t="str">
        <f>VLOOKUP(B33,'Gebouwgegevens Tabula 2zone'!$K$5:$R$83,4,0)</f>
        <v>Floor internal</v>
      </c>
      <c r="F33" s="122">
        <f>VLOOKUP(B33,'Gebouwgegevens Tabula 2zone'!$K$5:$R$83,5,0)</f>
        <v>89.300000000000011</v>
      </c>
      <c r="G33" s="122">
        <f>VLOOKUP('Verwarming Tabula 2zone'!C33,'Gebouwgegevens Tabula 2zone'!$A$34:$F$45,5,0)</f>
        <v>21</v>
      </c>
      <c r="H33" s="122">
        <f>VLOOKUP('Verwarming Tabula 2zone'!D33,'Gebouwgegevens Tabula 2zone'!$A$34:$F$45,5,0)</f>
        <v>18</v>
      </c>
      <c r="I33" s="122">
        <f>VLOOKUP(B33,'Gebouwgegevens Tabula 2zone'!$K$5:$R$83,7,0)</f>
        <v>1.4549653579676673</v>
      </c>
      <c r="J33" s="118">
        <f>VLOOKUP(B33,'Gebouwgegevens Tabula 2zone'!$K$5:$R$83,8,0)</f>
        <v>129.92840646651271</v>
      </c>
      <c r="K33" s="118">
        <f>(G33-H33)/(G33-$B$4)</f>
        <v>0.10344827586206896</v>
      </c>
      <c r="L33" s="98"/>
      <c r="M33" s="98"/>
      <c r="N33" s="98"/>
      <c r="O33" s="98"/>
      <c r="P33" s="96"/>
    </row>
    <row r="34" spans="1:16" ht="16.5" customHeight="1" x14ac:dyDescent="0.25">
      <c r="A34" s="95"/>
      <c r="B34" s="121" t="s">
        <v>101</v>
      </c>
      <c r="C34" s="122">
        <f>IF(VLOOKUP(B34,'Gebouwgegevens Tabula 2zone'!$K$5:$R$83,2,0)=B$6,VLOOKUP(B34,'Gebouwgegevens Tabula 2zone'!$K$5:$R$83,2,0),VLOOKUP(B34,'Gebouwgegevens Tabula 2zone'!$K$5:$R$83,3,0))</f>
        <v>1</v>
      </c>
      <c r="D34" s="122">
        <f>IF(VLOOKUP(B34,'Gebouwgegevens Tabula 2zone'!$K$5:$R$83,2,0)=B$6,VLOOKUP(B34,'Gebouwgegevens Tabula 2zone'!$K$5:$R$83,3,0),VLOOKUP(B34,'Gebouwgegevens Tabula 2zone'!$K$5:$R$83,2,0))</f>
        <v>1</v>
      </c>
      <c r="E34" s="122" t="str">
        <f>VLOOKUP(B34,'Gebouwgegevens Tabula 2zone'!$K$5:$R$83,4,0)</f>
        <v>Wall internal</v>
      </c>
      <c r="F34" s="122">
        <f>VLOOKUP(B34,'Gebouwgegevens Tabula 2zone'!$K$5:$R$83,5,0)</f>
        <v>66.102142857142866</v>
      </c>
      <c r="G34" s="122">
        <f>VLOOKUP('Verwarming Tabula 2zone'!C34,'Gebouwgegevens Tabula 2zone'!$A$34:$F$45,5,0)</f>
        <v>21</v>
      </c>
      <c r="H34" s="122">
        <f>VLOOKUP('Verwarming Tabula 2zone'!D34,'Gebouwgegevens Tabula 2zone'!$A$34:$F$45,5,0)</f>
        <v>21</v>
      </c>
      <c r="I34" s="122">
        <f>VLOOKUP(B34,'Gebouwgegevens Tabula 2zone'!$K$5:$R$83,7,0)</f>
        <v>1.7363344051446945</v>
      </c>
      <c r="J34" s="118">
        <f>VLOOKUP(B34,'Gebouwgegevens Tabula 2zone'!$K$5:$R$83,8,0)</f>
        <v>114.77542489664677</v>
      </c>
      <c r="K34" s="118">
        <f>(G34-H34)/(G34-$B$4)</f>
        <v>0</v>
      </c>
      <c r="L34" s="98"/>
      <c r="M34" s="98"/>
      <c r="N34" s="98"/>
      <c r="O34" s="98"/>
      <c r="P34" s="96"/>
    </row>
    <row r="35" spans="1:16" ht="16.5" customHeight="1" x14ac:dyDescent="0.25">
      <c r="A35" s="95"/>
      <c r="B35" s="121"/>
      <c r="C35" s="122"/>
      <c r="D35" s="122"/>
      <c r="E35" s="122"/>
      <c r="F35" s="122"/>
      <c r="G35" s="122"/>
      <c r="H35" s="122"/>
      <c r="I35" s="122"/>
      <c r="J35" s="118"/>
      <c r="K35" s="118"/>
      <c r="L35" s="98"/>
      <c r="M35" s="98"/>
      <c r="N35" s="98"/>
      <c r="O35" s="98"/>
      <c r="P35" s="96"/>
    </row>
    <row r="36" spans="1:16" ht="16.5" customHeight="1" x14ac:dyDescent="0.25">
      <c r="A36" s="95"/>
      <c r="B36" s="92"/>
      <c r="C36" s="122"/>
      <c r="D36" s="122"/>
      <c r="E36" s="122"/>
      <c r="F36" s="122"/>
      <c r="G36" s="122"/>
      <c r="H36" s="122"/>
      <c r="I36" s="122"/>
      <c r="J36" s="118"/>
      <c r="K36" s="118"/>
      <c r="L36" s="98"/>
      <c r="M36" s="98"/>
      <c r="N36" s="98"/>
      <c r="O36" s="98"/>
      <c r="P36" s="96"/>
    </row>
    <row r="37" spans="1:16" ht="16.5" customHeight="1" x14ac:dyDescent="0.25">
      <c r="A37" s="95"/>
      <c r="B37" s="123"/>
      <c r="C37" s="122"/>
      <c r="D37" s="122"/>
      <c r="E37" s="122"/>
      <c r="F37" s="122"/>
      <c r="G37" s="122"/>
      <c r="H37" s="122"/>
      <c r="I37" s="122"/>
      <c r="J37" s="118"/>
      <c r="K37" s="118"/>
      <c r="L37" s="98"/>
      <c r="M37" s="98"/>
      <c r="N37" s="98"/>
      <c r="O37" s="98"/>
      <c r="P37" s="96"/>
    </row>
    <row r="38" spans="1:16" ht="16.5" customHeight="1" x14ac:dyDescent="0.25">
      <c r="A38" s="95"/>
      <c r="B38" s="123"/>
      <c r="C38" s="122"/>
      <c r="D38" s="122"/>
      <c r="E38" s="122"/>
      <c r="F38" s="122"/>
      <c r="G38" s="122"/>
      <c r="H38" s="122"/>
      <c r="I38" s="122"/>
      <c r="J38" s="118"/>
      <c r="K38" s="118"/>
      <c r="L38" s="98"/>
      <c r="M38" s="98"/>
      <c r="N38" s="98"/>
      <c r="O38" s="98"/>
      <c r="P38" s="96"/>
    </row>
    <row r="39" spans="1:16" ht="15.75" customHeight="1" x14ac:dyDescent="0.25">
      <c r="A39" s="95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8"/>
      <c r="M39" s="98"/>
      <c r="N39" s="98"/>
      <c r="O39" s="98"/>
      <c r="P39" s="96"/>
    </row>
    <row r="40" spans="1:16" ht="15" customHeight="1" x14ac:dyDescent="0.25">
      <c r="A40" s="95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6"/>
    </row>
    <row r="41" spans="1:16" ht="15.75" customHeight="1" x14ac:dyDescent="0.25">
      <c r="A41" s="103" t="s">
        <v>192</v>
      </c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6"/>
    </row>
    <row r="42" spans="1:16" ht="16.5" customHeight="1" x14ac:dyDescent="0.25">
      <c r="A42" s="124" t="s">
        <v>193</v>
      </c>
      <c r="B42" s="118">
        <f>SUMPRODUCT(H12:H22,I12:I22)+SUMPRODUCT(G28,H28)+SUMPRODUCT(J33:J38,K33:K38)</f>
        <v>163.41209642146114</v>
      </c>
      <c r="C42" s="118" t="s">
        <v>107</v>
      </c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6"/>
    </row>
    <row r="43" spans="1:16" ht="16.5" customHeight="1" x14ac:dyDescent="0.25">
      <c r="A43" s="124" t="s">
        <v>167</v>
      </c>
      <c r="B43" s="118">
        <f>B42*(G33-$B$4)</f>
        <v>4738.9507962223734</v>
      </c>
      <c r="C43" s="118" t="s">
        <v>169</v>
      </c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6"/>
    </row>
    <row r="44" spans="1:16" ht="15.75" customHeight="1" x14ac:dyDescent="0.25">
      <c r="A44" s="109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1"/>
    </row>
    <row r="45" spans="1:16" ht="15.75" customHeight="1" x14ac:dyDescent="0.25">
      <c r="A45" s="343" t="s">
        <v>194</v>
      </c>
      <c r="B45" s="343"/>
      <c r="C45" s="343"/>
      <c r="D45" s="12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94"/>
    </row>
    <row r="46" spans="1:16" ht="15" customHeight="1" x14ac:dyDescent="0.25">
      <c r="A46" s="95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6"/>
    </row>
    <row r="47" spans="1:16" ht="15" customHeight="1" x14ac:dyDescent="0.25">
      <c r="A47" s="126" t="s">
        <v>195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6"/>
    </row>
    <row r="48" spans="1:16" ht="15" customHeight="1" x14ac:dyDescent="0.25">
      <c r="A48" s="127" t="s">
        <v>196</v>
      </c>
      <c r="B48" s="121">
        <f>'Tabula data'!B34</f>
        <v>7.9883097905504146</v>
      </c>
      <c r="C48" s="120" t="s">
        <v>197</v>
      </c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6"/>
    </row>
    <row r="49" spans="1:16" ht="15" customHeight="1" x14ac:dyDescent="0.25">
      <c r="A49" s="127" t="s">
        <v>198</v>
      </c>
      <c r="B49" s="121">
        <v>0.03</v>
      </c>
      <c r="C49" s="120" t="s">
        <v>199</v>
      </c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6"/>
    </row>
    <row r="50" spans="1:16" ht="15.75" customHeight="1" x14ac:dyDescent="0.25">
      <c r="A50" s="127" t="s">
        <v>200</v>
      </c>
      <c r="B50" s="121">
        <v>1</v>
      </c>
      <c r="C50" s="120" t="s">
        <v>201</v>
      </c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6"/>
    </row>
    <row r="51" spans="1:16" ht="16.5" customHeight="1" x14ac:dyDescent="0.25">
      <c r="A51" s="124" t="s">
        <v>202</v>
      </c>
      <c r="B51" s="118">
        <f>VLOOKUP(B6,'Gebouwgegevens Tabula 2zone'!$A$34:$F$45,2,0)*B48/20</f>
        <v>144.54846566000975</v>
      </c>
      <c r="C51" s="118" t="s">
        <v>203</v>
      </c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6"/>
    </row>
    <row r="52" spans="1:16" ht="15.75" customHeight="1" x14ac:dyDescent="0.25">
      <c r="A52" s="95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6"/>
    </row>
    <row r="53" spans="1:16" ht="15" customHeight="1" x14ac:dyDescent="0.25">
      <c r="A53" s="126" t="s">
        <v>204</v>
      </c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6"/>
    </row>
    <row r="54" spans="1:16" ht="15.75" customHeight="1" x14ac:dyDescent="0.25">
      <c r="A54" s="95" t="s">
        <v>180</v>
      </c>
      <c r="B54" s="98">
        <f>'Gebouwgegevens Tabula 2zone'!G34</f>
        <v>103.4</v>
      </c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6"/>
    </row>
    <row r="55" spans="1:16" ht="16.5" customHeight="1" x14ac:dyDescent="0.25">
      <c r="A55" s="124" t="s">
        <v>205</v>
      </c>
      <c r="B55" s="128">
        <v>0</v>
      </c>
      <c r="C55" s="118" t="s">
        <v>203</v>
      </c>
      <c r="D55" s="98"/>
      <c r="E55" s="98" t="s">
        <v>206</v>
      </c>
      <c r="F55" s="98">
        <v>0</v>
      </c>
      <c r="G55" s="98"/>
      <c r="H55" s="98"/>
      <c r="I55" s="98"/>
      <c r="J55" s="98"/>
      <c r="K55" s="98"/>
      <c r="L55" s="98"/>
      <c r="M55" s="98"/>
      <c r="N55" s="98"/>
      <c r="O55" s="98"/>
      <c r="P55" s="96"/>
    </row>
    <row r="56" spans="1:16" ht="15.75" customHeight="1" x14ac:dyDescent="0.25">
      <c r="A56" s="95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6"/>
    </row>
    <row r="57" spans="1:16" ht="15.75" customHeight="1" x14ac:dyDescent="0.25">
      <c r="A57" s="95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6"/>
    </row>
    <row r="58" spans="1:16" ht="16.5" customHeight="1" x14ac:dyDescent="0.25">
      <c r="A58" s="124" t="s">
        <v>207</v>
      </c>
      <c r="B58" s="118">
        <f>B51+B55</f>
        <v>144.54846566000975</v>
      </c>
      <c r="C58" s="118" t="s">
        <v>203</v>
      </c>
      <c r="D58" s="98"/>
      <c r="E58" s="98"/>
      <c r="F58" s="118" t="s">
        <v>208</v>
      </c>
      <c r="G58" s="118">
        <f>B58/VLOOKUP(B6,'Gebouwgegevens Allacker'!$A$35:$B$46,2,0)</f>
        <v>0.69654526103261227</v>
      </c>
      <c r="H58" s="98"/>
      <c r="I58" s="98"/>
      <c r="J58" s="98"/>
      <c r="K58" s="98"/>
      <c r="L58" s="98"/>
      <c r="M58" s="98"/>
      <c r="N58" s="98"/>
      <c r="O58" s="98"/>
      <c r="P58" s="96"/>
    </row>
    <row r="59" spans="1:16" ht="16.5" customHeight="1" x14ac:dyDescent="0.25">
      <c r="A59" s="95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6"/>
    </row>
    <row r="60" spans="1:16" ht="16.5" customHeight="1" x14ac:dyDescent="0.25">
      <c r="A60" s="124" t="s">
        <v>209</v>
      </c>
      <c r="B60" s="118">
        <f>0.34*B58</f>
        <v>49.146478324403319</v>
      </c>
      <c r="C60" s="118" t="s">
        <v>107</v>
      </c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6"/>
    </row>
    <row r="61" spans="1:16" ht="16.5" customHeight="1" x14ac:dyDescent="0.25">
      <c r="A61" s="124" t="s">
        <v>167</v>
      </c>
      <c r="B61" s="118">
        <f>B60*('Gebouwgegevens Tabula'!E35-$B$4)</f>
        <v>1425.2478714076963</v>
      </c>
      <c r="C61" s="118" t="s">
        <v>169</v>
      </c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6"/>
    </row>
    <row r="62" spans="1:16" ht="15.75" customHeight="1" x14ac:dyDescent="0.25">
      <c r="A62" s="109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6" ht="15.75" customHeight="1" x14ac:dyDescent="0.25">
      <c r="A63" s="343" t="s">
        <v>210</v>
      </c>
      <c r="B63" s="343"/>
      <c r="C63" s="343"/>
      <c r="D63" s="343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6"/>
    </row>
    <row r="64" spans="1:16" ht="15" customHeight="1" x14ac:dyDescent="0.25">
      <c r="A64" s="95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6"/>
    </row>
    <row r="65" spans="1:16" ht="15" customHeight="1" x14ac:dyDescent="0.25">
      <c r="A65" s="127" t="s">
        <v>211</v>
      </c>
      <c r="B65" s="121">
        <v>11</v>
      </c>
      <c r="C65" s="58" t="s">
        <v>212</v>
      </c>
      <c r="D65" s="5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6"/>
    </row>
    <row r="66" spans="1:16" ht="15.75" customHeight="1" x14ac:dyDescent="0.25">
      <c r="A66" s="127" t="s">
        <v>113</v>
      </c>
      <c r="B66" s="121">
        <f>'Gebouwgegevens Tabula 2zone'!B7</f>
        <v>103.4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6"/>
    </row>
    <row r="67" spans="1:16" ht="16.5" customHeight="1" x14ac:dyDescent="0.25">
      <c r="A67" s="124" t="s">
        <v>213</v>
      </c>
      <c r="B67" s="118">
        <f>B68/('Gebouwgegevens Tabula'!E35-'Verwarming Tabula 2zone'!$B$4)</f>
        <v>39.220689655172414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6"/>
    </row>
    <row r="68" spans="1:16" ht="16.5" customHeight="1" x14ac:dyDescent="0.25">
      <c r="A68" s="124" t="s">
        <v>167</v>
      </c>
      <c r="B68" s="118">
        <f>B65*B66</f>
        <v>1137.4000000000001</v>
      </c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6"/>
    </row>
    <row r="69" spans="1:16" ht="15.75" customHeight="1" x14ac:dyDescent="0.25">
      <c r="A69" s="95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6"/>
    </row>
    <row r="70" spans="1:16" ht="15.75" customHeight="1" x14ac:dyDescent="0.25">
      <c r="A70" s="95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6"/>
    </row>
    <row r="71" spans="1:16" ht="15.75" customHeight="1" x14ac:dyDescent="0.25">
      <c r="A71" s="129" t="s">
        <v>214</v>
      </c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1"/>
    </row>
    <row r="72" spans="1:16" ht="16.5" customHeight="1" x14ac:dyDescent="0.25">
      <c r="A72" s="124" t="s">
        <v>215</v>
      </c>
      <c r="B72" s="118">
        <f>SUM(B42,B60,B67)</f>
        <v>251.77926440103687</v>
      </c>
      <c r="C72" s="118" t="s">
        <v>107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3"/>
    </row>
    <row r="73" spans="1:16" ht="16.5" customHeight="1" x14ac:dyDescent="0.25">
      <c r="A73" s="124" t="s">
        <v>167</v>
      </c>
      <c r="B73" s="118">
        <f>SUM(B43,B61,B68)</f>
        <v>7301.598667630069</v>
      </c>
      <c r="C73" s="118" t="s">
        <v>169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3"/>
    </row>
    <row r="74" spans="1:16" ht="16.5" customHeight="1" x14ac:dyDescent="0.25">
      <c r="A74" s="134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6"/>
    </row>
    <row r="75" spans="1:16" ht="15" customHeight="1" x14ac:dyDescent="0.25">
      <c r="A75" s="137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</row>
    <row r="76" spans="1:16" ht="15.75" customHeight="1" x14ac:dyDescent="0.25">
      <c r="A76" s="137"/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</row>
    <row r="77" spans="1:16" ht="15" customHeight="1" x14ac:dyDescent="0.25">
      <c r="A77" s="93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94"/>
    </row>
    <row r="78" spans="1:16" ht="17.25" customHeight="1" x14ac:dyDescent="0.3">
      <c r="A78" s="97" t="s">
        <v>166</v>
      </c>
      <c r="B78" s="92">
        <v>2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6"/>
    </row>
    <row r="79" spans="1:16" ht="15.75" customHeight="1" x14ac:dyDescent="0.25">
      <c r="A79" s="343" t="s">
        <v>168</v>
      </c>
      <c r="B79" s="343"/>
      <c r="C79" s="343"/>
      <c r="D79" s="343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94"/>
    </row>
    <row r="80" spans="1:16" ht="15" customHeight="1" x14ac:dyDescent="0.25">
      <c r="A80" s="95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6"/>
    </row>
    <row r="81" spans="1:16" ht="15" customHeight="1" x14ac:dyDescent="0.25">
      <c r="A81" s="103" t="s">
        <v>170</v>
      </c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6"/>
    </row>
    <row r="82" spans="1:16" ht="15" customHeight="1" x14ac:dyDescent="0.25">
      <c r="A82" s="95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6"/>
    </row>
    <row r="83" spans="1:16" ht="15.75" customHeight="1" x14ac:dyDescent="0.25">
      <c r="A83" s="95"/>
      <c r="B83" s="104" t="s">
        <v>10</v>
      </c>
      <c r="C83" s="104" t="s">
        <v>171</v>
      </c>
      <c r="D83" s="104" t="s">
        <v>172</v>
      </c>
      <c r="E83" s="104" t="s">
        <v>173</v>
      </c>
      <c r="F83" s="104" t="s">
        <v>174</v>
      </c>
      <c r="G83" s="104" t="s">
        <v>16</v>
      </c>
      <c r="H83" s="105" t="s">
        <v>17</v>
      </c>
      <c r="I83" s="105" t="s">
        <v>175</v>
      </c>
      <c r="J83" s="98"/>
      <c r="K83" s="98"/>
      <c r="L83" s="98"/>
      <c r="M83" s="98"/>
      <c r="N83" s="98"/>
      <c r="O83" s="98"/>
      <c r="P83" s="96"/>
    </row>
    <row r="84" spans="1:16" ht="16.5" customHeight="1" x14ac:dyDescent="0.25">
      <c r="A84" s="95"/>
      <c r="B84" s="106" t="s">
        <v>71</v>
      </c>
      <c r="C84" s="107">
        <f>VLOOKUP(B84,'Gebouwgegevens Tabula 2zone'!$K$5:$R$83,3,0)</f>
        <v>2</v>
      </c>
      <c r="D84" s="107" t="str">
        <f>VLOOKUP(B84,'Gebouwgegevens Tabula 2zone'!$K$5:$R$83,4,0)</f>
        <v>Wall External</v>
      </c>
      <c r="E84" s="107">
        <f>VLOOKUP(B84,'Gebouwgegevens Tabula 2zone'!$K$5:$R$83,5,0)</f>
        <v>20.516529727733833</v>
      </c>
      <c r="F84" s="107" t="str">
        <f>VLOOKUP(B84,'Gebouwgegevens Tabula 2zone'!$K$5:$R$83,6,0)</f>
        <v>front</v>
      </c>
      <c r="G84" s="107">
        <f>VLOOKUP(B84,'Gebouwgegevens Tabula 2zone'!$K$5:$R$83,7,0)</f>
        <v>0.59788861556532236</v>
      </c>
      <c r="H84" s="108">
        <f>VLOOKUP(B84,'Gebouwgegevens Tabula 2zone'!$K$5:$R$83,8,0)</f>
        <v>12.26659955511956</v>
      </c>
      <c r="I84" s="108">
        <v>1</v>
      </c>
      <c r="J84" s="98"/>
      <c r="K84" s="98"/>
      <c r="L84" s="98"/>
      <c r="M84" s="98"/>
      <c r="N84" s="98"/>
      <c r="O84" s="98"/>
      <c r="P84" s="96"/>
    </row>
    <row r="85" spans="1:16" ht="16.5" customHeight="1" x14ac:dyDescent="0.25">
      <c r="A85" s="95"/>
      <c r="B85" s="106" t="s">
        <v>75</v>
      </c>
      <c r="C85" s="107">
        <f>VLOOKUP(B85,'Gebouwgegevens Tabula 2zone'!$K$5:$R$83,3,0)</f>
        <v>2</v>
      </c>
      <c r="D85" s="107" t="str">
        <f>VLOOKUP(B85,'Gebouwgegevens Tabula 2zone'!$K$5:$R$83,4,0)</f>
        <v>Wall External</v>
      </c>
      <c r="E85" s="107">
        <f>VLOOKUP(B85,'Gebouwgegevens Tabula 2zone'!$K$5:$R$83,5,0)</f>
        <v>36.064797687389479</v>
      </c>
      <c r="F85" s="107" t="str">
        <f>VLOOKUP(B85,'Gebouwgegevens Tabula 2zone'!$K$5:$R$83,6,0)</f>
        <v>right</v>
      </c>
      <c r="G85" s="107">
        <f>VLOOKUP(B85,'Gebouwgegevens Tabula 2zone'!$K$5:$R$83,7,0)</f>
        <v>0.59788861556532236</v>
      </c>
      <c r="H85" s="108">
        <f>VLOOKUP(B85,'Gebouwgegevens Tabula 2zone'!$K$5:$R$83,8,0)</f>
        <v>21.562731959956736</v>
      </c>
      <c r="I85" s="108">
        <v>1</v>
      </c>
      <c r="J85" s="98"/>
      <c r="K85" s="98"/>
      <c r="L85" s="98"/>
      <c r="M85" s="98"/>
      <c r="N85" s="98"/>
      <c r="O85" s="98"/>
      <c r="P85" s="96"/>
    </row>
    <row r="86" spans="1:16" ht="16.5" customHeight="1" x14ac:dyDescent="0.25">
      <c r="A86" s="95"/>
      <c r="B86" s="106" t="s">
        <v>79</v>
      </c>
      <c r="C86" s="107">
        <f>VLOOKUP(B86,'Gebouwgegevens Tabula 2zone'!$K$5:$R$83,3,0)</f>
        <v>2</v>
      </c>
      <c r="D86" s="107" t="str">
        <f>VLOOKUP(B86,'Gebouwgegevens Tabula 2zone'!$K$5:$R$83,4,0)</f>
        <v>Wall External</v>
      </c>
      <c r="E86" s="107">
        <f>VLOOKUP(B86,'Gebouwgegevens Tabula 2zone'!$K$5:$R$83,5,0)</f>
        <v>20.516529727733833</v>
      </c>
      <c r="F86" s="107" t="str">
        <f>VLOOKUP(B86,'Gebouwgegevens Tabula 2zone'!$K$5:$R$83,6,0)</f>
        <v>back</v>
      </c>
      <c r="G86" s="107">
        <f>VLOOKUP(B86,'Gebouwgegevens Tabula 2zone'!$K$5:$R$83,7,0)</f>
        <v>0.59788861556532236</v>
      </c>
      <c r="H86" s="108">
        <f>VLOOKUP(B86,'Gebouwgegevens Tabula 2zone'!$K$5:$R$83,8,0)</f>
        <v>12.26659955511956</v>
      </c>
      <c r="I86" s="108">
        <v>1</v>
      </c>
      <c r="J86" s="98"/>
      <c r="K86" s="98"/>
      <c r="L86" s="98"/>
      <c r="M86" s="98"/>
      <c r="N86" s="98"/>
      <c r="O86" s="98"/>
      <c r="P86" s="96"/>
    </row>
    <row r="87" spans="1:16" ht="16.5" customHeight="1" x14ac:dyDescent="0.25">
      <c r="A87" s="95"/>
      <c r="B87" s="106" t="s">
        <v>82</v>
      </c>
      <c r="C87" s="107">
        <f>VLOOKUP(B87,'Gebouwgegevens Tabula 2zone'!$K$5:$R$83,3,0)</f>
        <v>2</v>
      </c>
      <c r="D87" s="107" t="str">
        <f>VLOOKUP(B87,'Gebouwgegevens Tabula 2zone'!$K$5:$R$83,4,0)</f>
        <v>Wall External</v>
      </c>
      <c r="E87" s="107">
        <f>VLOOKUP(B87,'Gebouwgegevens Tabula 2zone'!$K$5:$R$83,5,0)</f>
        <v>0</v>
      </c>
      <c r="F87" s="107" t="str">
        <f>VLOOKUP(B87,'Gebouwgegevens Tabula 2zone'!$K$5:$R$83,6,0)</f>
        <v>left</v>
      </c>
      <c r="G87" s="107">
        <f>VLOOKUP(B87,'Gebouwgegevens Tabula 2zone'!$K$5:$R$83,7,0)</f>
        <v>0.59788861556532236</v>
      </c>
      <c r="H87" s="108">
        <f>VLOOKUP(B87,'Gebouwgegevens Tabula 2zone'!$K$5:$R$83,8,0)</f>
        <v>0</v>
      </c>
      <c r="I87" s="108">
        <v>1</v>
      </c>
      <c r="J87" s="98"/>
      <c r="K87" s="98"/>
      <c r="L87" s="98"/>
      <c r="M87" s="98"/>
      <c r="N87" s="98"/>
      <c r="O87" s="98"/>
      <c r="P87" s="96"/>
    </row>
    <row r="88" spans="1:16" ht="16.5" customHeight="1" x14ac:dyDescent="0.25">
      <c r="A88" s="95"/>
      <c r="B88" s="106" t="s">
        <v>84</v>
      </c>
      <c r="C88" s="107">
        <f>VLOOKUP(B88,'Gebouwgegevens Tabula 2zone'!$K$5:$R$83,3,0)</f>
        <v>2</v>
      </c>
      <c r="D88" s="107" t="str">
        <f>VLOOKUP(B88,'Gebouwgegevens Tabula 2zone'!$K$5:$R$83,4,0)</f>
        <v>Window</v>
      </c>
      <c r="E88" s="107">
        <f>VLOOKUP(B88,'Gebouwgegevens Tabula 2zone'!$K$5:$R$83,5,0)</f>
        <v>4.05</v>
      </c>
      <c r="F88" s="107" t="str">
        <f>VLOOKUP(B88,'Gebouwgegevens Tabula 2zone'!$K$5:$R$83,6,0)</f>
        <v>front</v>
      </c>
      <c r="G88" s="107">
        <f>VLOOKUP(B88,'Gebouwgegevens Tabula 2zone'!$K$5:$R$83,7,0)</f>
        <v>3.5</v>
      </c>
      <c r="H88" s="108">
        <f>VLOOKUP(B88,'Gebouwgegevens Tabula 2zone'!$K$5:$R$83,8,0)</f>
        <v>14.174999999999999</v>
      </c>
      <c r="I88" s="108">
        <v>1</v>
      </c>
      <c r="J88" s="98"/>
      <c r="K88" s="98"/>
      <c r="L88" s="98"/>
      <c r="M88" s="98"/>
      <c r="N88" s="98"/>
      <c r="O88" s="98"/>
      <c r="P88" s="96"/>
    </row>
    <row r="89" spans="1:16" ht="16.5" customHeight="1" x14ac:dyDescent="0.25">
      <c r="A89" s="95"/>
      <c r="B89" s="106" t="s">
        <v>87</v>
      </c>
      <c r="C89" s="107">
        <f>VLOOKUP(B89,'Gebouwgegevens Tabula 2zone'!$K$5:$R$83,3,0)</f>
        <v>2</v>
      </c>
      <c r="D89" s="107" t="str">
        <f>VLOOKUP(B89,'Gebouwgegevens Tabula 2zone'!$K$5:$R$83,4,0)</f>
        <v>Window</v>
      </c>
      <c r="E89" s="107">
        <f>VLOOKUP(B89,'Gebouwgegevens Tabula 2zone'!$K$5:$R$83,5,0)</f>
        <v>3.45</v>
      </c>
      <c r="F89" s="107" t="str">
        <f>VLOOKUP(B89,'Gebouwgegevens Tabula 2zone'!$K$5:$R$83,6,0)</f>
        <v>right</v>
      </c>
      <c r="G89" s="107">
        <f>VLOOKUP(B89,'Gebouwgegevens Tabula 2zone'!$K$5:$R$83,7,0)</f>
        <v>3.5</v>
      </c>
      <c r="H89" s="108">
        <f>VLOOKUP(B89,'Gebouwgegevens Tabula 2zone'!$K$5:$R$83,8,0)</f>
        <v>12.075000000000001</v>
      </c>
      <c r="I89" s="108">
        <v>1</v>
      </c>
      <c r="J89" s="98"/>
      <c r="K89" s="98"/>
      <c r="L89" s="98"/>
      <c r="M89" s="98"/>
      <c r="N89" s="98"/>
      <c r="O89" s="98"/>
      <c r="P89" s="96"/>
    </row>
    <row r="90" spans="1:16" ht="16.5" customHeight="1" x14ac:dyDescent="0.25">
      <c r="A90" s="95"/>
      <c r="B90" s="106" t="s">
        <v>89</v>
      </c>
      <c r="C90" s="107">
        <f>VLOOKUP(B90,'Gebouwgegevens Tabula 2zone'!$K$5:$R$83,3,0)</f>
        <v>2</v>
      </c>
      <c r="D90" s="107" t="str">
        <f>VLOOKUP(B90,'Gebouwgegevens Tabula 2zone'!$K$5:$R$83,4,0)</f>
        <v>Window</v>
      </c>
      <c r="E90" s="107">
        <f>VLOOKUP(B90,'Gebouwgegevens Tabula 2zone'!$K$5:$R$83,5,0)</f>
        <v>4.5</v>
      </c>
      <c r="F90" s="107" t="str">
        <f>VLOOKUP(B90,'Gebouwgegevens Tabula 2zone'!$K$5:$R$83,6,0)</f>
        <v>back</v>
      </c>
      <c r="G90" s="107">
        <f>VLOOKUP(B90,'Gebouwgegevens Tabula 2zone'!$K$5:$R$83,7,0)</f>
        <v>3.5</v>
      </c>
      <c r="H90" s="108">
        <f>VLOOKUP(B90,'Gebouwgegevens Tabula 2zone'!$K$5:$R$83,8,0)</f>
        <v>15.75</v>
      </c>
      <c r="I90" s="108">
        <v>1</v>
      </c>
      <c r="J90" s="98"/>
      <c r="K90" s="98"/>
      <c r="L90" s="98"/>
      <c r="M90" s="98"/>
      <c r="N90" s="98"/>
      <c r="O90" s="98"/>
      <c r="P90" s="96"/>
    </row>
    <row r="91" spans="1:16" ht="16.5" customHeight="1" x14ac:dyDescent="0.25">
      <c r="A91" s="95"/>
      <c r="B91" s="106" t="s">
        <v>92</v>
      </c>
      <c r="C91" s="107">
        <f>VLOOKUP(B91,'Gebouwgegevens Tabula 2zone'!$K$5:$R$83,3,0)</f>
        <v>2</v>
      </c>
      <c r="D91" s="107" t="str">
        <f>VLOOKUP(B91,'Gebouwgegevens Tabula 2zone'!$K$5:$R$83,4,0)</f>
        <v>Window</v>
      </c>
      <c r="E91" s="107">
        <f>VLOOKUP(B91,'Gebouwgegevens Tabula 2zone'!$K$5:$R$83,5,0)</f>
        <v>5.05</v>
      </c>
      <c r="F91" s="107" t="str">
        <f>VLOOKUP(B91,'Gebouwgegevens Tabula 2zone'!$K$5:$R$83,6,0)</f>
        <v>left</v>
      </c>
      <c r="G91" s="107">
        <f>VLOOKUP(B91,'Gebouwgegevens Tabula 2zone'!$K$5:$R$83,7,0)</f>
        <v>3.5</v>
      </c>
      <c r="H91" s="108">
        <f>VLOOKUP(B91,'Gebouwgegevens Tabula 2zone'!$K$5:$R$83,8,0)</f>
        <v>17.675000000000001</v>
      </c>
      <c r="I91" s="108">
        <v>1</v>
      </c>
      <c r="J91" s="98"/>
      <c r="K91" s="98"/>
      <c r="L91" s="98"/>
      <c r="M91" s="98"/>
      <c r="N91" s="98"/>
      <c r="O91" s="98"/>
      <c r="P91" s="96"/>
    </row>
    <row r="92" spans="1:16" ht="16.5" customHeight="1" x14ac:dyDescent="0.25">
      <c r="A92" s="95"/>
      <c r="B92" s="106" t="s">
        <v>96</v>
      </c>
      <c r="C92" s="107">
        <f>VLOOKUP(B92,'Gebouwgegevens Tabula 2zone'!$K$5:$R$83,3,0)</f>
        <v>2</v>
      </c>
      <c r="D92" s="107" t="str">
        <f>VLOOKUP(B92,'Gebouwgegevens Tabula 2zone'!$K$5:$R$83,4,0)</f>
        <v>Roof</v>
      </c>
      <c r="E92" s="107">
        <f>VLOOKUP(B92,'Gebouwgegevens Tabula 2zone'!$K$5:$R$83,5,0)</f>
        <v>108.5</v>
      </c>
      <c r="F92" s="107" t="str">
        <f>VLOOKUP(B92,'Gebouwgegevens Tabula 2zone'!$K$5:$R$83,6,0)</f>
        <v>front/back</v>
      </c>
      <c r="G92" s="107">
        <f>VLOOKUP(B92,'Gebouwgegevens Tabula 2zone'!$K$5:$R$83,7,0)</f>
        <v>0.59974793202856758</v>
      </c>
      <c r="H92" s="108">
        <f>VLOOKUP(B92,'Gebouwgegevens Tabula 2zone'!$K$5:$R$83,8,0)</f>
        <v>65.072650625099584</v>
      </c>
      <c r="I92" s="108">
        <v>1</v>
      </c>
      <c r="J92" s="98"/>
      <c r="K92" s="98"/>
      <c r="L92" s="98"/>
      <c r="M92" s="98"/>
      <c r="N92" s="98"/>
      <c r="O92" s="98"/>
      <c r="P92" s="96"/>
    </row>
    <row r="93" spans="1:16" ht="16.5" customHeight="1" x14ac:dyDescent="0.25">
      <c r="A93" s="95"/>
      <c r="B93" s="106"/>
      <c r="C93" s="107"/>
      <c r="D93" s="107"/>
      <c r="E93" s="107"/>
      <c r="F93" s="107"/>
      <c r="G93" s="107"/>
      <c r="H93" s="108"/>
      <c r="I93" s="108"/>
      <c r="J93" s="98"/>
      <c r="K93" s="98"/>
      <c r="L93" s="98"/>
      <c r="M93" s="98"/>
      <c r="N93" s="98"/>
      <c r="O93" s="98"/>
      <c r="P93" s="96"/>
    </row>
    <row r="94" spans="1:16" ht="16.5" customHeight="1" x14ac:dyDescent="0.25">
      <c r="A94" s="95"/>
      <c r="B94" s="106"/>
      <c r="C94" s="107"/>
      <c r="D94" s="107"/>
      <c r="E94" s="107"/>
      <c r="F94" s="107"/>
      <c r="G94" s="107"/>
      <c r="H94" s="108"/>
      <c r="I94" s="108"/>
      <c r="J94" s="98"/>
      <c r="K94" s="98"/>
      <c r="L94" s="98"/>
      <c r="M94" s="98"/>
      <c r="N94" s="98"/>
      <c r="O94" s="98"/>
      <c r="P94" s="96"/>
    </row>
    <row r="95" spans="1:16" ht="16.5" customHeight="1" x14ac:dyDescent="0.25">
      <c r="A95" s="95"/>
      <c r="B95" s="106"/>
      <c r="C95" s="107"/>
      <c r="D95" s="107"/>
      <c r="E95" s="107"/>
      <c r="F95" s="107"/>
      <c r="G95" s="107"/>
      <c r="H95" s="108"/>
      <c r="I95" s="108"/>
      <c r="J95" s="98"/>
      <c r="K95" s="98"/>
      <c r="L95" s="98"/>
      <c r="M95" s="98"/>
      <c r="N95" s="98"/>
      <c r="O95" s="98"/>
      <c r="P95" s="96"/>
    </row>
    <row r="96" spans="1:16" ht="15.75" customHeight="1" x14ac:dyDescent="0.25">
      <c r="A96" s="95"/>
      <c r="B96" s="58"/>
      <c r="C96" s="58"/>
      <c r="D96" s="58"/>
      <c r="E96" s="58"/>
      <c r="F96" s="58"/>
      <c r="G96" s="114"/>
      <c r="H96" s="58"/>
      <c r="I96" s="58"/>
      <c r="J96" s="98"/>
      <c r="K96" s="98"/>
      <c r="L96" s="98"/>
      <c r="M96" s="98"/>
      <c r="N96" s="98"/>
      <c r="O96" s="98"/>
      <c r="P96" s="96"/>
    </row>
    <row r="97" spans="1:16" ht="15" customHeight="1" x14ac:dyDescent="0.25">
      <c r="A97" s="95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6"/>
    </row>
    <row r="98" spans="1:16" ht="15" customHeight="1" x14ac:dyDescent="0.25">
      <c r="A98" s="103" t="s">
        <v>177</v>
      </c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6"/>
    </row>
    <row r="99" spans="1:16" ht="15.75" customHeight="1" x14ac:dyDescent="0.25">
      <c r="A99" s="95"/>
      <c r="B99" s="58" t="s">
        <v>10</v>
      </c>
      <c r="C99" s="58" t="s">
        <v>178</v>
      </c>
      <c r="D99" s="58" t="s">
        <v>172</v>
      </c>
      <c r="E99" s="58" t="s">
        <v>179</v>
      </c>
      <c r="F99" s="58" t="s">
        <v>16</v>
      </c>
      <c r="G99" s="114" t="s">
        <v>17</v>
      </c>
      <c r="H99" s="114" t="s">
        <v>175</v>
      </c>
      <c r="I99" s="58" t="s">
        <v>180</v>
      </c>
      <c r="J99" s="58" t="s">
        <v>181</v>
      </c>
      <c r="K99" s="58" t="s">
        <v>182</v>
      </c>
      <c r="L99" s="115" t="s">
        <v>183</v>
      </c>
      <c r="M99" s="115" t="s">
        <v>184</v>
      </c>
      <c r="N99" s="115" t="s">
        <v>185</v>
      </c>
      <c r="O99" s="98"/>
      <c r="P99" s="96"/>
    </row>
    <row r="100" spans="1:16" ht="18.75" customHeight="1" x14ac:dyDescent="0.25">
      <c r="A100" s="95"/>
      <c r="B100" s="116"/>
      <c r="C100" s="117"/>
      <c r="D100" s="117"/>
      <c r="E100" s="117"/>
      <c r="F100" s="117"/>
      <c r="G100" s="118"/>
      <c r="H100" s="118"/>
      <c r="I100" s="117"/>
      <c r="J100" s="116"/>
      <c r="K100" s="116"/>
      <c r="L100" s="119"/>
      <c r="M100" s="119"/>
      <c r="N100" s="120"/>
      <c r="O100" s="98"/>
      <c r="P100" s="96"/>
    </row>
    <row r="101" spans="1:16" ht="18.75" customHeight="1" x14ac:dyDescent="0.25">
      <c r="A101" s="95"/>
      <c r="B101" s="116"/>
      <c r="C101" s="117"/>
      <c r="D101" s="117"/>
      <c r="E101" s="117"/>
      <c r="F101" s="117"/>
      <c r="G101" s="118"/>
      <c r="H101" s="118"/>
      <c r="I101" s="117"/>
      <c r="J101" s="116"/>
      <c r="K101" s="116"/>
      <c r="L101" s="119"/>
      <c r="M101" s="119"/>
      <c r="N101" s="120"/>
      <c r="O101" s="98"/>
      <c r="P101" s="96"/>
    </row>
    <row r="102" spans="1:16" ht="18.75" customHeight="1" x14ac:dyDescent="0.25">
      <c r="A102" s="95"/>
      <c r="B102" s="116"/>
      <c r="C102" s="117"/>
      <c r="D102" s="117"/>
      <c r="E102" s="117"/>
      <c r="F102" s="117"/>
      <c r="G102" s="118"/>
      <c r="H102" s="118"/>
      <c r="I102" s="117"/>
      <c r="J102" s="116"/>
      <c r="K102" s="116"/>
      <c r="L102" s="119"/>
      <c r="M102" s="119"/>
      <c r="N102" s="120"/>
      <c r="O102" s="98"/>
      <c r="P102" s="96"/>
    </row>
    <row r="103" spans="1:16" ht="18.75" customHeight="1" x14ac:dyDescent="0.25">
      <c r="A103" s="95"/>
      <c r="B103" s="116"/>
      <c r="C103" s="117"/>
      <c r="D103" s="117"/>
      <c r="E103" s="117"/>
      <c r="F103" s="117"/>
      <c r="G103" s="118"/>
      <c r="H103" s="118"/>
      <c r="I103" s="117"/>
      <c r="J103" s="116"/>
      <c r="K103" s="116"/>
      <c r="L103" s="119"/>
      <c r="M103" s="119"/>
      <c r="N103" s="120"/>
      <c r="O103" s="98"/>
      <c r="P103" s="96"/>
    </row>
    <row r="104" spans="1:16" ht="16.5" customHeight="1" x14ac:dyDescent="0.25">
      <c r="A104" s="138"/>
      <c r="B104" s="116"/>
      <c r="C104" s="117"/>
      <c r="D104" s="117"/>
      <c r="E104" s="117"/>
      <c r="F104" s="117"/>
      <c r="G104" s="118"/>
      <c r="H104" s="118"/>
      <c r="I104" s="117"/>
      <c r="J104" s="116"/>
      <c r="K104" s="116"/>
      <c r="L104" s="119"/>
      <c r="M104" s="119"/>
      <c r="N104" s="120"/>
      <c r="O104" s="98"/>
      <c r="P104" s="96"/>
    </row>
    <row r="105" spans="1:16" ht="15.75" customHeight="1" x14ac:dyDescent="0.25">
      <c r="A105" s="95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6"/>
    </row>
    <row r="106" spans="1:16" ht="15" customHeight="1" x14ac:dyDescent="0.25">
      <c r="A106" s="103" t="s">
        <v>186</v>
      </c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6"/>
    </row>
    <row r="107" spans="1:16" ht="15.75" customHeight="1" x14ac:dyDescent="0.25">
      <c r="A107" s="95"/>
      <c r="B107" s="58" t="s">
        <v>10</v>
      </c>
      <c r="C107" s="58" t="s">
        <v>187</v>
      </c>
      <c r="D107" s="58" t="s">
        <v>188</v>
      </c>
      <c r="E107" s="58" t="s">
        <v>135</v>
      </c>
      <c r="F107" s="58" t="s">
        <v>189</v>
      </c>
      <c r="G107" s="58" t="s">
        <v>190</v>
      </c>
      <c r="H107" s="58" t="s">
        <v>191</v>
      </c>
      <c r="I107" s="58" t="s">
        <v>16</v>
      </c>
      <c r="J107" s="114" t="s">
        <v>17</v>
      </c>
      <c r="K107" s="114" t="s">
        <v>175</v>
      </c>
      <c r="L107" s="98"/>
      <c r="M107" s="98"/>
      <c r="N107" s="98"/>
      <c r="O107" s="98"/>
      <c r="P107" s="96"/>
    </row>
    <row r="108" spans="1:16" ht="16.5" customHeight="1" x14ac:dyDescent="0.25">
      <c r="A108" s="95"/>
      <c r="B108" s="121" t="s">
        <v>98</v>
      </c>
      <c r="C108" s="122">
        <f>IF(VLOOKUP(B108,'Gebouwgegevens Tabula 2zone'!$K$5:$R$83,2,0)=$B$78,VLOOKUP(B108,'Gebouwgegevens Tabula 2zone'!$K$5:$R$83,2,0),VLOOKUP(B108,'Gebouwgegevens Tabula 2zone'!$K$5:$R$83,3,0))</f>
        <v>2</v>
      </c>
      <c r="D108" s="122">
        <f>IF(VLOOKUP(B108,'Gebouwgegevens Tabula 2zone'!$K$5:$R$83,2,0)=$B$78,VLOOKUP(B108,'Gebouwgegevens Tabula 2zone'!$K$5:$R$83,3,0),VLOOKUP(B108,'Gebouwgegevens Tabula 2zone'!$K$5:$R$83,2,0))</f>
        <v>1</v>
      </c>
      <c r="E108" s="122" t="str">
        <f>VLOOKUP(B108,'Gebouwgegevens Tabula 2zone'!$K$5:$R$83,4,0)</f>
        <v>Floor internal</v>
      </c>
      <c r="F108" s="122">
        <f>VLOOKUP(B108,'Gebouwgegevens Tabula 2zone'!$K$5:$R$83,5,0)</f>
        <v>89.300000000000011</v>
      </c>
      <c r="G108" s="122">
        <f>VLOOKUP('Verwarming Tabula 2zone'!C108,'Gebouwgegevens Tabula 2zone'!$A$34:$F$45,5,0)</f>
        <v>18</v>
      </c>
      <c r="H108" s="122">
        <f>VLOOKUP('Verwarming Tabula 2zone'!D108,'Gebouwgegevens Tabula 2zone'!$A$34:$F$45,5,0)</f>
        <v>21</v>
      </c>
      <c r="I108" s="122">
        <f>VLOOKUP(B108,'Gebouwgegevens Tabula 2zone'!$K$5:$R$83,7,0)</f>
        <v>1.4549653579676673</v>
      </c>
      <c r="J108" s="118">
        <f>VLOOKUP(B108,'Gebouwgegevens Tabula 2zone'!$K$5:$R$83,8,0)</f>
        <v>129.92840646651271</v>
      </c>
      <c r="K108" s="118">
        <f>(G108-H108)/(G108-$B$4)</f>
        <v>-0.11538461538461539</v>
      </c>
      <c r="L108" s="98"/>
      <c r="M108" s="98"/>
      <c r="N108" s="98"/>
      <c r="O108" s="98"/>
      <c r="P108" s="96"/>
    </row>
    <row r="109" spans="1:16" ht="16.5" customHeight="1" x14ac:dyDescent="0.25">
      <c r="A109" s="95"/>
      <c r="B109" s="121" t="s">
        <v>102</v>
      </c>
      <c r="C109" s="122">
        <f>IF(VLOOKUP(B109,'Gebouwgegevens Tabula 2zone'!$K$5:$R$83,2,0)=$B$78,VLOOKUP(B109,'Gebouwgegevens Tabula 2zone'!$K$5:$R$83,2,0),VLOOKUP(B109,'Gebouwgegevens Tabula 2zone'!$K$5:$R$83,3,0))</f>
        <v>2</v>
      </c>
      <c r="D109" s="122">
        <f>IF(VLOOKUP(B109,'Gebouwgegevens Tabula 2zone'!$K$5:$R$83,2,0)=$B$78,VLOOKUP(B109,'Gebouwgegevens Tabula 2zone'!$K$5:$R$83,3,0),VLOOKUP(B109,'Gebouwgegevens Tabula 2zone'!$K$5:$R$83,2,0))</f>
        <v>2</v>
      </c>
      <c r="E109" s="122" t="str">
        <f>VLOOKUP(B109,'Gebouwgegevens Tabula 2zone'!$K$5:$R$83,4,0)</f>
        <v>Wall internal</v>
      </c>
      <c r="F109" s="122">
        <f>VLOOKUP(B109,'Gebouwgegevens Tabula 2zone'!$K$5:$R$83,5,0)</f>
        <v>77.097857142857151</v>
      </c>
      <c r="G109" s="122">
        <f>VLOOKUP('Verwarming Tabula 2zone'!C109,'Gebouwgegevens Tabula 2zone'!$A$34:$F$45,5,0)</f>
        <v>18</v>
      </c>
      <c r="H109" s="122">
        <f>VLOOKUP('Verwarming Tabula 2zone'!D109,'Gebouwgegevens Tabula 2zone'!$A$34:$F$45,5,0)</f>
        <v>18</v>
      </c>
      <c r="I109" s="122">
        <f>VLOOKUP(B109,'Gebouwgegevens Tabula 2zone'!$K$5:$R$83,7,0)</f>
        <v>1.7363344051446945</v>
      </c>
      <c r="J109" s="118">
        <f>VLOOKUP(B109,'Gebouwgegevens Tabula 2zone'!$K$5:$R$83,8,0)</f>
        <v>133.86766192007352</v>
      </c>
      <c r="K109" s="118">
        <f>(G109-H109)/(G109-$B$4)</f>
        <v>0</v>
      </c>
      <c r="L109" s="98"/>
      <c r="M109" s="98"/>
      <c r="N109" s="98"/>
      <c r="O109" s="98"/>
      <c r="P109" s="96"/>
    </row>
    <row r="110" spans="1:16" ht="16.5" customHeight="1" x14ac:dyDescent="0.25">
      <c r="A110" s="95"/>
      <c r="B110" s="121"/>
      <c r="C110" s="122"/>
      <c r="D110" s="122"/>
      <c r="E110" s="122"/>
      <c r="F110" s="122"/>
      <c r="G110" s="122"/>
      <c r="H110" s="122"/>
      <c r="I110" s="122"/>
      <c r="J110" s="118"/>
      <c r="K110" s="118"/>
      <c r="L110" s="98"/>
      <c r="M110" s="98"/>
      <c r="N110" s="98"/>
      <c r="O110" s="98"/>
      <c r="P110" s="96"/>
    </row>
    <row r="111" spans="1:16" ht="16.5" customHeight="1" x14ac:dyDescent="0.25">
      <c r="A111" s="95"/>
      <c r="B111" s="92"/>
      <c r="C111" s="122"/>
      <c r="D111" s="122"/>
      <c r="E111" s="122"/>
      <c r="F111" s="122"/>
      <c r="G111" s="122"/>
      <c r="H111" s="122"/>
      <c r="I111" s="122"/>
      <c r="J111" s="118"/>
      <c r="K111" s="118"/>
      <c r="L111" s="98"/>
      <c r="M111" s="98"/>
      <c r="N111" s="98"/>
      <c r="O111" s="98"/>
      <c r="P111" s="96"/>
    </row>
    <row r="112" spans="1:16" ht="16.5" customHeight="1" x14ac:dyDescent="0.25">
      <c r="A112" s="95"/>
      <c r="B112" s="123"/>
      <c r="C112" s="139"/>
      <c r="D112" s="122"/>
      <c r="E112" s="122"/>
      <c r="F112" s="122"/>
      <c r="G112" s="122"/>
      <c r="H112" s="122"/>
      <c r="I112" s="122"/>
      <c r="J112" s="118"/>
      <c r="K112" s="118"/>
      <c r="L112" s="98"/>
      <c r="M112" s="98"/>
      <c r="N112" s="98"/>
      <c r="O112" s="98"/>
      <c r="P112" s="96"/>
    </row>
    <row r="113" spans="1:16" ht="16.5" customHeight="1" x14ac:dyDescent="0.25">
      <c r="A113" s="95"/>
      <c r="B113" s="123"/>
      <c r="C113" s="139"/>
      <c r="D113" s="122"/>
      <c r="E113" s="122"/>
      <c r="F113" s="122"/>
      <c r="G113" s="122"/>
      <c r="H113" s="122"/>
      <c r="I113" s="122"/>
      <c r="J113" s="118"/>
      <c r="K113" s="118"/>
      <c r="L113" s="98"/>
      <c r="M113" s="98"/>
      <c r="N113" s="98"/>
      <c r="O113" s="98"/>
      <c r="P113" s="96"/>
    </row>
    <row r="114" spans="1:16" ht="16.5" customHeight="1" x14ac:dyDescent="0.25">
      <c r="A114" s="95"/>
      <c r="B114" s="123"/>
      <c r="C114" s="139"/>
      <c r="D114" s="122"/>
      <c r="E114" s="122"/>
      <c r="F114" s="122"/>
      <c r="G114" s="122"/>
      <c r="H114" s="122"/>
      <c r="I114" s="122"/>
      <c r="J114" s="118"/>
      <c r="K114" s="118"/>
      <c r="L114" s="98"/>
      <c r="M114" s="98"/>
      <c r="N114" s="98"/>
      <c r="O114" s="98"/>
      <c r="P114" s="96"/>
    </row>
    <row r="115" spans="1:16" ht="16.5" customHeight="1" x14ac:dyDescent="0.25">
      <c r="A115" s="95"/>
      <c r="B115" s="123"/>
      <c r="C115" s="139"/>
      <c r="D115" s="122"/>
      <c r="E115" s="122"/>
      <c r="F115" s="122"/>
      <c r="G115" s="122"/>
      <c r="H115" s="122"/>
      <c r="I115" s="122"/>
      <c r="J115" s="118"/>
      <c r="K115" s="118"/>
      <c r="L115" s="98"/>
      <c r="M115" s="98"/>
      <c r="N115" s="98"/>
      <c r="O115" s="98"/>
      <c r="P115" s="96"/>
    </row>
    <row r="116" spans="1:16" ht="16.5" customHeight="1" x14ac:dyDescent="0.25">
      <c r="A116" s="95"/>
      <c r="B116" s="123"/>
      <c r="C116" s="139"/>
      <c r="D116" s="122"/>
      <c r="E116" s="122"/>
      <c r="F116" s="122"/>
      <c r="G116" s="122"/>
      <c r="H116" s="122"/>
      <c r="I116" s="122"/>
      <c r="J116" s="118"/>
      <c r="K116" s="118"/>
      <c r="L116" s="98"/>
      <c r="M116" s="98"/>
      <c r="N116" s="98"/>
      <c r="O116" s="98"/>
      <c r="P116" s="96"/>
    </row>
    <row r="117" spans="1:16" ht="16.5" customHeight="1" x14ac:dyDescent="0.25">
      <c r="A117" s="95"/>
      <c r="B117" s="123"/>
      <c r="C117" s="139"/>
      <c r="D117" s="122"/>
      <c r="E117" s="122"/>
      <c r="F117" s="122"/>
      <c r="G117" s="122"/>
      <c r="H117" s="122"/>
      <c r="I117" s="122"/>
      <c r="J117" s="118"/>
      <c r="K117" s="118"/>
      <c r="L117" s="98"/>
      <c r="M117" s="98"/>
      <c r="N117" s="98"/>
      <c r="O117" s="98"/>
      <c r="P117" s="96"/>
    </row>
    <row r="118" spans="1:16" ht="15.75" customHeight="1" x14ac:dyDescent="0.25">
      <c r="A118" s="95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8"/>
      <c r="M118" s="98"/>
      <c r="N118" s="98"/>
      <c r="O118" s="98"/>
      <c r="P118" s="96"/>
    </row>
    <row r="119" spans="1:16" ht="15" customHeight="1" x14ac:dyDescent="0.25">
      <c r="A119" s="95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6"/>
    </row>
    <row r="120" spans="1:16" ht="15.75" customHeight="1" x14ac:dyDescent="0.25">
      <c r="A120" s="103" t="s">
        <v>192</v>
      </c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6"/>
    </row>
    <row r="121" spans="1:16" ht="16.5" customHeight="1" x14ac:dyDescent="0.25">
      <c r="A121" s="124" t="s">
        <v>193</v>
      </c>
      <c r="B121" s="118">
        <f>SUMPRODUCT(H84:H95,I84:I95)+SUMPRODUCT(G100:G104,H100:H104)+SUMPRODUCT(J108:J117,K108:K117)</f>
        <v>155.85184248762087</v>
      </c>
      <c r="C121" s="118" t="s">
        <v>107</v>
      </c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6"/>
    </row>
    <row r="122" spans="1:16" ht="16.5" customHeight="1" x14ac:dyDescent="0.25">
      <c r="A122" s="124" t="s">
        <v>167</v>
      </c>
      <c r="B122" s="118">
        <f>B121*(G109-$B$4)</f>
        <v>4052.1479046781428</v>
      </c>
      <c r="C122" s="118" t="s">
        <v>169</v>
      </c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6"/>
    </row>
    <row r="123" spans="1:16" ht="15.75" customHeight="1" x14ac:dyDescent="0.25">
      <c r="A123" s="109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1"/>
    </row>
    <row r="124" spans="1:16" ht="15.75" customHeight="1" x14ac:dyDescent="0.25">
      <c r="A124" s="343" t="s">
        <v>194</v>
      </c>
      <c r="B124" s="343"/>
      <c r="C124" s="343"/>
      <c r="D124" s="125" t="s">
        <v>222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94"/>
    </row>
    <row r="125" spans="1:16" ht="15" customHeight="1" x14ac:dyDescent="0.25">
      <c r="A125" s="95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6"/>
    </row>
    <row r="126" spans="1:16" ht="15" customHeight="1" x14ac:dyDescent="0.25">
      <c r="A126" s="126" t="s">
        <v>195</v>
      </c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6"/>
    </row>
    <row r="127" spans="1:16" ht="15" customHeight="1" x14ac:dyDescent="0.25">
      <c r="A127" s="127" t="s">
        <v>196</v>
      </c>
      <c r="B127" s="121">
        <f>'Tabula data'!B34</f>
        <v>7.9883097905504146</v>
      </c>
      <c r="C127" s="120" t="s">
        <v>197</v>
      </c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6"/>
    </row>
    <row r="128" spans="1:16" ht="15" customHeight="1" x14ac:dyDescent="0.25">
      <c r="A128" s="127" t="s">
        <v>198</v>
      </c>
      <c r="B128" s="121">
        <v>0.03</v>
      </c>
      <c r="C128" s="120" t="s">
        <v>199</v>
      </c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6"/>
    </row>
    <row r="129" spans="1:16" ht="15.75" customHeight="1" x14ac:dyDescent="0.25">
      <c r="A129" s="127" t="s">
        <v>200</v>
      </c>
      <c r="B129" s="121">
        <v>1</v>
      </c>
      <c r="C129" s="120" t="s">
        <v>201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6"/>
    </row>
    <row r="130" spans="1:16" ht="16.5" customHeight="1" x14ac:dyDescent="0.25">
      <c r="A130" s="124" t="s">
        <v>202</v>
      </c>
      <c r="B130" s="118">
        <f>VLOOKUP(B78,'Gebouwgegevens Tabula 2zone'!$A$34:$F$45,2,0)*B127/20</f>
        <v>101.45153433999025</v>
      </c>
      <c r="C130" s="118" t="s">
        <v>203</v>
      </c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6"/>
    </row>
    <row r="131" spans="1:16" ht="15.75" customHeight="1" x14ac:dyDescent="0.25">
      <c r="A131" s="95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6"/>
    </row>
    <row r="132" spans="1:16" ht="15" customHeight="1" x14ac:dyDescent="0.25">
      <c r="A132" s="126" t="s">
        <v>204</v>
      </c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6"/>
    </row>
    <row r="133" spans="1:16" ht="15.75" customHeight="1" x14ac:dyDescent="0.25">
      <c r="A133" s="95" t="s">
        <v>180</v>
      </c>
      <c r="B133" s="98">
        <f>'Gebouwgegevens Tabula 2zone'!G35</f>
        <v>120.6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6"/>
    </row>
    <row r="134" spans="1:16" ht="16.5" customHeight="1" x14ac:dyDescent="0.25">
      <c r="A134" s="124" t="s">
        <v>205</v>
      </c>
      <c r="B134" s="128">
        <v>0</v>
      </c>
      <c r="C134" s="118" t="s">
        <v>203</v>
      </c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6"/>
    </row>
    <row r="135" spans="1:16" ht="15.75" customHeight="1" x14ac:dyDescent="0.25">
      <c r="A135" s="95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6"/>
    </row>
    <row r="136" spans="1:16" ht="15.75" customHeight="1" x14ac:dyDescent="0.25">
      <c r="A136" s="95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6"/>
    </row>
    <row r="137" spans="1:16" ht="16.5" customHeight="1" x14ac:dyDescent="0.25">
      <c r="A137" s="124" t="s">
        <v>207</v>
      </c>
      <c r="B137" s="118">
        <f>SUM(B130,B134)</f>
        <v>101.45153433999025</v>
      </c>
      <c r="C137" s="118" t="s">
        <v>203</v>
      </c>
      <c r="D137" s="98"/>
      <c r="E137" s="98"/>
      <c r="F137" s="118" t="s">
        <v>208</v>
      </c>
      <c r="G137" s="118">
        <f>B137/VLOOKUP(B78,'Gebouwgegevens Allacker'!$A$35:$B$46,2,0)</f>
        <v>0.63610763405391146</v>
      </c>
      <c r="H137" s="98"/>
      <c r="I137" s="98"/>
      <c r="J137" s="98"/>
      <c r="K137" s="98"/>
      <c r="L137" s="98"/>
      <c r="M137" s="98"/>
      <c r="N137" s="98"/>
      <c r="O137" s="98"/>
      <c r="P137" s="96"/>
    </row>
    <row r="138" spans="1:16" ht="16.5" customHeight="1" x14ac:dyDescent="0.25">
      <c r="A138" s="95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6"/>
    </row>
    <row r="139" spans="1:16" ht="16.5" customHeight="1" x14ac:dyDescent="0.25">
      <c r="A139" s="124" t="s">
        <v>209</v>
      </c>
      <c r="B139" s="118">
        <f>0.34*(B137+B131)</f>
        <v>34.493521675596689</v>
      </c>
      <c r="C139" s="118" t="s">
        <v>107</v>
      </c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6"/>
    </row>
    <row r="140" spans="1:16" ht="16.5" customHeight="1" x14ac:dyDescent="0.25">
      <c r="A140" s="124" t="s">
        <v>167</v>
      </c>
      <c r="B140" s="118">
        <f>B139*(G109-$B$4)</f>
        <v>896.83156356551387</v>
      </c>
      <c r="C140" s="118" t="s">
        <v>169</v>
      </c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6"/>
    </row>
    <row r="141" spans="1:16" ht="15.75" customHeight="1" x14ac:dyDescent="0.25">
      <c r="A141" s="109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1"/>
    </row>
    <row r="142" spans="1:16" ht="15.75" customHeight="1" x14ac:dyDescent="0.25">
      <c r="A142" s="343" t="s">
        <v>210</v>
      </c>
      <c r="B142" s="343"/>
      <c r="C142" s="343"/>
      <c r="D142" s="343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6"/>
    </row>
    <row r="143" spans="1:16" ht="15" customHeight="1" x14ac:dyDescent="0.25">
      <c r="A143" s="95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6"/>
    </row>
    <row r="144" spans="1:16" ht="15" customHeight="1" x14ac:dyDescent="0.25">
      <c r="A144" s="127" t="s">
        <v>211</v>
      </c>
      <c r="B144" s="121">
        <v>11</v>
      </c>
      <c r="C144" s="58" t="s">
        <v>212</v>
      </c>
      <c r="D144" s="5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6"/>
    </row>
    <row r="145" spans="1:16" ht="15.75" customHeight="1" x14ac:dyDescent="0.25">
      <c r="A145" s="127" t="s">
        <v>113</v>
      </c>
      <c r="B145" s="121">
        <f>B133</f>
        <v>120.6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6"/>
    </row>
    <row r="146" spans="1:16" ht="16.5" customHeight="1" x14ac:dyDescent="0.25">
      <c r="A146" s="124" t="s">
        <v>213</v>
      </c>
      <c r="B146" s="118">
        <f>B147/('Gebouwgegevens Allacker'!E100-'Verwarming Tabula 2zone'!$B$4)</f>
        <v>165.82499999999999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6"/>
    </row>
    <row r="147" spans="1:16" ht="16.5" customHeight="1" x14ac:dyDescent="0.25">
      <c r="A147" s="124" t="s">
        <v>167</v>
      </c>
      <c r="B147" s="118">
        <f>B144*B145</f>
        <v>1326.6</v>
      </c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6"/>
    </row>
    <row r="148" spans="1:16" ht="15.75" customHeight="1" x14ac:dyDescent="0.25">
      <c r="A148" s="95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6"/>
    </row>
    <row r="149" spans="1:16" ht="15.75" customHeight="1" x14ac:dyDescent="0.25">
      <c r="A149" s="95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6"/>
    </row>
    <row r="150" spans="1:16" ht="15.75" customHeight="1" x14ac:dyDescent="0.25">
      <c r="A150" s="129" t="s">
        <v>214</v>
      </c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1"/>
    </row>
    <row r="151" spans="1:16" ht="16.5" customHeight="1" x14ac:dyDescent="0.25">
      <c r="A151" s="124" t="s">
        <v>215</v>
      </c>
      <c r="B151" s="118">
        <f>SUM(B121,B139,B146)</f>
        <v>356.17036416321753</v>
      </c>
      <c r="C151" s="118" t="s">
        <v>107</v>
      </c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3"/>
    </row>
    <row r="152" spans="1:16" ht="16.5" customHeight="1" x14ac:dyDescent="0.25">
      <c r="A152" s="124" t="s">
        <v>167</v>
      </c>
      <c r="B152" s="118">
        <f>SUM(B122,B140,B147)</f>
        <v>6275.5794682436572</v>
      </c>
      <c r="C152" s="118" t="s">
        <v>169</v>
      </c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3"/>
    </row>
    <row r="153" spans="1:16" ht="16.5" customHeight="1" x14ac:dyDescent="0.25">
      <c r="A153" s="134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6"/>
    </row>
    <row r="154" spans="1:16" ht="15" customHeight="1" x14ac:dyDescent="0.25">
      <c r="A154" s="137"/>
      <c r="B154" s="137"/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</row>
    <row r="155" spans="1:16" ht="15" customHeight="1" x14ac:dyDescent="0.25">
      <c r="A155" s="137"/>
      <c r="B155" s="137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</row>
    <row r="156" spans="1:16" ht="15.75" customHeight="1" x14ac:dyDescent="0.25">
      <c r="A156" s="137"/>
      <c r="B156" s="137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</row>
    <row r="157" spans="1:16" ht="15" customHeight="1" x14ac:dyDescent="0.25">
      <c r="A157" s="93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94"/>
    </row>
    <row r="158" spans="1:16" ht="17.25" customHeight="1" x14ac:dyDescent="0.3">
      <c r="A158" s="97" t="s">
        <v>166</v>
      </c>
      <c r="B158" s="92">
        <v>3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6"/>
    </row>
    <row r="159" spans="1:16" ht="15.75" customHeight="1" x14ac:dyDescent="0.25">
      <c r="A159" s="343" t="s">
        <v>168</v>
      </c>
      <c r="B159" s="343"/>
      <c r="C159" s="343"/>
      <c r="D159" s="343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94"/>
    </row>
    <row r="160" spans="1:16" ht="15" customHeight="1" x14ac:dyDescent="0.25">
      <c r="A160" s="95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6"/>
    </row>
    <row r="161" spans="1:16" ht="15" customHeight="1" x14ac:dyDescent="0.25">
      <c r="A161" s="103" t="s">
        <v>170</v>
      </c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6"/>
    </row>
    <row r="162" spans="1:16" ht="15" customHeight="1" x14ac:dyDescent="0.25">
      <c r="A162" s="95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6"/>
    </row>
    <row r="163" spans="1:16" ht="15.75" customHeight="1" x14ac:dyDescent="0.25">
      <c r="A163" s="95"/>
      <c r="B163" s="104" t="s">
        <v>10</v>
      </c>
      <c r="C163" s="104" t="s">
        <v>171</v>
      </c>
      <c r="D163" s="104" t="s">
        <v>172</v>
      </c>
      <c r="E163" s="104" t="s">
        <v>173</v>
      </c>
      <c r="F163" s="104" t="s">
        <v>174</v>
      </c>
      <c r="G163" s="104" t="s">
        <v>16</v>
      </c>
      <c r="H163" s="105" t="s">
        <v>17</v>
      </c>
      <c r="I163" s="105" t="s">
        <v>175</v>
      </c>
      <c r="J163" s="98"/>
      <c r="K163" s="98"/>
      <c r="L163" s="98"/>
      <c r="M163" s="98"/>
      <c r="N163" s="98"/>
      <c r="O163" s="98"/>
      <c r="P163" s="96"/>
    </row>
    <row r="164" spans="1:16" ht="16.5" customHeight="1" x14ac:dyDescent="0.25">
      <c r="A164" s="95"/>
      <c r="B164" s="106" t="s">
        <v>66</v>
      </c>
      <c r="C164" s="107">
        <f>VLOOKUP(B164,'Gebouwgegevens Allacker'!$J$5:$Q$83,3,0)</f>
        <v>1</v>
      </c>
      <c r="D164" s="107" t="str">
        <f>VLOOKUP(B164,'Gebouwgegevens Allacker'!$J$5:$Q$83,4,0)</f>
        <v>Roof</v>
      </c>
      <c r="E164" s="107">
        <f>VLOOKUP(B164,'Gebouwgegevens Allacker'!$J$5:$Q$83,5,0)</f>
        <v>29</v>
      </c>
      <c r="F164" s="107">
        <f>VLOOKUP(B164,'Gebouwgegevens Allacker'!$J$5:$Q$83,6,0)</f>
        <v>0</v>
      </c>
      <c r="G164" s="107">
        <f>VLOOKUP(B164,'Gebouwgegevens Allacker'!$J$5:$Q$83,7,0)</f>
        <v>1.6975498473547073</v>
      </c>
      <c r="H164" s="108">
        <f>VLOOKUP(B164,'Gebouwgegevens Allacker'!$J$5:$Q$83,8,0)</f>
        <v>49.228945573286509</v>
      </c>
      <c r="I164" s="108">
        <v>1</v>
      </c>
      <c r="J164" s="98"/>
      <c r="K164" s="98"/>
      <c r="L164" s="98"/>
      <c r="M164" s="98"/>
      <c r="N164" s="98"/>
      <c r="O164" s="98"/>
      <c r="P164" s="96"/>
    </row>
    <row r="165" spans="1:16" ht="16.5" customHeight="1" x14ac:dyDescent="0.25">
      <c r="A165" s="95"/>
      <c r="B165" s="106" t="s">
        <v>67</v>
      </c>
      <c r="C165" s="107">
        <f>VLOOKUP(B165,'Gebouwgegevens Allacker'!$J$5:$Q$83,3,0)</f>
        <v>1</v>
      </c>
      <c r="D165" s="107" t="str">
        <f>VLOOKUP(B165,'Gebouwgegevens Allacker'!$J$5:$Q$83,4,0)</f>
        <v>Door</v>
      </c>
      <c r="E165" s="107">
        <f>VLOOKUP(B165,'Gebouwgegevens Allacker'!$J$5:$Q$83,5,0)</f>
        <v>7.5</v>
      </c>
      <c r="F165" s="107">
        <f>VLOOKUP(B165,'Gebouwgegevens Allacker'!$J$5:$Q$83,6,0)</f>
        <v>0</v>
      </c>
      <c r="G165" s="107">
        <f>VLOOKUP(B165,'Gebouwgegevens Allacker'!$J$5:$Q$83,7,0)</f>
        <v>4</v>
      </c>
      <c r="H165" s="108">
        <f>VLOOKUP(B165,'Gebouwgegevens Allacker'!$J$5:$Q$83,8,0)</f>
        <v>30</v>
      </c>
      <c r="I165" s="108">
        <v>1</v>
      </c>
      <c r="J165" s="98"/>
      <c r="K165" s="98"/>
      <c r="L165" s="98"/>
      <c r="M165" s="98"/>
      <c r="N165" s="98"/>
      <c r="O165" s="98"/>
      <c r="P165" s="96"/>
    </row>
    <row r="166" spans="1:16" ht="16.5" customHeight="1" x14ac:dyDescent="0.25">
      <c r="A166" s="95"/>
      <c r="B166" s="106"/>
      <c r="C166" s="107"/>
      <c r="D166" s="107"/>
      <c r="E166" s="107"/>
      <c r="F166" s="107"/>
      <c r="G166" s="107"/>
      <c r="H166" s="108"/>
      <c r="I166" s="108"/>
      <c r="J166" s="98"/>
      <c r="K166" s="98"/>
      <c r="L166" s="98"/>
      <c r="M166" s="98"/>
      <c r="N166" s="98"/>
      <c r="O166" s="98"/>
      <c r="P166" s="96"/>
    </row>
    <row r="167" spans="1:16" ht="16.5" customHeight="1" x14ac:dyDescent="0.25">
      <c r="A167" s="95"/>
      <c r="B167" s="106"/>
      <c r="C167" s="107"/>
      <c r="D167" s="107"/>
      <c r="E167" s="107"/>
      <c r="F167" s="107"/>
      <c r="G167" s="107"/>
      <c r="H167" s="108"/>
      <c r="I167" s="108"/>
      <c r="J167" s="98"/>
      <c r="K167" s="98"/>
      <c r="L167" s="98"/>
      <c r="M167" s="98"/>
      <c r="N167" s="98"/>
      <c r="O167" s="98"/>
      <c r="P167" s="96"/>
    </row>
    <row r="168" spans="1:16" ht="16.5" customHeight="1" x14ac:dyDescent="0.25">
      <c r="A168" s="95"/>
      <c r="B168" s="106"/>
      <c r="C168" s="107"/>
      <c r="D168" s="107"/>
      <c r="E168" s="107"/>
      <c r="F168" s="107"/>
      <c r="G168" s="107"/>
      <c r="H168" s="108"/>
      <c r="I168" s="108"/>
      <c r="J168" s="98"/>
      <c r="K168" s="98"/>
      <c r="L168" s="98"/>
      <c r="M168" s="98"/>
      <c r="N168" s="98"/>
      <c r="O168" s="98"/>
      <c r="P168" s="96"/>
    </row>
    <row r="169" spans="1:16" ht="16.5" customHeight="1" x14ac:dyDescent="0.25">
      <c r="A169" s="95"/>
      <c r="B169" s="106"/>
      <c r="C169" s="107"/>
      <c r="D169" s="107"/>
      <c r="E169" s="107"/>
      <c r="F169" s="107"/>
      <c r="G169" s="107"/>
      <c r="H169" s="108"/>
      <c r="I169" s="108"/>
      <c r="J169" s="98"/>
      <c r="K169" s="98"/>
      <c r="L169" s="98"/>
      <c r="M169" s="98"/>
      <c r="N169" s="98"/>
      <c r="O169" s="98"/>
      <c r="P169" s="96"/>
    </row>
    <row r="170" spans="1:16" ht="16.5" customHeight="1" x14ac:dyDescent="0.25">
      <c r="A170" s="95"/>
      <c r="B170" s="106"/>
      <c r="C170" s="107"/>
      <c r="D170" s="107"/>
      <c r="E170" s="107"/>
      <c r="F170" s="107"/>
      <c r="G170" s="107"/>
      <c r="H170" s="108"/>
      <c r="I170" s="108"/>
      <c r="J170" s="98"/>
      <c r="K170" s="98"/>
      <c r="L170" s="98"/>
      <c r="M170" s="98"/>
      <c r="N170" s="98"/>
      <c r="O170" s="98"/>
      <c r="P170" s="96"/>
    </row>
    <row r="171" spans="1:16" ht="16.5" customHeight="1" x14ac:dyDescent="0.25">
      <c r="A171" s="95"/>
      <c r="B171" s="106"/>
      <c r="C171" s="107"/>
      <c r="D171" s="107"/>
      <c r="E171" s="107"/>
      <c r="F171" s="107"/>
      <c r="G171" s="107"/>
      <c r="H171" s="108"/>
      <c r="I171" s="108"/>
      <c r="J171" s="98"/>
      <c r="K171" s="98"/>
      <c r="L171" s="98"/>
      <c r="M171" s="98"/>
      <c r="N171" s="98"/>
      <c r="O171" s="98"/>
      <c r="P171" s="96"/>
    </row>
    <row r="172" spans="1:16" ht="16.5" customHeight="1" x14ac:dyDescent="0.25">
      <c r="A172" s="95"/>
      <c r="B172" s="106"/>
      <c r="C172" s="107"/>
      <c r="D172" s="107"/>
      <c r="E172" s="107"/>
      <c r="F172" s="107"/>
      <c r="G172" s="107"/>
      <c r="H172" s="108"/>
      <c r="I172" s="108"/>
      <c r="J172" s="98"/>
      <c r="K172" s="98"/>
      <c r="L172" s="98"/>
      <c r="M172" s="98"/>
      <c r="N172" s="98"/>
      <c r="O172" s="98"/>
      <c r="P172" s="96"/>
    </row>
    <row r="173" spans="1:16" ht="16.5" customHeight="1" x14ac:dyDescent="0.25">
      <c r="A173" s="95"/>
      <c r="B173" s="106"/>
      <c r="C173" s="107"/>
      <c r="D173" s="107"/>
      <c r="E173" s="107"/>
      <c r="F173" s="107"/>
      <c r="G173" s="107"/>
      <c r="H173" s="108"/>
      <c r="I173" s="108"/>
      <c r="J173" s="98"/>
      <c r="K173" s="98"/>
      <c r="L173" s="98"/>
      <c r="M173" s="98"/>
      <c r="N173" s="98"/>
      <c r="O173" s="98"/>
      <c r="P173" s="96"/>
    </row>
    <row r="174" spans="1:16" ht="16.5" customHeight="1" x14ac:dyDescent="0.25">
      <c r="A174" s="95"/>
      <c r="B174" s="106"/>
      <c r="C174" s="107"/>
      <c r="D174" s="107"/>
      <c r="E174" s="107"/>
      <c r="F174" s="107"/>
      <c r="G174" s="107"/>
      <c r="H174" s="108"/>
      <c r="I174" s="108"/>
      <c r="J174" s="98"/>
      <c r="K174" s="98"/>
      <c r="L174" s="98"/>
      <c r="M174" s="98"/>
      <c r="N174" s="98"/>
      <c r="O174" s="98"/>
      <c r="P174" s="96"/>
    </row>
    <row r="175" spans="1:16" ht="16.5" customHeight="1" x14ac:dyDescent="0.25">
      <c r="A175" s="95"/>
      <c r="B175" s="106"/>
      <c r="C175" s="107"/>
      <c r="D175" s="107"/>
      <c r="E175" s="107"/>
      <c r="F175" s="107"/>
      <c r="G175" s="107"/>
      <c r="H175" s="108"/>
      <c r="I175" s="108"/>
      <c r="J175" s="98"/>
      <c r="K175" s="98"/>
      <c r="L175" s="98"/>
      <c r="M175" s="98"/>
      <c r="N175" s="98"/>
      <c r="O175" s="98"/>
      <c r="P175" s="96"/>
    </row>
    <row r="176" spans="1:16" ht="15.75" customHeight="1" x14ac:dyDescent="0.25">
      <c r="A176" s="95"/>
      <c r="B176" s="58"/>
      <c r="C176" s="58"/>
      <c r="D176" s="58"/>
      <c r="E176" s="58"/>
      <c r="F176" s="58"/>
      <c r="G176" s="114"/>
      <c r="H176" s="58"/>
      <c r="I176" s="58"/>
      <c r="J176" s="98"/>
      <c r="K176" s="98"/>
      <c r="L176" s="98"/>
      <c r="M176" s="98"/>
      <c r="N176" s="98"/>
      <c r="O176" s="98"/>
      <c r="P176" s="96"/>
    </row>
    <row r="177" spans="1:16" ht="15" customHeight="1" x14ac:dyDescent="0.25">
      <c r="A177" s="95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6"/>
    </row>
    <row r="178" spans="1:16" ht="15" customHeight="1" x14ac:dyDescent="0.25">
      <c r="A178" s="103" t="s">
        <v>177</v>
      </c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6"/>
    </row>
    <row r="179" spans="1:16" ht="15.75" customHeight="1" x14ac:dyDescent="0.25">
      <c r="A179" s="95"/>
      <c r="B179" s="58" t="s">
        <v>10</v>
      </c>
      <c r="C179" s="58" t="s">
        <v>178</v>
      </c>
      <c r="D179" s="58" t="s">
        <v>172</v>
      </c>
      <c r="E179" s="58" t="s">
        <v>179</v>
      </c>
      <c r="F179" s="58" t="s">
        <v>16</v>
      </c>
      <c r="G179" s="114" t="s">
        <v>17</v>
      </c>
      <c r="H179" s="114" t="s">
        <v>175</v>
      </c>
      <c r="I179" s="58" t="s">
        <v>180</v>
      </c>
      <c r="J179" s="58" t="s">
        <v>181</v>
      </c>
      <c r="K179" s="58" t="s">
        <v>182</v>
      </c>
      <c r="L179" s="115" t="s">
        <v>183</v>
      </c>
      <c r="M179" s="115" t="s">
        <v>184</v>
      </c>
      <c r="N179" s="115" t="s">
        <v>185</v>
      </c>
      <c r="O179" s="98"/>
      <c r="P179" s="96"/>
    </row>
    <row r="180" spans="1:16" ht="16.5" customHeight="1" x14ac:dyDescent="0.25">
      <c r="A180" s="95"/>
      <c r="B180" s="116" t="s">
        <v>223</v>
      </c>
      <c r="C180" s="117" t="e">
        <f>VLOOKUP(B180,'Gebouwgegevens Allacker'!$J$5:$Q$83,3,0)</f>
        <v>#N/A</v>
      </c>
      <c r="D180" s="117" t="e">
        <f>VLOOKUP(B180,'Gebouwgegevens Allacker'!$J$5:$Q$83,4,0)</f>
        <v>#N/A</v>
      </c>
      <c r="E180" s="117" t="e">
        <f>VLOOKUP(B180,'Gebouwgegevens Allacker'!$J$5:$Q$83,5,0)</f>
        <v>#N/A</v>
      </c>
      <c r="F180" s="117" t="e">
        <f>VLOOKUP(B180,'Gebouwgegevens Allacker'!$J$5:$Q$83,7,0)</f>
        <v>#N/A</v>
      </c>
      <c r="G180" s="118" t="e">
        <f>VLOOKUP(B180,'Gebouwgegevens Allacker'!$J$5:$Q$83,8,0)</f>
        <v>#N/A</v>
      </c>
      <c r="H180" s="118" t="e">
        <f>N180/F180</f>
        <v>#N/A</v>
      </c>
      <c r="I180" s="117" t="e">
        <f>VLOOKUP(C180,'Gebouwgegevens Allacker'!$A$35:$F$46,6,0)</f>
        <v>#N/A</v>
      </c>
      <c r="J180" s="116">
        <v>1.05</v>
      </c>
      <c r="K180" s="116">
        <v>0.33</v>
      </c>
      <c r="L180" s="119" t="e">
        <f>I180/(0.5*J180)</f>
        <v>#N/A</v>
      </c>
      <c r="M180" s="119" t="e">
        <f>K180+2*(1/F180)</f>
        <v>#N/A</v>
      </c>
      <c r="N180" s="120" t="e">
        <f>IF(M180&lt;L180,2*2/(PI()*L180+M180)*LN(PI()*L180/M180+1),2/(0.457*L180+M180))</f>
        <v>#N/A</v>
      </c>
      <c r="O180" s="98"/>
      <c r="P180" s="96"/>
    </row>
    <row r="181" spans="1:16" ht="16.5" customHeight="1" x14ac:dyDescent="0.25">
      <c r="A181" s="95"/>
      <c r="B181" s="116"/>
      <c r="C181" s="117"/>
      <c r="D181" s="117"/>
      <c r="E181" s="117"/>
      <c r="F181" s="117"/>
      <c r="G181" s="118"/>
      <c r="H181" s="118"/>
      <c r="I181" s="117"/>
      <c r="J181" s="116"/>
      <c r="K181" s="116"/>
      <c r="L181" s="119"/>
      <c r="M181" s="119"/>
      <c r="N181" s="120"/>
      <c r="O181" s="98"/>
      <c r="P181" s="96"/>
    </row>
    <row r="182" spans="1:16" ht="16.5" customHeight="1" x14ac:dyDescent="0.25">
      <c r="A182" s="95"/>
      <c r="B182" s="116"/>
      <c r="C182" s="117"/>
      <c r="D182" s="117"/>
      <c r="E182" s="117"/>
      <c r="F182" s="117"/>
      <c r="G182" s="118"/>
      <c r="H182" s="118"/>
      <c r="I182" s="117"/>
      <c r="J182" s="116"/>
      <c r="K182" s="116"/>
      <c r="L182" s="119"/>
      <c r="M182" s="119"/>
      <c r="N182" s="120"/>
      <c r="O182" s="98"/>
      <c r="P182" s="96"/>
    </row>
    <row r="183" spans="1:16" ht="16.5" customHeight="1" x14ac:dyDescent="0.25">
      <c r="A183" s="95"/>
      <c r="B183" s="116"/>
      <c r="C183" s="117"/>
      <c r="D183" s="117"/>
      <c r="E183" s="117"/>
      <c r="F183" s="117"/>
      <c r="G183" s="118"/>
      <c r="H183" s="118"/>
      <c r="I183" s="117"/>
      <c r="J183" s="116"/>
      <c r="K183" s="116"/>
      <c r="L183" s="119"/>
      <c r="M183" s="119"/>
      <c r="N183" s="120"/>
      <c r="O183" s="98"/>
      <c r="P183" s="96"/>
    </row>
    <row r="184" spans="1:16" ht="16.5" customHeight="1" x14ac:dyDescent="0.25">
      <c r="A184" s="138"/>
      <c r="B184" s="116"/>
      <c r="C184" s="117"/>
      <c r="D184" s="117"/>
      <c r="E184" s="117"/>
      <c r="F184" s="117"/>
      <c r="G184" s="118"/>
      <c r="H184" s="118"/>
      <c r="I184" s="117"/>
      <c r="J184" s="116"/>
      <c r="K184" s="116"/>
      <c r="L184" s="119"/>
      <c r="M184" s="119"/>
      <c r="N184" s="120"/>
      <c r="O184" s="98"/>
      <c r="P184" s="96"/>
    </row>
    <row r="185" spans="1:16" ht="15.75" customHeight="1" x14ac:dyDescent="0.25">
      <c r="A185" s="95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6"/>
    </row>
    <row r="186" spans="1:16" ht="15" customHeight="1" x14ac:dyDescent="0.25">
      <c r="A186" s="103" t="s">
        <v>186</v>
      </c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6"/>
    </row>
    <row r="187" spans="1:16" ht="15.75" customHeight="1" x14ac:dyDescent="0.25">
      <c r="A187" s="95"/>
      <c r="B187" s="58" t="s">
        <v>10</v>
      </c>
      <c r="C187" s="58" t="s">
        <v>187</v>
      </c>
      <c r="D187" s="58" t="s">
        <v>188</v>
      </c>
      <c r="E187" s="58" t="s">
        <v>135</v>
      </c>
      <c r="F187" s="58" t="s">
        <v>189</v>
      </c>
      <c r="G187" s="58" t="s">
        <v>190</v>
      </c>
      <c r="H187" s="58" t="s">
        <v>191</v>
      </c>
      <c r="I187" s="58" t="s">
        <v>16</v>
      </c>
      <c r="J187" s="114" t="s">
        <v>17</v>
      </c>
      <c r="K187" s="114" t="s">
        <v>175</v>
      </c>
      <c r="L187" s="98"/>
      <c r="M187" s="98"/>
      <c r="N187" s="98"/>
      <c r="O187" s="98"/>
      <c r="P187" s="96"/>
    </row>
    <row r="188" spans="1:16" ht="16.5" customHeight="1" x14ac:dyDescent="0.25">
      <c r="A188" s="95"/>
      <c r="B188" s="121" t="s">
        <v>224</v>
      </c>
      <c r="C188" s="122" t="e">
        <f>IF(VLOOKUP(B188,'Gebouwgegevens Allacker'!$J$5:$Q$83,2,0)=$B$158,VLOOKUP(B188,'Gebouwgegevens Allacker'!$J$5:$Q$83,2,0),VLOOKUP(B188,'Gebouwgegevens Allacker'!$J$5:$Q$83,3,0))</f>
        <v>#N/A</v>
      </c>
      <c r="D188" s="122" t="e">
        <f>IF(VLOOKUP(B188,'Gebouwgegevens Allacker'!$J$5:$Q$83,2,0)=$B$158,VLOOKUP(B188,'Gebouwgegevens Allacker'!$J$5:$Q$83,3,0),VLOOKUP(B188,'Gebouwgegevens Allacker'!$J$5:$Q$83,2,0))</f>
        <v>#N/A</v>
      </c>
      <c r="E188" s="122" t="e">
        <f>VLOOKUP(B188,'Gebouwgegevens Allacker'!$J$5:$Q$83,4,0)</f>
        <v>#N/A</v>
      </c>
      <c r="F188" s="122" t="e">
        <f>VLOOKUP(B188,'Gebouwgegevens Allacker'!$J$5:$Q$83,5,0)</f>
        <v>#N/A</v>
      </c>
      <c r="G188" s="122" t="e">
        <f>VLOOKUP('Verwarming Tabula 2zone'!C188,'Gebouwgegevens Allacker'!$A$35:$F$46,5,0)</f>
        <v>#N/A</v>
      </c>
      <c r="H188" s="122" t="e">
        <f>VLOOKUP('Verwarming Tabula 2zone'!D188,'Gebouwgegevens Allacker'!$A$35:$F$46,5,0)</f>
        <v>#N/A</v>
      </c>
      <c r="I188" s="122" t="e">
        <f>VLOOKUP(B188,'Gebouwgegevens Allacker'!$J$5:$Q$83,7,0)</f>
        <v>#N/A</v>
      </c>
      <c r="J188" s="118" t="e">
        <f>VLOOKUP(B188,'Gebouwgegevens Allacker'!$J$5:$Q$83,8,0)</f>
        <v>#N/A</v>
      </c>
      <c r="K188" s="118" t="e">
        <f>(G188-H188)/(G188-$B$4)</f>
        <v>#N/A</v>
      </c>
      <c r="L188" s="98"/>
      <c r="M188" s="98"/>
      <c r="N188" s="98"/>
      <c r="O188" s="98"/>
      <c r="P188" s="96"/>
    </row>
    <row r="189" spans="1:16" ht="16.5" customHeight="1" x14ac:dyDescent="0.25">
      <c r="A189" s="95"/>
      <c r="B189" s="121" t="s">
        <v>225</v>
      </c>
      <c r="C189" s="122" t="e">
        <f>IF(VLOOKUP(B189,'Gebouwgegevens Allacker'!$J$5:$Q$83,2,0)=$B$158,VLOOKUP(B189,'Gebouwgegevens Allacker'!$J$5:$Q$83,2,0),VLOOKUP(B189,'Gebouwgegevens Allacker'!$J$5:$Q$83,3,0))</f>
        <v>#N/A</v>
      </c>
      <c r="D189" s="122" t="e">
        <f>IF(VLOOKUP(B189,'Gebouwgegevens Allacker'!$J$5:$Q$83,2,0)=$B$158,VLOOKUP(B189,'Gebouwgegevens Allacker'!$J$5:$Q$83,3,0),VLOOKUP(B189,'Gebouwgegevens Allacker'!$J$5:$Q$83,2,0))</f>
        <v>#N/A</v>
      </c>
      <c r="E189" s="122" t="e">
        <f>VLOOKUP(B189,'Gebouwgegevens Allacker'!$J$5:$Q$83,4,0)</f>
        <v>#N/A</v>
      </c>
      <c r="F189" s="122" t="e">
        <f>VLOOKUP(B189,'Gebouwgegevens Allacker'!$J$5:$Q$83,5,0)</f>
        <v>#N/A</v>
      </c>
      <c r="G189" s="122" t="e">
        <f>VLOOKUP('Verwarming Tabula 2zone'!C189,'Gebouwgegevens Allacker'!$A$35:$F$46,5,0)</f>
        <v>#N/A</v>
      </c>
      <c r="H189" s="122" t="e">
        <f>VLOOKUP('Verwarming Tabula 2zone'!D189,'Gebouwgegevens Allacker'!$A$35:$F$46,5,0)</f>
        <v>#N/A</v>
      </c>
      <c r="I189" s="122" t="e">
        <f>VLOOKUP(B189,'Gebouwgegevens Allacker'!$J$5:$Q$83,7,0)</f>
        <v>#N/A</v>
      </c>
      <c r="J189" s="118" t="e">
        <f>VLOOKUP(B189,'Gebouwgegevens Allacker'!$J$5:$Q$83,8,0)</f>
        <v>#N/A</v>
      </c>
      <c r="K189" s="118" t="e">
        <f>(G189-H189)/(G189-$B$4)</f>
        <v>#N/A</v>
      </c>
      <c r="L189" s="98"/>
      <c r="M189" s="98"/>
      <c r="N189" s="98"/>
      <c r="O189" s="98"/>
      <c r="P189" s="96"/>
    </row>
    <row r="190" spans="1:16" ht="16.5" customHeight="1" x14ac:dyDescent="0.25">
      <c r="A190" s="95"/>
      <c r="B190" s="121" t="s">
        <v>226</v>
      </c>
      <c r="C190" s="122" t="e">
        <f>IF(VLOOKUP(B190,'Gebouwgegevens Allacker'!$J$5:$Q$83,2,0)=$B$158,VLOOKUP(B190,'Gebouwgegevens Allacker'!$J$5:$Q$83,2,0),VLOOKUP(B190,'Gebouwgegevens Allacker'!$J$5:$Q$83,3,0))</f>
        <v>#N/A</v>
      </c>
      <c r="D190" s="122" t="e">
        <f>IF(VLOOKUP(B190,'Gebouwgegevens Allacker'!$J$5:$Q$83,2,0)=$B$158,VLOOKUP(B190,'Gebouwgegevens Allacker'!$J$5:$Q$83,3,0),VLOOKUP(B190,'Gebouwgegevens Allacker'!$J$5:$Q$83,2,0))</f>
        <v>#N/A</v>
      </c>
      <c r="E190" s="122" t="e">
        <f>VLOOKUP(B190,'Gebouwgegevens Allacker'!$J$5:$Q$83,4,0)</f>
        <v>#N/A</v>
      </c>
      <c r="F190" s="122" t="e">
        <f>VLOOKUP(B190,'Gebouwgegevens Allacker'!$J$5:$Q$83,5,0)</f>
        <v>#N/A</v>
      </c>
      <c r="G190" s="122" t="e">
        <f>VLOOKUP('Verwarming Tabula 2zone'!C190,'Gebouwgegevens Allacker'!$A$35:$F$46,5,0)</f>
        <v>#N/A</v>
      </c>
      <c r="H190" s="122" t="e">
        <f>VLOOKUP('Verwarming Tabula 2zone'!D190,'Gebouwgegevens Allacker'!$A$35:$F$46,5,0)</f>
        <v>#N/A</v>
      </c>
      <c r="I190" s="122" t="e">
        <f>VLOOKUP(B190,'Gebouwgegevens Allacker'!$J$5:$Q$83,7,0)</f>
        <v>#N/A</v>
      </c>
      <c r="J190" s="118" t="e">
        <f>VLOOKUP(B190,'Gebouwgegevens Allacker'!$J$5:$Q$83,8,0)</f>
        <v>#N/A</v>
      </c>
      <c r="K190" s="118" t="e">
        <f>(G190-H190)/(G190-$B$4)</f>
        <v>#N/A</v>
      </c>
      <c r="L190" s="98"/>
      <c r="M190" s="98"/>
      <c r="N190" s="98"/>
      <c r="O190" s="98"/>
      <c r="P190" s="96"/>
    </row>
    <row r="191" spans="1:16" ht="16.5" customHeight="1" x14ac:dyDescent="0.25">
      <c r="A191" s="95"/>
      <c r="B191" s="92"/>
      <c r="C191" s="122"/>
      <c r="D191" s="122"/>
      <c r="E191" s="122"/>
      <c r="F191" s="122"/>
      <c r="G191" s="122"/>
      <c r="H191" s="122"/>
      <c r="I191" s="122"/>
      <c r="J191" s="118"/>
      <c r="K191" s="118"/>
      <c r="L191" s="98"/>
      <c r="M191" s="98"/>
      <c r="N191" s="98"/>
      <c r="O191" s="98"/>
      <c r="P191" s="96"/>
    </row>
    <row r="192" spans="1:16" ht="16.5" customHeight="1" x14ac:dyDescent="0.25">
      <c r="A192" s="95"/>
      <c r="B192" s="123"/>
      <c r="C192" s="139"/>
      <c r="D192" s="122"/>
      <c r="E192" s="122"/>
      <c r="F192" s="122"/>
      <c r="G192" s="122"/>
      <c r="H192" s="122"/>
      <c r="I192" s="122"/>
      <c r="J192" s="118"/>
      <c r="K192" s="118"/>
      <c r="L192" s="98"/>
      <c r="M192" s="98"/>
      <c r="N192" s="98"/>
      <c r="O192" s="98"/>
      <c r="P192" s="96"/>
    </row>
    <row r="193" spans="1:16" ht="16.5" customHeight="1" x14ac:dyDescent="0.25">
      <c r="A193" s="95"/>
      <c r="B193" s="123"/>
      <c r="C193" s="139"/>
      <c r="D193" s="122"/>
      <c r="E193" s="122"/>
      <c r="F193" s="122"/>
      <c r="G193" s="122"/>
      <c r="H193" s="122"/>
      <c r="I193" s="122"/>
      <c r="J193" s="118"/>
      <c r="K193" s="118"/>
      <c r="L193" s="98"/>
      <c r="M193" s="98"/>
      <c r="N193" s="98"/>
      <c r="O193" s="98"/>
      <c r="P193" s="96"/>
    </row>
    <row r="194" spans="1:16" ht="16.5" customHeight="1" x14ac:dyDescent="0.25">
      <c r="A194" s="95"/>
      <c r="B194" s="123"/>
      <c r="C194" s="139"/>
      <c r="D194" s="122"/>
      <c r="E194" s="122"/>
      <c r="F194" s="122"/>
      <c r="G194" s="122"/>
      <c r="H194" s="122"/>
      <c r="I194" s="122"/>
      <c r="J194" s="118"/>
      <c r="K194" s="118"/>
      <c r="L194" s="98"/>
      <c r="M194" s="98"/>
      <c r="N194" s="98"/>
      <c r="O194" s="98"/>
      <c r="P194" s="96"/>
    </row>
    <row r="195" spans="1:16" ht="16.5" customHeight="1" x14ac:dyDescent="0.25">
      <c r="A195" s="95"/>
      <c r="B195" s="123"/>
      <c r="C195" s="139"/>
      <c r="D195" s="122"/>
      <c r="E195" s="122"/>
      <c r="F195" s="122"/>
      <c r="G195" s="122"/>
      <c r="H195" s="122"/>
      <c r="I195" s="122"/>
      <c r="J195" s="118"/>
      <c r="K195" s="118"/>
      <c r="L195" s="98"/>
      <c r="M195" s="98"/>
      <c r="N195" s="98"/>
      <c r="O195" s="98"/>
      <c r="P195" s="96"/>
    </row>
    <row r="196" spans="1:16" ht="16.5" customHeight="1" x14ac:dyDescent="0.25">
      <c r="A196" s="95"/>
      <c r="B196" s="123"/>
      <c r="C196" s="139"/>
      <c r="D196" s="122"/>
      <c r="E196" s="122"/>
      <c r="F196" s="122"/>
      <c r="G196" s="122"/>
      <c r="H196" s="122"/>
      <c r="I196" s="122"/>
      <c r="J196" s="118"/>
      <c r="K196" s="118"/>
      <c r="L196" s="98"/>
      <c r="M196" s="98"/>
      <c r="N196" s="98"/>
      <c r="O196" s="98"/>
      <c r="P196" s="96"/>
    </row>
    <row r="197" spans="1:16" ht="16.5" customHeight="1" x14ac:dyDescent="0.25">
      <c r="A197" s="95"/>
      <c r="B197" s="123"/>
      <c r="C197" s="139"/>
      <c r="D197" s="122"/>
      <c r="E197" s="122"/>
      <c r="F197" s="122"/>
      <c r="G197" s="122"/>
      <c r="H197" s="122"/>
      <c r="I197" s="122"/>
      <c r="J197" s="118"/>
      <c r="K197" s="118"/>
      <c r="L197" s="98"/>
      <c r="M197" s="98"/>
      <c r="N197" s="98"/>
      <c r="O197" s="98"/>
      <c r="P197" s="96"/>
    </row>
    <row r="198" spans="1:16" ht="15.75" customHeight="1" x14ac:dyDescent="0.25">
      <c r="A198" s="95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8"/>
      <c r="M198" s="98"/>
      <c r="N198" s="98"/>
      <c r="O198" s="98"/>
      <c r="P198" s="96"/>
    </row>
    <row r="199" spans="1:16" ht="15" customHeight="1" x14ac:dyDescent="0.25">
      <c r="A199" s="95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6"/>
    </row>
    <row r="200" spans="1:16" ht="15.75" customHeight="1" x14ac:dyDescent="0.25">
      <c r="A200" s="103" t="s">
        <v>192</v>
      </c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6"/>
    </row>
    <row r="201" spans="1:16" ht="16.5" customHeight="1" x14ac:dyDescent="0.25">
      <c r="A201" s="124" t="s">
        <v>193</v>
      </c>
      <c r="B201" s="118" t="e">
        <f>SUMPRODUCT(H164:H175,I164:I175)+SUMPRODUCT(G180:G184,H180:H184)+SUMPRODUCT(J188:J197,K188:K197)</f>
        <v>#N/A</v>
      </c>
      <c r="C201" s="118" t="s">
        <v>107</v>
      </c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6"/>
    </row>
    <row r="202" spans="1:16" ht="16.5" customHeight="1" x14ac:dyDescent="0.25">
      <c r="A202" s="124" t="s">
        <v>167</v>
      </c>
      <c r="B202" s="118" t="e">
        <f>B201*(G188-$B$4)</f>
        <v>#N/A</v>
      </c>
      <c r="C202" s="118" t="s">
        <v>169</v>
      </c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6"/>
    </row>
    <row r="203" spans="1:16" ht="15.75" customHeight="1" x14ac:dyDescent="0.25">
      <c r="A203" s="109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1"/>
    </row>
    <row r="204" spans="1:16" ht="15.75" customHeight="1" x14ac:dyDescent="0.25">
      <c r="A204" s="343" t="s">
        <v>194</v>
      </c>
      <c r="B204" s="343"/>
      <c r="C204" s="343"/>
      <c r="D204" s="125" t="s">
        <v>222</v>
      </c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94"/>
    </row>
    <row r="205" spans="1:16" ht="15" customHeight="1" x14ac:dyDescent="0.25">
      <c r="A205" s="95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6"/>
    </row>
    <row r="206" spans="1:16" ht="15" customHeight="1" x14ac:dyDescent="0.25">
      <c r="A206" s="126" t="s">
        <v>195</v>
      </c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6"/>
    </row>
    <row r="207" spans="1:16" ht="15" customHeight="1" x14ac:dyDescent="0.25">
      <c r="A207" s="127" t="s">
        <v>196</v>
      </c>
      <c r="B207" s="121">
        <v>8</v>
      </c>
      <c r="C207" s="120" t="s">
        <v>197</v>
      </c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6"/>
    </row>
    <row r="208" spans="1:16" ht="15" customHeight="1" x14ac:dyDescent="0.25">
      <c r="A208" s="127" t="s">
        <v>198</v>
      </c>
      <c r="B208" s="121">
        <v>0.03</v>
      </c>
      <c r="C208" s="120" t="s">
        <v>199</v>
      </c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6"/>
    </row>
    <row r="209" spans="1:16" ht="15.75" customHeight="1" x14ac:dyDescent="0.25">
      <c r="A209" s="127" t="s">
        <v>200</v>
      </c>
      <c r="B209" s="121">
        <v>1</v>
      </c>
      <c r="C209" s="120" t="s">
        <v>201</v>
      </c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6"/>
    </row>
    <row r="210" spans="1:16" ht="16.5" customHeight="1" x14ac:dyDescent="0.25">
      <c r="A210" s="124" t="s">
        <v>202</v>
      </c>
      <c r="B210" s="118">
        <f>2*VLOOKUP(B158,'Gebouwgegevens Allacker'!$A$35:$F$46,6,0)*B207*B208*B209</f>
        <v>0</v>
      </c>
      <c r="C210" s="118" t="s">
        <v>203</v>
      </c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6"/>
    </row>
    <row r="211" spans="1:16" ht="15.75" customHeight="1" x14ac:dyDescent="0.25">
      <c r="A211" s="95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6"/>
    </row>
    <row r="212" spans="1:16" ht="15" customHeight="1" x14ac:dyDescent="0.25">
      <c r="A212" s="126" t="s">
        <v>204</v>
      </c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6"/>
    </row>
    <row r="213" spans="1:16" ht="15.75" customHeight="1" x14ac:dyDescent="0.25">
      <c r="A213" s="95" t="s">
        <v>180</v>
      </c>
      <c r="B213" s="98">
        <f>VLOOKUP(B158,'Gebouwgegevens Allacker'!$A$35:$F$46,6,0)</f>
        <v>0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6"/>
    </row>
    <row r="214" spans="1:16" ht="16.5" customHeight="1" x14ac:dyDescent="0.25">
      <c r="A214" s="124" t="s">
        <v>205</v>
      </c>
      <c r="B214" s="128">
        <v>25</v>
      </c>
      <c r="C214" s="118" t="s">
        <v>203</v>
      </c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6"/>
    </row>
    <row r="215" spans="1:16" ht="15.75" customHeight="1" x14ac:dyDescent="0.25">
      <c r="A215" s="95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6"/>
    </row>
    <row r="216" spans="1:16" ht="15.75" customHeight="1" x14ac:dyDescent="0.25">
      <c r="A216" s="95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6"/>
    </row>
    <row r="217" spans="1:16" ht="16.5" customHeight="1" x14ac:dyDescent="0.25">
      <c r="A217" s="124" t="s">
        <v>207</v>
      </c>
      <c r="B217" s="118">
        <f>MAX(B210,B214)</f>
        <v>25</v>
      </c>
      <c r="C217" s="118" t="s">
        <v>203</v>
      </c>
      <c r="D217" s="98"/>
      <c r="E217" s="98"/>
      <c r="F217" s="118" t="s">
        <v>208</v>
      </c>
      <c r="G217" s="118">
        <f>B217/VLOOKUP(B158,'Gebouwgegevens Allacker'!$A$35:$B$46,2,0)</f>
        <v>0.16407644649795233</v>
      </c>
      <c r="H217" s="98"/>
      <c r="I217" s="98"/>
      <c r="J217" s="98"/>
      <c r="K217" s="98"/>
      <c r="L217" s="98"/>
      <c r="M217" s="98"/>
      <c r="N217" s="98"/>
      <c r="O217" s="98"/>
      <c r="P217" s="96"/>
    </row>
    <row r="218" spans="1:16" ht="16.5" customHeight="1" x14ac:dyDescent="0.25">
      <c r="A218" s="95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6"/>
    </row>
    <row r="219" spans="1:16" ht="16.5" customHeight="1" x14ac:dyDescent="0.25">
      <c r="A219" s="124" t="s">
        <v>209</v>
      </c>
      <c r="B219" s="118">
        <f>0.34*B217</f>
        <v>8.5</v>
      </c>
      <c r="C219" s="118" t="s">
        <v>107</v>
      </c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6"/>
    </row>
    <row r="220" spans="1:16" ht="16.5" customHeight="1" x14ac:dyDescent="0.25">
      <c r="A220" s="124" t="s">
        <v>167</v>
      </c>
      <c r="B220" s="118">
        <f>B219*('Gebouwgegevens Allacker'!E180-$B$4)</f>
        <v>68</v>
      </c>
      <c r="C220" s="118" t="s">
        <v>169</v>
      </c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6"/>
    </row>
    <row r="221" spans="1:16" ht="15.75" customHeight="1" x14ac:dyDescent="0.25">
      <c r="A221" s="140"/>
      <c r="B221" s="141"/>
      <c r="C221" s="141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1"/>
    </row>
    <row r="222" spans="1:16" ht="15.75" customHeight="1" x14ac:dyDescent="0.25">
      <c r="A222" s="343" t="s">
        <v>210</v>
      </c>
      <c r="B222" s="343"/>
      <c r="C222" s="343"/>
      <c r="D222" s="343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6"/>
    </row>
    <row r="223" spans="1:16" ht="15" customHeight="1" x14ac:dyDescent="0.25">
      <c r="A223" s="95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6"/>
    </row>
    <row r="224" spans="1:16" ht="15" customHeight="1" x14ac:dyDescent="0.25">
      <c r="A224" s="127" t="s">
        <v>211</v>
      </c>
      <c r="B224" s="121">
        <v>0</v>
      </c>
      <c r="C224" s="58" t="s">
        <v>227</v>
      </c>
      <c r="D224" s="5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6"/>
    </row>
    <row r="225" spans="1:16" ht="15.75" customHeight="1" x14ac:dyDescent="0.25">
      <c r="A225" s="3" t="s">
        <v>113</v>
      </c>
      <c r="B225" s="58">
        <f>VLOOKUP(B158,'Gebouwgegevens Allacker'!$A$35:$F$46,6,0)</f>
        <v>0</v>
      </c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6"/>
    </row>
    <row r="226" spans="1:16" ht="16.5" customHeight="1" x14ac:dyDescent="0.25">
      <c r="A226" s="124" t="s">
        <v>213</v>
      </c>
      <c r="B226" s="118">
        <f>B227/('Gebouwgegevens Allacker'!E180-'Verwarming Tabula 2zone'!$B$4)</f>
        <v>0</v>
      </c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6"/>
    </row>
    <row r="227" spans="1:16" ht="16.5" customHeight="1" x14ac:dyDescent="0.25">
      <c r="A227" s="124" t="s">
        <v>167</v>
      </c>
      <c r="B227" s="118">
        <f>B224*B225</f>
        <v>0</v>
      </c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6"/>
    </row>
    <row r="228" spans="1:16" ht="15.75" customHeight="1" x14ac:dyDescent="0.25">
      <c r="A228" s="95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6"/>
    </row>
    <row r="229" spans="1:16" ht="15.75" customHeight="1" x14ac:dyDescent="0.25">
      <c r="A229" s="95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6"/>
    </row>
    <row r="230" spans="1:16" ht="15.75" customHeight="1" x14ac:dyDescent="0.25">
      <c r="A230" s="129" t="s">
        <v>214</v>
      </c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1"/>
    </row>
    <row r="231" spans="1:16" ht="16.5" customHeight="1" x14ac:dyDescent="0.25">
      <c r="A231" s="124" t="s">
        <v>215</v>
      </c>
      <c r="B231" s="118" t="e">
        <f>SUM(B201,B219,B226)</f>
        <v>#N/A</v>
      </c>
      <c r="C231" s="118" t="s">
        <v>107</v>
      </c>
      <c r="D231" s="132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3"/>
    </row>
    <row r="232" spans="1:16" ht="16.5" customHeight="1" x14ac:dyDescent="0.25">
      <c r="A232" s="124" t="s">
        <v>167</v>
      </c>
      <c r="B232" s="118" t="e">
        <f>SUM(B202,B220,B227)</f>
        <v>#N/A</v>
      </c>
      <c r="C232" s="118" t="s">
        <v>169</v>
      </c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3"/>
    </row>
    <row r="233" spans="1:16" ht="16.5" customHeight="1" x14ac:dyDescent="0.25">
      <c r="A233" s="134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6"/>
    </row>
    <row r="234" spans="1:16" ht="15" customHeight="1" x14ac:dyDescent="0.25">
      <c r="A234" s="137"/>
      <c r="B234" s="137"/>
      <c r="C234" s="137"/>
      <c r="D234" s="137"/>
      <c r="E234" s="137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</row>
    <row r="235" spans="1:16" ht="15.75" customHeight="1" x14ac:dyDescent="0.25">
      <c r="A235" s="137"/>
      <c r="B235" s="137"/>
      <c r="C235" s="137"/>
      <c r="D235" s="137"/>
      <c r="E235" s="137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</row>
    <row r="236" spans="1:16" ht="15" customHeight="1" x14ac:dyDescent="0.25">
      <c r="A236" s="93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94"/>
    </row>
    <row r="237" spans="1:16" ht="17.25" customHeight="1" x14ac:dyDescent="0.3">
      <c r="A237" s="97" t="s">
        <v>166</v>
      </c>
      <c r="B237" s="92">
        <v>4</v>
      </c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6"/>
    </row>
    <row r="238" spans="1:16" ht="15.75" customHeight="1" x14ac:dyDescent="0.25">
      <c r="A238" s="343" t="s">
        <v>168</v>
      </c>
      <c r="B238" s="343"/>
      <c r="C238" s="343"/>
      <c r="D238" s="343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94"/>
    </row>
    <row r="239" spans="1:16" ht="15" customHeight="1" x14ac:dyDescent="0.25">
      <c r="A239" s="95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6"/>
    </row>
    <row r="240" spans="1:16" ht="15" customHeight="1" x14ac:dyDescent="0.25">
      <c r="A240" s="103" t="s">
        <v>170</v>
      </c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6"/>
    </row>
    <row r="241" spans="1:16" ht="15" customHeight="1" x14ac:dyDescent="0.25">
      <c r="A241" s="95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6"/>
    </row>
    <row r="242" spans="1:16" ht="15.75" customHeight="1" x14ac:dyDescent="0.25">
      <c r="A242" s="95"/>
      <c r="B242" s="104" t="s">
        <v>10</v>
      </c>
      <c r="C242" s="104" t="s">
        <v>171</v>
      </c>
      <c r="D242" s="104" t="s">
        <v>172</v>
      </c>
      <c r="E242" s="104" t="s">
        <v>173</v>
      </c>
      <c r="F242" s="104" t="s">
        <v>174</v>
      </c>
      <c r="G242" s="104" t="s">
        <v>16</v>
      </c>
      <c r="H242" s="105" t="s">
        <v>17</v>
      </c>
      <c r="I242" s="105" t="s">
        <v>175</v>
      </c>
      <c r="J242" s="98"/>
      <c r="K242" s="98"/>
      <c r="L242" s="98"/>
      <c r="M242" s="98"/>
      <c r="N242" s="98"/>
      <c r="O242" s="98"/>
      <c r="P242" s="96"/>
    </row>
    <row r="243" spans="1:16" ht="16.5" customHeight="1" x14ac:dyDescent="0.25">
      <c r="A243" s="95"/>
      <c r="B243" s="106" t="s">
        <v>71</v>
      </c>
      <c r="C243" s="107">
        <f>VLOOKUP(B243,'Gebouwgegevens Allacker'!$J$5:$Q$83,3,0)</f>
        <v>3</v>
      </c>
      <c r="D243" s="107" t="str">
        <f>VLOOKUP(B243,'Gebouwgegevens Allacker'!$J$5:$Q$83,4,0)</f>
        <v>Wall External</v>
      </c>
      <c r="E243" s="107">
        <f>VLOOKUP(B243,'Gebouwgegevens Allacker'!$J$5:$Q$83,5,0)</f>
        <v>0</v>
      </c>
      <c r="F243" s="107" t="str">
        <f>VLOOKUP(B243,'Gebouwgegevens Allacker'!$J$5:$Q$83,6,0)</f>
        <v>front</v>
      </c>
      <c r="G243" s="107">
        <f>VLOOKUP(B243,'Gebouwgegevens Allacker'!$J$5:$Q$83,7,0)</f>
        <v>2.2022341505875525</v>
      </c>
      <c r="H243" s="108">
        <f>VLOOKUP(B243,'Gebouwgegevens Allacker'!$J$5:$Q$83,8,0)</f>
        <v>0</v>
      </c>
      <c r="I243" s="108">
        <v>1</v>
      </c>
      <c r="J243" s="98"/>
      <c r="K243" s="98"/>
      <c r="L243" s="98"/>
      <c r="M243" s="98"/>
      <c r="N243" s="98"/>
      <c r="O243" s="98"/>
      <c r="P243" s="96"/>
    </row>
    <row r="244" spans="1:16" ht="16.5" customHeight="1" x14ac:dyDescent="0.25">
      <c r="A244" s="95"/>
      <c r="B244" s="106" t="s">
        <v>75</v>
      </c>
      <c r="C244" s="107">
        <f>VLOOKUP(B244,'Gebouwgegevens Allacker'!$J$5:$Q$83,3,0)</f>
        <v>3</v>
      </c>
      <c r="D244" s="107" t="str">
        <f>VLOOKUP(B244,'Gebouwgegevens Allacker'!$J$5:$Q$83,4,0)</f>
        <v>Wall External</v>
      </c>
      <c r="E244" s="107">
        <f>VLOOKUP(B244,'Gebouwgegevens Allacker'!$J$5:$Q$83,5,0)</f>
        <v>14.24</v>
      </c>
      <c r="F244" s="107" t="str">
        <f>VLOOKUP(B244,'Gebouwgegevens Allacker'!$J$5:$Q$83,6,0)</f>
        <v>right</v>
      </c>
      <c r="G244" s="107">
        <f>VLOOKUP(B244,'Gebouwgegevens Allacker'!$J$5:$Q$83,7,0)</f>
        <v>2.2022341505875525</v>
      </c>
      <c r="H244" s="108">
        <f>VLOOKUP(B244,'Gebouwgegevens Allacker'!$J$5:$Q$83,8,0)</f>
        <v>31.359814304366747</v>
      </c>
      <c r="I244" s="108">
        <v>1</v>
      </c>
      <c r="J244" s="98"/>
      <c r="K244" s="98"/>
      <c r="L244" s="98"/>
      <c r="M244" s="98"/>
      <c r="N244" s="98"/>
      <c r="O244" s="98"/>
      <c r="P244" s="96"/>
    </row>
    <row r="245" spans="1:16" ht="16.5" customHeight="1" x14ac:dyDescent="0.25">
      <c r="A245" s="95"/>
      <c r="B245" s="106" t="s">
        <v>79</v>
      </c>
      <c r="C245" s="107">
        <f>VLOOKUP(B245,'Gebouwgegevens Allacker'!$J$5:$Q$83,3,0)</f>
        <v>3</v>
      </c>
      <c r="D245" s="107" t="str">
        <f>VLOOKUP(B245,'Gebouwgegevens Allacker'!$J$5:$Q$83,4,0)</f>
        <v>Wall External</v>
      </c>
      <c r="E245" s="107">
        <f>VLOOKUP(B245,'Gebouwgegevens Allacker'!$J$5:$Q$83,5,0)</f>
        <v>0</v>
      </c>
      <c r="F245" s="107" t="str">
        <f>VLOOKUP(B245,'Gebouwgegevens Allacker'!$J$5:$Q$83,6,0)</f>
        <v>back</v>
      </c>
      <c r="G245" s="107">
        <f>VLOOKUP(B245,'Gebouwgegevens Allacker'!$J$5:$Q$83,7,0)</f>
        <v>2.2022341505875525</v>
      </c>
      <c r="H245" s="108">
        <f>VLOOKUP(B245,'Gebouwgegevens Allacker'!$J$5:$Q$83,8,0)</f>
        <v>0</v>
      </c>
      <c r="I245" s="108">
        <v>1</v>
      </c>
      <c r="J245" s="98"/>
      <c r="K245" s="98"/>
      <c r="L245" s="98"/>
      <c r="M245" s="98"/>
      <c r="N245" s="98"/>
      <c r="O245" s="98"/>
      <c r="P245" s="96"/>
    </row>
    <row r="246" spans="1:16" ht="16.5" customHeight="1" x14ac:dyDescent="0.25">
      <c r="A246" s="95"/>
      <c r="B246" s="142" t="s">
        <v>82</v>
      </c>
      <c r="C246" s="107">
        <f>VLOOKUP(B246,'Gebouwgegevens Allacker'!$J$5:$Q$83,3,0)</f>
        <v>3</v>
      </c>
      <c r="D246" s="107" t="str">
        <f>VLOOKUP(B246,'Gebouwgegevens Allacker'!$J$5:$Q$83,4,0)</f>
        <v>Wall External</v>
      </c>
      <c r="E246" s="107">
        <f>VLOOKUP(B246,'Gebouwgegevens Allacker'!$J$5:$Q$83,5,0)</f>
        <v>14.24</v>
      </c>
      <c r="F246" s="107" t="str">
        <f>VLOOKUP(B246,'Gebouwgegevens Allacker'!$J$5:$Q$83,6,0)</f>
        <v>left</v>
      </c>
      <c r="G246" s="107">
        <f>VLOOKUP(B246,'Gebouwgegevens Allacker'!$J$5:$Q$83,7,0)</f>
        <v>2.2022341505875525</v>
      </c>
      <c r="H246" s="108">
        <f>VLOOKUP(B246,'Gebouwgegevens Allacker'!$J$5:$Q$83,8,0)</f>
        <v>31.359814304366747</v>
      </c>
      <c r="I246" s="108">
        <v>1</v>
      </c>
      <c r="J246" s="98"/>
      <c r="K246" s="98"/>
      <c r="L246" s="98"/>
      <c r="M246" s="98"/>
      <c r="N246" s="98"/>
      <c r="O246" s="98"/>
      <c r="P246" s="96"/>
    </row>
    <row r="247" spans="1:16" ht="16.5" customHeight="1" x14ac:dyDescent="0.25">
      <c r="A247" s="95"/>
      <c r="B247" s="143"/>
      <c r="C247" s="144"/>
      <c r="D247" s="107"/>
      <c r="E247" s="107"/>
      <c r="F247" s="107"/>
      <c r="G247" s="107"/>
      <c r="H247" s="108"/>
      <c r="I247" s="108"/>
      <c r="J247" s="98"/>
      <c r="K247" s="98"/>
      <c r="L247" s="98"/>
      <c r="M247" s="98"/>
      <c r="N247" s="98"/>
      <c r="O247" s="98"/>
      <c r="P247" s="96"/>
    </row>
    <row r="248" spans="1:16" ht="16.5" customHeight="1" x14ac:dyDescent="0.25">
      <c r="A248" s="95"/>
      <c r="B248" s="143"/>
      <c r="C248" s="144"/>
      <c r="D248" s="107"/>
      <c r="E248" s="107"/>
      <c r="F248" s="107"/>
      <c r="G248" s="107"/>
      <c r="H248" s="108"/>
      <c r="I248" s="108"/>
      <c r="J248" s="98"/>
      <c r="K248" s="98"/>
      <c r="L248" s="98"/>
      <c r="M248" s="98"/>
      <c r="N248" s="98"/>
      <c r="O248" s="98"/>
      <c r="P248" s="96"/>
    </row>
    <row r="249" spans="1:16" ht="16.5" customHeight="1" x14ac:dyDescent="0.25">
      <c r="A249" s="95"/>
      <c r="B249" s="143"/>
      <c r="C249" s="144"/>
      <c r="D249" s="107"/>
      <c r="E249" s="107"/>
      <c r="F249" s="107"/>
      <c r="G249" s="107"/>
      <c r="H249" s="108"/>
      <c r="I249" s="108"/>
      <c r="J249" s="98"/>
      <c r="K249" s="98"/>
      <c r="L249" s="98"/>
      <c r="M249" s="98"/>
      <c r="N249" s="98"/>
      <c r="O249" s="98"/>
      <c r="P249" s="96"/>
    </row>
    <row r="250" spans="1:16" ht="16.5" customHeight="1" x14ac:dyDescent="0.25">
      <c r="A250" s="95"/>
      <c r="B250" s="143"/>
      <c r="C250" s="144"/>
      <c r="D250" s="107"/>
      <c r="E250" s="107"/>
      <c r="F250" s="107"/>
      <c r="G250" s="107"/>
      <c r="H250" s="108"/>
      <c r="I250" s="108"/>
      <c r="J250" s="98"/>
      <c r="K250" s="98"/>
      <c r="L250" s="98"/>
      <c r="M250" s="98"/>
      <c r="N250" s="98"/>
      <c r="O250" s="98"/>
      <c r="P250" s="96"/>
    </row>
    <row r="251" spans="1:16" ht="16.5" customHeight="1" x14ac:dyDescent="0.25">
      <c r="A251" s="95"/>
      <c r="B251" s="143"/>
      <c r="C251" s="144"/>
      <c r="D251" s="107"/>
      <c r="E251" s="107"/>
      <c r="F251" s="107"/>
      <c r="G251" s="107"/>
      <c r="H251" s="108"/>
      <c r="I251" s="108"/>
      <c r="J251" s="98"/>
      <c r="K251" s="98"/>
      <c r="L251" s="98"/>
      <c r="M251" s="98"/>
      <c r="N251" s="98"/>
      <c r="O251" s="98"/>
      <c r="P251" s="96"/>
    </row>
    <row r="252" spans="1:16" ht="16.5" customHeight="1" x14ac:dyDescent="0.25">
      <c r="A252" s="95"/>
      <c r="B252" s="143"/>
      <c r="C252" s="144"/>
      <c r="D252" s="107"/>
      <c r="E252" s="107"/>
      <c r="F252" s="107"/>
      <c r="G252" s="107"/>
      <c r="H252" s="108"/>
      <c r="I252" s="108"/>
      <c r="J252" s="98"/>
      <c r="K252" s="98"/>
      <c r="L252" s="98"/>
      <c r="M252" s="98"/>
      <c r="N252" s="98"/>
      <c r="O252" s="98"/>
      <c r="P252" s="96"/>
    </row>
    <row r="253" spans="1:16" ht="16.5" customHeight="1" x14ac:dyDescent="0.25">
      <c r="A253" s="95"/>
      <c r="B253" s="143"/>
      <c r="C253" s="144"/>
      <c r="D253" s="107"/>
      <c r="E253" s="107"/>
      <c r="F253" s="107"/>
      <c r="G253" s="107"/>
      <c r="H253" s="108"/>
      <c r="I253" s="108"/>
      <c r="J253" s="98"/>
      <c r="K253" s="98"/>
      <c r="L253" s="98"/>
      <c r="M253" s="98"/>
      <c r="N253" s="98"/>
      <c r="O253" s="98"/>
      <c r="P253" s="96"/>
    </row>
    <row r="254" spans="1:16" ht="16.5" customHeight="1" x14ac:dyDescent="0.25">
      <c r="A254" s="95"/>
      <c r="B254" s="143"/>
      <c r="C254" s="144"/>
      <c r="D254" s="107"/>
      <c r="E254" s="107"/>
      <c r="F254" s="107"/>
      <c r="G254" s="107"/>
      <c r="H254" s="108"/>
      <c r="I254" s="108"/>
      <c r="J254" s="98"/>
      <c r="K254" s="98"/>
      <c r="L254" s="98"/>
      <c r="M254" s="98"/>
      <c r="N254" s="98"/>
      <c r="O254" s="98"/>
      <c r="P254" s="96"/>
    </row>
    <row r="255" spans="1:16" ht="15.75" customHeight="1" x14ac:dyDescent="0.25">
      <c r="A255" s="95"/>
      <c r="B255" s="58"/>
      <c r="C255" s="58"/>
      <c r="D255" s="58"/>
      <c r="E255" s="58"/>
      <c r="F255" s="58"/>
      <c r="G255" s="114"/>
      <c r="H255" s="58"/>
      <c r="I255" s="58"/>
      <c r="J255" s="98"/>
      <c r="K255" s="98"/>
      <c r="L255" s="98"/>
      <c r="M255" s="98"/>
      <c r="N255" s="98"/>
      <c r="O255" s="98"/>
      <c r="P255" s="96"/>
    </row>
    <row r="256" spans="1:16" ht="15" customHeight="1" x14ac:dyDescent="0.25">
      <c r="A256" s="95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6"/>
    </row>
    <row r="257" spans="1:16" ht="15" customHeight="1" x14ac:dyDescent="0.25">
      <c r="A257" s="103" t="s">
        <v>177</v>
      </c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6"/>
    </row>
    <row r="258" spans="1:16" ht="15.75" customHeight="1" x14ac:dyDescent="0.25">
      <c r="A258" s="95"/>
      <c r="B258" s="58" t="s">
        <v>10</v>
      </c>
      <c r="C258" s="58" t="s">
        <v>178</v>
      </c>
      <c r="D258" s="58" t="s">
        <v>172</v>
      </c>
      <c r="E258" s="58" t="s">
        <v>179</v>
      </c>
      <c r="F258" s="58" t="s">
        <v>16</v>
      </c>
      <c r="G258" s="114" t="s">
        <v>17</v>
      </c>
      <c r="H258" s="114" t="s">
        <v>175</v>
      </c>
      <c r="I258" s="58" t="s">
        <v>180</v>
      </c>
      <c r="J258" s="58" t="s">
        <v>181</v>
      </c>
      <c r="K258" s="58" t="s">
        <v>182</v>
      </c>
      <c r="L258" s="115" t="s">
        <v>183</v>
      </c>
      <c r="M258" s="115" t="s">
        <v>184</v>
      </c>
      <c r="N258" s="115" t="s">
        <v>185</v>
      </c>
      <c r="O258" s="98"/>
      <c r="P258" s="96"/>
    </row>
    <row r="259" spans="1:16" ht="16.5" customHeight="1" x14ac:dyDescent="0.25">
      <c r="A259" s="95"/>
      <c r="B259" s="116"/>
      <c r="C259" s="117"/>
      <c r="D259" s="117"/>
      <c r="E259" s="117"/>
      <c r="F259" s="117"/>
      <c r="G259" s="118"/>
      <c r="H259" s="118"/>
      <c r="I259" s="117"/>
      <c r="J259" s="116"/>
      <c r="K259" s="116"/>
      <c r="L259" s="119"/>
      <c r="M259" s="119"/>
      <c r="N259" s="120"/>
      <c r="O259" s="98"/>
      <c r="P259" s="96"/>
    </row>
    <row r="260" spans="1:16" ht="16.5" customHeight="1" x14ac:dyDescent="0.25">
      <c r="A260" s="95"/>
      <c r="B260" s="116"/>
      <c r="C260" s="117"/>
      <c r="D260" s="117"/>
      <c r="E260" s="117"/>
      <c r="F260" s="117"/>
      <c r="G260" s="118"/>
      <c r="H260" s="118"/>
      <c r="I260" s="117"/>
      <c r="J260" s="116"/>
      <c r="K260" s="116"/>
      <c r="L260" s="119"/>
      <c r="M260" s="119"/>
      <c r="N260" s="120"/>
      <c r="O260" s="98"/>
      <c r="P260" s="96"/>
    </row>
    <row r="261" spans="1:16" ht="16.5" customHeight="1" x14ac:dyDescent="0.25">
      <c r="A261" s="95"/>
      <c r="B261" s="116"/>
      <c r="C261" s="117"/>
      <c r="D261" s="117"/>
      <c r="E261" s="117"/>
      <c r="F261" s="117"/>
      <c r="G261" s="118"/>
      <c r="H261" s="118"/>
      <c r="I261" s="117"/>
      <c r="J261" s="116"/>
      <c r="K261" s="116"/>
      <c r="L261" s="119"/>
      <c r="M261" s="119"/>
      <c r="N261" s="120"/>
      <c r="O261" s="98"/>
      <c r="P261" s="96"/>
    </row>
    <row r="262" spans="1:16" ht="16.5" customHeight="1" x14ac:dyDescent="0.25">
      <c r="A262" s="95"/>
      <c r="B262" s="116"/>
      <c r="C262" s="117"/>
      <c r="D262" s="117"/>
      <c r="E262" s="117"/>
      <c r="F262" s="117"/>
      <c r="G262" s="118"/>
      <c r="H262" s="118"/>
      <c r="I262" s="117"/>
      <c r="J262" s="116"/>
      <c r="K262" s="116"/>
      <c r="L262" s="119"/>
      <c r="M262" s="119"/>
      <c r="N262" s="120"/>
      <c r="O262" s="98"/>
      <c r="P262" s="96"/>
    </row>
    <row r="263" spans="1:16" ht="16.5" customHeight="1" x14ac:dyDescent="0.25">
      <c r="A263" s="138"/>
      <c r="B263" s="116"/>
      <c r="C263" s="117"/>
      <c r="D263" s="117"/>
      <c r="E263" s="117"/>
      <c r="F263" s="117"/>
      <c r="G263" s="118"/>
      <c r="H263" s="118"/>
      <c r="I263" s="117"/>
      <c r="J263" s="116"/>
      <c r="K263" s="116"/>
      <c r="L263" s="119"/>
      <c r="M263" s="119"/>
      <c r="N263" s="120"/>
      <c r="O263" s="98"/>
      <c r="P263" s="96"/>
    </row>
    <row r="264" spans="1:16" ht="15.75" customHeight="1" x14ac:dyDescent="0.25">
      <c r="A264" s="95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6"/>
    </row>
    <row r="265" spans="1:16" ht="15" customHeight="1" x14ac:dyDescent="0.25">
      <c r="A265" s="103" t="s">
        <v>186</v>
      </c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6"/>
    </row>
    <row r="266" spans="1:16" ht="15.75" customHeight="1" x14ac:dyDescent="0.25">
      <c r="A266" s="95"/>
      <c r="B266" s="58" t="s">
        <v>10</v>
      </c>
      <c r="C266" s="58" t="s">
        <v>187</v>
      </c>
      <c r="D266" s="58" t="s">
        <v>188</v>
      </c>
      <c r="E266" s="58" t="s">
        <v>135</v>
      </c>
      <c r="F266" s="58" t="s">
        <v>189</v>
      </c>
      <c r="G266" s="58" t="s">
        <v>190</v>
      </c>
      <c r="H266" s="58" t="s">
        <v>191</v>
      </c>
      <c r="I266" s="58" t="s">
        <v>16</v>
      </c>
      <c r="J266" s="114" t="s">
        <v>17</v>
      </c>
      <c r="K266" s="114" t="s">
        <v>175</v>
      </c>
      <c r="L266" s="98"/>
      <c r="M266" s="98"/>
      <c r="N266" s="98"/>
      <c r="O266" s="98"/>
      <c r="P266" s="96"/>
    </row>
    <row r="267" spans="1:16" ht="16.5" customHeight="1" x14ac:dyDescent="0.25">
      <c r="A267" s="95"/>
      <c r="B267" s="121" t="s">
        <v>228</v>
      </c>
      <c r="C267" s="122" t="e">
        <f>IF(VLOOKUP(B267,'Gebouwgegevens Allacker'!$J$5:$Q$83,2,0)=$B$237,VLOOKUP(B267,'Gebouwgegevens Allacker'!$J$5:$Q$83,2,0),VLOOKUP(B267,'Gebouwgegevens Allacker'!$J$5:$Q$83,3,0))</f>
        <v>#N/A</v>
      </c>
      <c r="D267" s="122" t="e">
        <f>IF(VLOOKUP(B267,'Gebouwgegevens Allacker'!$J$5:$Q$83,2,0)=$B$237,VLOOKUP(B267,'Gebouwgegevens Allacker'!$J$5:$Q$83,3,0),VLOOKUP(B267,'Gebouwgegevens Allacker'!$J$5:$Q$83,2,0))</f>
        <v>#N/A</v>
      </c>
      <c r="E267" s="122" t="e">
        <f>VLOOKUP(B267,'Gebouwgegevens Allacker'!$J$5:$Q$83,4,0)</f>
        <v>#N/A</v>
      </c>
      <c r="F267" s="122" t="e">
        <f>VLOOKUP(B267,'Gebouwgegevens Allacker'!$J$5:$Q$83,5,0)</f>
        <v>#N/A</v>
      </c>
      <c r="G267" s="122" t="e">
        <f>VLOOKUP('Verwarming Tabula 2zone'!C267,'Gebouwgegevens Allacker'!$A$35:$F$46,5,0)</f>
        <v>#N/A</v>
      </c>
      <c r="H267" s="122" t="e">
        <f>VLOOKUP('Verwarming Tabula 2zone'!D267,'Gebouwgegevens Allacker'!$A$35:$F$46,5,0)</f>
        <v>#N/A</v>
      </c>
      <c r="I267" s="122" t="e">
        <f>VLOOKUP(B267,'Gebouwgegevens Allacker'!$J$5:$Q$83,7,0)</f>
        <v>#N/A</v>
      </c>
      <c r="J267" s="118" t="e">
        <f>VLOOKUP(B267,'Gebouwgegevens Allacker'!$J$5:$Q$83,8,0)</f>
        <v>#N/A</v>
      </c>
      <c r="K267" s="118" t="e">
        <f>(G267-H267)/(G267-$B$4)</f>
        <v>#N/A</v>
      </c>
      <c r="L267" s="98"/>
      <c r="M267" s="98"/>
      <c r="N267" s="98"/>
      <c r="O267" s="98"/>
      <c r="P267" s="96"/>
    </row>
    <row r="268" spans="1:16" ht="16.5" customHeight="1" x14ac:dyDescent="0.25">
      <c r="A268" s="95"/>
      <c r="B268" s="121" t="s">
        <v>229</v>
      </c>
      <c r="C268" s="122" t="e">
        <f>IF(VLOOKUP(B268,'Gebouwgegevens Allacker'!$J$5:$Q$83,2,0)=$B$237,VLOOKUP(B268,'Gebouwgegevens Allacker'!$J$5:$Q$83,2,0),VLOOKUP(B268,'Gebouwgegevens Allacker'!$J$5:$Q$83,3,0))</f>
        <v>#N/A</v>
      </c>
      <c r="D268" s="122" t="e">
        <f>IF(VLOOKUP(B268,'Gebouwgegevens Allacker'!$J$5:$Q$83,2,0)=$B$237,VLOOKUP(B268,'Gebouwgegevens Allacker'!$J$5:$Q$83,3,0),VLOOKUP(B268,'Gebouwgegevens Allacker'!$J$5:$Q$83,2,0))</f>
        <v>#N/A</v>
      </c>
      <c r="E268" s="122" t="e">
        <f>VLOOKUP(B268,'Gebouwgegevens Allacker'!$J$5:$Q$83,4,0)</f>
        <v>#N/A</v>
      </c>
      <c r="F268" s="122" t="e">
        <f>VLOOKUP(B268,'Gebouwgegevens Allacker'!$J$5:$Q$83,5,0)</f>
        <v>#N/A</v>
      </c>
      <c r="G268" s="122" t="e">
        <f>VLOOKUP('Verwarming Tabula 2zone'!C268,'Gebouwgegevens Allacker'!$A$35:$F$46,5,0)</f>
        <v>#N/A</v>
      </c>
      <c r="H268" s="122" t="e">
        <f>VLOOKUP('Verwarming Tabula 2zone'!D268,'Gebouwgegevens Allacker'!$A$35:$F$46,5,0)</f>
        <v>#N/A</v>
      </c>
      <c r="I268" s="122" t="e">
        <f>VLOOKUP(B268,'Gebouwgegevens Allacker'!$J$5:$Q$83,7,0)</f>
        <v>#N/A</v>
      </c>
      <c r="J268" s="118" t="e">
        <f>VLOOKUP(B268,'Gebouwgegevens Allacker'!$J$5:$Q$83,8,0)</f>
        <v>#N/A</v>
      </c>
      <c r="K268" s="118" t="e">
        <f>(G268-H268)/(G268-$B$4)</f>
        <v>#N/A</v>
      </c>
      <c r="L268" s="98"/>
      <c r="M268" s="98"/>
      <c r="N268" s="98"/>
      <c r="O268" s="98"/>
      <c r="P268" s="96"/>
    </row>
    <row r="269" spans="1:16" ht="16.5" customHeight="1" x14ac:dyDescent="0.25">
      <c r="A269" s="95"/>
      <c r="B269" s="121" t="s">
        <v>230</v>
      </c>
      <c r="C269" s="122" t="e">
        <f>IF(VLOOKUP(B269,'Gebouwgegevens Allacker'!$J$5:$Q$83,2,0)=$B$237,VLOOKUP(B269,'Gebouwgegevens Allacker'!$J$5:$Q$83,2,0),VLOOKUP(B269,'Gebouwgegevens Allacker'!$J$5:$Q$83,3,0))</f>
        <v>#N/A</v>
      </c>
      <c r="D269" s="122" t="e">
        <f>IF(VLOOKUP(B269,'Gebouwgegevens Allacker'!$J$5:$Q$83,2,0)=$B$237,VLOOKUP(B269,'Gebouwgegevens Allacker'!$J$5:$Q$83,3,0),VLOOKUP(B269,'Gebouwgegevens Allacker'!$J$5:$Q$83,2,0))</f>
        <v>#N/A</v>
      </c>
      <c r="E269" s="122" t="e">
        <f>VLOOKUP(B269,'Gebouwgegevens Allacker'!$J$5:$Q$83,4,0)</f>
        <v>#N/A</v>
      </c>
      <c r="F269" s="122" t="e">
        <f>VLOOKUP(B269,'Gebouwgegevens Allacker'!$J$5:$Q$83,5,0)</f>
        <v>#N/A</v>
      </c>
      <c r="G269" s="122" t="e">
        <f>VLOOKUP('Verwarming Tabula 2zone'!C269,'Gebouwgegevens Allacker'!$A$35:$F$46,5,0)</f>
        <v>#N/A</v>
      </c>
      <c r="H269" s="122" t="e">
        <f>VLOOKUP('Verwarming Tabula 2zone'!D269,'Gebouwgegevens Allacker'!$A$35:$F$46,5,0)</f>
        <v>#N/A</v>
      </c>
      <c r="I269" s="122" t="e">
        <f>VLOOKUP(B269,'Gebouwgegevens Allacker'!$J$5:$Q$83,7,0)</f>
        <v>#N/A</v>
      </c>
      <c r="J269" s="118" t="e">
        <f>VLOOKUP(B269,'Gebouwgegevens Allacker'!$J$5:$Q$83,8,0)</f>
        <v>#N/A</v>
      </c>
      <c r="K269" s="118" t="e">
        <f>(G269-H269)/(G269-$B$4)</f>
        <v>#N/A</v>
      </c>
      <c r="L269" s="98"/>
      <c r="M269" s="98"/>
      <c r="N269" s="98"/>
      <c r="O269" s="98"/>
      <c r="P269" s="96"/>
    </row>
    <row r="270" spans="1:16" ht="16.5" customHeight="1" x14ac:dyDescent="0.25">
      <c r="A270" s="95"/>
      <c r="B270" s="92" t="s">
        <v>231</v>
      </c>
      <c r="C270" s="122" t="e">
        <f>IF(VLOOKUP(B270,'Gebouwgegevens Allacker'!$J$5:$Q$83,2,0)=$B$237,VLOOKUP(B270,'Gebouwgegevens Allacker'!$J$5:$Q$83,2,0),VLOOKUP(B270,'Gebouwgegevens Allacker'!$J$5:$Q$83,3,0))</f>
        <v>#N/A</v>
      </c>
      <c r="D270" s="122" t="e">
        <f>IF(VLOOKUP(B270,'Gebouwgegevens Allacker'!$J$5:$Q$83,2,0)=$B$237,VLOOKUP(B270,'Gebouwgegevens Allacker'!$J$5:$Q$83,3,0),VLOOKUP(B270,'Gebouwgegevens Allacker'!$J$5:$Q$83,2,0))</f>
        <v>#N/A</v>
      </c>
      <c r="E270" s="122" t="e">
        <f>VLOOKUP(B270,'Gebouwgegevens Allacker'!$J$5:$Q$83,4,0)</f>
        <v>#N/A</v>
      </c>
      <c r="F270" s="122" t="e">
        <f>VLOOKUP(B270,'Gebouwgegevens Allacker'!$J$5:$Q$83,5,0)</f>
        <v>#N/A</v>
      </c>
      <c r="G270" s="122" t="e">
        <f>VLOOKUP('Verwarming Tabula 2zone'!C270,'Gebouwgegevens Allacker'!$A$35:$F$46,5,0)</f>
        <v>#N/A</v>
      </c>
      <c r="H270" s="122" t="e">
        <f>VLOOKUP('Verwarming Tabula 2zone'!D270,'Gebouwgegevens Allacker'!$A$35:$F$46,5,0)</f>
        <v>#N/A</v>
      </c>
      <c r="I270" s="122" t="e">
        <f>VLOOKUP(B270,'Gebouwgegevens Allacker'!$J$5:$Q$83,7,0)</f>
        <v>#N/A</v>
      </c>
      <c r="J270" s="118" t="e">
        <f>VLOOKUP(B270,'Gebouwgegevens Allacker'!$J$5:$Q$83,8,0)</f>
        <v>#N/A</v>
      </c>
      <c r="K270" s="118" t="e">
        <f>(G270-H270)/(G270-$B$4)</f>
        <v>#N/A</v>
      </c>
      <c r="L270" s="98"/>
      <c r="M270" s="98"/>
      <c r="N270" s="98"/>
      <c r="O270" s="98"/>
      <c r="P270" s="96"/>
    </row>
    <row r="271" spans="1:16" ht="16.5" customHeight="1" x14ac:dyDescent="0.25">
      <c r="A271" s="95"/>
      <c r="B271" s="123"/>
      <c r="C271" s="139"/>
      <c r="D271" s="122"/>
      <c r="E271" s="122"/>
      <c r="F271" s="122"/>
      <c r="G271" s="122"/>
      <c r="H271" s="122"/>
      <c r="I271" s="122"/>
      <c r="J271" s="118"/>
      <c r="K271" s="118"/>
      <c r="L271" s="98"/>
      <c r="M271" s="98"/>
      <c r="N271" s="98"/>
      <c r="O271" s="98"/>
      <c r="P271" s="96"/>
    </row>
    <row r="272" spans="1:16" ht="16.5" customHeight="1" x14ac:dyDescent="0.25">
      <c r="A272" s="95"/>
      <c r="B272" s="123"/>
      <c r="C272" s="139"/>
      <c r="D272" s="122"/>
      <c r="E272" s="122"/>
      <c r="F272" s="122"/>
      <c r="G272" s="122"/>
      <c r="H272" s="122"/>
      <c r="I272" s="122"/>
      <c r="J272" s="118"/>
      <c r="K272" s="118"/>
      <c r="L272" s="98"/>
      <c r="M272" s="98"/>
      <c r="N272" s="98"/>
      <c r="O272" s="98"/>
      <c r="P272" s="96"/>
    </row>
    <row r="273" spans="1:16" ht="16.5" customHeight="1" x14ac:dyDescent="0.25">
      <c r="A273" s="95"/>
      <c r="B273" s="123"/>
      <c r="C273" s="139"/>
      <c r="D273" s="122"/>
      <c r="E273" s="122"/>
      <c r="F273" s="122"/>
      <c r="G273" s="122"/>
      <c r="H273" s="122"/>
      <c r="I273" s="122"/>
      <c r="J273" s="118"/>
      <c r="K273" s="118"/>
      <c r="L273" s="98"/>
      <c r="M273" s="98"/>
      <c r="N273" s="98"/>
      <c r="O273" s="98"/>
      <c r="P273" s="96"/>
    </row>
    <row r="274" spans="1:16" ht="16.5" customHeight="1" x14ac:dyDescent="0.25">
      <c r="A274" s="95"/>
      <c r="B274" s="123"/>
      <c r="C274" s="139"/>
      <c r="D274" s="122"/>
      <c r="E274" s="122"/>
      <c r="F274" s="122"/>
      <c r="G274" s="122"/>
      <c r="H274" s="122"/>
      <c r="I274" s="122"/>
      <c r="J274" s="118"/>
      <c r="K274" s="118"/>
      <c r="L274" s="98"/>
      <c r="M274" s="98"/>
      <c r="N274" s="98"/>
      <c r="O274" s="98"/>
      <c r="P274" s="96"/>
    </row>
    <row r="275" spans="1:16" ht="16.5" customHeight="1" x14ac:dyDescent="0.25">
      <c r="A275" s="95"/>
      <c r="B275" s="123"/>
      <c r="C275" s="139"/>
      <c r="D275" s="122"/>
      <c r="E275" s="122"/>
      <c r="F275" s="122"/>
      <c r="G275" s="122"/>
      <c r="H275" s="122"/>
      <c r="I275" s="122"/>
      <c r="J275" s="118"/>
      <c r="K275" s="118"/>
      <c r="L275" s="98"/>
      <c r="M275" s="98"/>
      <c r="N275" s="98"/>
      <c r="O275" s="98"/>
      <c r="P275" s="96"/>
    </row>
    <row r="276" spans="1:16" ht="16.5" customHeight="1" x14ac:dyDescent="0.25">
      <c r="A276" s="95"/>
      <c r="B276" s="123"/>
      <c r="C276" s="139"/>
      <c r="D276" s="122"/>
      <c r="E276" s="122"/>
      <c r="F276" s="122"/>
      <c r="G276" s="122"/>
      <c r="H276" s="122"/>
      <c r="I276" s="122"/>
      <c r="J276" s="118"/>
      <c r="K276" s="118"/>
      <c r="L276" s="98"/>
      <c r="M276" s="98"/>
      <c r="N276" s="98"/>
      <c r="O276" s="98"/>
      <c r="P276" s="96"/>
    </row>
    <row r="277" spans="1:16" ht="15.75" customHeight="1" x14ac:dyDescent="0.25">
      <c r="A277" s="95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8"/>
      <c r="M277" s="98"/>
      <c r="N277" s="98"/>
      <c r="O277" s="98"/>
      <c r="P277" s="96"/>
    </row>
    <row r="278" spans="1:16" ht="15" customHeight="1" x14ac:dyDescent="0.25">
      <c r="A278" s="95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6"/>
    </row>
    <row r="279" spans="1:16" ht="15.75" customHeight="1" x14ac:dyDescent="0.25">
      <c r="A279" s="103" t="s">
        <v>192</v>
      </c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6"/>
    </row>
    <row r="280" spans="1:16" ht="16.5" customHeight="1" x14ac:dyDescent="0.25">
      <c r="A280" s="124" t="s">
        <v>193</v>
      </c>
      <c r="B280" s="118" t="e">
        <f>SUMPRODUCT(H243:H254,I243:I254)+SUMPRODUCT(G259:G263,H259:H263)+SUMPRODUCT(J267:J276,K267:K276)</f>
        <v>#N/A</v>
      </c>
      <c r="C280" s="118" t="s">
        <v>107</v>
      </c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6"/>
    </row>
    <row r="281" spans="1:16" ht="16.5" customHeight="1" x14ac:dyDescent="0.25">
      <c r="A281" s="124" t="s">
        <v>167</v>
      </c>
      <c r="B281" s="118" t="e">
        <f>B280*(G267-$B$4)</f>
        <v>#N/A</v>
      </c>
      <c r="C281" s="118" t="s">
        <v>169</v>
      </c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6"/>
    </row>
    <row r="282" spans="1:16" ht="15.75" customHeight="1" x14ac:dyDescent="0.25">
      <c r="A282" s="109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1"/>
    </row>
    <row r="283" spans="1:16" ht="15.75" customHeight="1" x14ac:dyDescent="0.25">
      <c r="A283" s="343" t="s">
        <v>194</v>
      </c>
      <c r="B283" s="343"/>
      <c r="C283" s="343"/>
      <c r="D283" s="125" t="s">
        <v>222</v>
      </c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94"/>
    </row>
    <row r="284" spans="1:16" ht="15" customHeight="1" x14ac:dyDescent="0.25">
      <c r="A284" s="95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6"/>
    </row>
    <row r="285" spans="1:16" ht="15" customHeight="1" x14ac:dyDescent="0.25">
      <c r="A285" s="126" t="s">
        <v>195</v>
      </c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6"/>
    </row>
    <row r="286" spans="1:16" ht="15" customHeight="1" x14ac:dyDescent="0.25">
      <c r="A286" s="127" t="s">
        <v>196</v>
      </c>
      <c r="B286" s="121">
        <v>8</v>
      </c>
      <c r="C286" s="120" t="s">
        <v>197</v>
      </c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6"/>
    </row>
    <row r="287" spans="1:16" ht="15" customHeight="1" x14ac:dyDescent="0.25">
      <c r="A287" s="127" t="s">
        <v>198</v>
      </c>
      <c r="B287" s="121">
        <v>0.03</v>
      </c>
      <c r="C287" s="120" t="s">
        <v>199</v>
      </c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6"/>
    </row>
    <row r="288" spans="1:16" ht="15.75" customHeight="1" x14ac:dyDescent="0.25">
      <c r="A288" s="127" t="s">
        <v>200</v>
      </c>
      <c r="B288" s="121">
        <v>1</v>
      </c>
      <c r="C288" s="120" t="s">
        <v>201</v>
      </c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6"/>
    </row>
    <row r="289" spans="1:16" ht="16.5" customHeight="1" x14ac:dyDescent="0.25">
      <c r="A289" s="124" t="s">
        <v>202</v>
      </c>
      <c r="B289" s="118" t="e">
        <f>2*VLOOKUP(B237,'Gebouwgegevens Allacker'!$A$35:$F$46,6,0)*B286*B287*B288</f>
        <v>#N/A</v>
      </c>
      <c r="C289" s="118" t="s">
        <v>203</v>
      </c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6"/>
    </row>
    <row r="290" spans="1:16" ht="15.75" customHeight="1" x14ac:dyDescent="0.25">
      <c r="A290" s="95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6"/>
    </row>
    <row r="291" spans="1:16" ht="15" customHeight="1" x14ac:dyDescent="0.25">
      <c r="A291" s="126" t="s">
        <v>204</v>
      </c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6"/>
    </row>
    <row r="292" spans="1:16" ht="15.75" customHeight="1" x14ac:dyDescent="0.25">
      <c r="A292" s="95" t="s">
        <v>180</v>
      </c>
      <c r="B292" s="98" t="e">
        <f>VLOOKUP(B237,'Gebouwgegevens Allacker'!$A$35:$F$46,6,0)</f>
        <v>#N/A</v>
      </c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6"/>
    </row>
    <row r="293" spans="1:16" ht="16.5" customHeight="1" x14ac:dyDescent="0.25">
      <c r="A293" s="124" t="s">
        <v>205</v>
      </c>
      <c r="B293" s="128">
        <v>50</v>
      </c>
      <c r="C293" s="118" t="s">
        <v>203</v>
      </c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6"/>
    </row>
    <row r="294" spans="1:16" ht="15.75" customHeight="1" x14ac:dyDescent="0.25">
      <c r="A294" s="95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6"/>
    </row>
    <row r="295" spans="1:16" ht="15.75" customHeight="1" x14ac:dyDescent="0.25">
      <c r="A295" s="95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6"/>
    </row>
    <row r="296" spans="1:16" ht="16.5" customHeight="1" x14ac:dyDescent="0.25">
      <c r="A296" s="124" t="s">
        <v>207</v>
      </c>
      <c r="B296" s="118" t="e">
        <f>MAX(B289,B293)</f>
        <v>#N/A</v>
      </c>
      <c r="C296" s="118" t="s">
        <v>203</v>
      </c>
      <c r="D296" s="98"/>
      <c r="E296" s="98"/>
      <c r="F296" s="118" t="s">
        <v>208</v>
      </c>
      <c r="G296" s="118" t="e">
        <f>B296/VLOOKUP(B237,'Gebouwgegevens Allacker'!$A$35:$B$46,2,0)</f>
        <v>#N/A</v>
      </c>
      <c r="H296" s="98"/>
      <c r="I296" s="98"/>
      <c r="J296" s="98"/>
      <c r="K296" s="98"/>
      <c r="L296" s="98"/>
      <c r="M296" s="98"/>
      <c r="N296" s="98"/>
      <c r="O296" s="98"/>
      <c r="P296" s="96"/>
    </row>
    <row r="297" spans="1:16" ht="16.5" customHeight="1" x14ac:dyDescent="0.25">
      <c r="A297" s="95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6"/>
    </row>
    <row r="298" spans="1:16" ht="16.5" customHeight="1" x14ac:dyDescent="0.25">
      <c r="A298" s="124" t="s">
        <v>209</v>
      </c>
      <c r="B298" s="118" t="e">
        <f>0.34*B296</f>
        <v>#N/A</v>
      </c>
      <c r="C298" s="118" t="s">
        <v>107</v>
      </c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6"/>
    </row>
    <row r="299" spans="1:16" ht="16.5" customHeight="1" x14ac:dyDescent="0.25">
      <c r="A299" s="124" t="s">
        <v>167</v>
      </c>
      <c r="B299" s="118" t="e">
        <f>B298*('Gebouwgegevens Allacker'!E259-$B$4)</f>
        <v>#N/A</v>
      </c>
      <c r="C299" s="118" t="s">
        <v>169</v>
      </c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6"/>
    </row>
    <row r="300" spans="1:16" ht="15.75" customHeight="1" x14ac:dyDescent="0.25">
      <c r="A300" s="109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1"/>
    </row>
    <row r="301" spans="1:16" ht="15.75" customHeight="1" x14ac:dyDescent="0.25">
      <c r="A301" s="343" t="s">
        <v>210</v>
      </c>
      <c r="B301" s="343"/>
      <c r="C301" s="343"/>
      <c r="D301" s="343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6"/>
    </row>
    <row r="302" spans="1:16" ht="15" customHeight="1" x14ac:dyDescent="0.25">
      <c r="A302" s="95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6"/>
    </row>
    <row r="303" spans="1:16" ht="15" customHeight="1" x14ac:dyDescent="0.25">
      <c r="A303" s="127" t="s">
        <v>211</v>
      </c>
      <c r="B303" s="121">
        <v>90</v>
      </c>
      <c r="C303" s="58" t="s">
        <v>232</v>
      </c>
      <c r="D303" s="5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6"/>
    </row>
    <row r="304" spans="1:16" ht="15.75" customHeight="1" x14ac:dyDescent="0.25">
      <c r="A304" s="3" t="s">
        <v>113</v>
      </c>
      <c r="B304" s="58" t="e">
        <f>VLOOKUP(B237,'Gebouwgegevens Allacker'!$A$35:$F$46,6,0)</f>
        <v>#N/A</v>
      </c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6"/>
    </row>
    <row r="305" spans="1:16" ht="16.5" customHeight="1" x14ac:dyDescent="0.25">
      <c r="A305" s="124" t="s">
        <v>213</v>
      </c>
      <c r="B305" s="118" t="e">
        <f>B306/('Gebouwgegevens Allacker'!E259-'Verwarming Tabula 2zone'!$B$4)</f>
        <v>#N/A</v>
      </c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6"/>
    </row>
    <row r="306" spans="1:16" ht="16.5" customHeight="1" x14ac:dyDescent="0.25">
      <c r="A306" s="124" t="s">
        <v>167</v>
      </c>
      <c r="B306" s="118" t="e">
        <f>B303*B304</f>
        <v>#N/A</v>
      </c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6"/>
    </row>
    <row r="307" spans="1:16" ht="15.75" customHeight="1" x14ac:dyDescent="0.25">
      <c r="A307" s="95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6"/>
    </row>
    <row r="308" spans="1:16" ht="15.75" customHeight="1" x14ac:dyDescent="0.25">
      <c r="A308" s="95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6"/>
    </row>
    <row r="309" spans="1:16" ht="15.75" customHeight="1" x14ac:dyDescent="0.25">
      <c r="A309" s="129" t="s">
        <v>214</v>
      </c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1"/>
    </row>
    <row r="310" spans="1:16" ht="16.5" customHeight="1" x14ac:dyDescent="0.25">
      <c r="A310" s="124" t="s">
        <v>215</v>
      </c>
      <c r="B310" s="118" t="e">
        <f>SUM(B280,B298,B305)</f>
        <v>#N/A</v>
      </c>
      <c r="C310" s="118" t="s">
        <v>107</v>
      </c>
      <c r="D310" s="132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3"/>
    </row>
    <row r="311" spans="1:16" ht="16.5" customHeight="1" x14ac:dyDescent="0.25">
      <c r="A311" s="124" t="s">
        <v>167</v>
      </c>
      <c r="B311" s="118" t="e">
        <f>SUM(B281,B299,B306)</f>
        <v>#N/A</v>
      </c>
      <c r="C311" s="118" t="s">
        <v>169</v>
      </c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3"/>
    </row>
    <row r="312" spans="1:16" ht="16.5" customHeight="1" x14ac:dyDescent="0.25">
      <c r="A312" s="134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6"/>
    </row>
    <row r="313" spans="1:16" ht="15" customHeight="1" x14ac:dyDescent="0.25">
      <c r="A313" s="137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</row>
    <row r="314" spans="1:16" ht="15.75" customHeight="1" x14ac:dyDescent="0.25">
      <c r="A314" s="137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</row>
    <row r="315" spans="1:16" ht="15" customHeight="1" x14ac:dyDescent="0.25">
      <c r="A315" s="93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94"/>
    </row>
    <row r="316" spans="1:16" ht="17.25" customHeight="1" x14ac:dyDescent="0.3">
      <c r="A316" s="97" t="s">
        <v>166</v>
      </c>
      <c r="B316" s="92">
        <v>5</v>
      </c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6"/>
    </row>
    <row r="317" spans="1:16" ht="15.75" customHeight="1" x14ac:dyDescent="0.25">
      <c r="A317" s="343" t="s">
        <v>168</v>
      </c>
      <c r="B317" s="343"/>
      <c r="C317" s="343"/>
      <c r="D317" s="343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94"/>
    </row>
    <row r="318" spans="1:16" ht="15" customHeight="1" x14ac:dyDescent="0.25">
      <c r="A318" s="95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6"/>
    </row>
    <row r="319" spans="1:16" ht="15" customHeight="1" x14ac:dyDescent="0.25">
      <c r="A319" s="103" t="s">
        <v>170</v>
      </c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6"/>
    </row>
    <row r="320" spans="1:16" ht="15" customHeight="1" x14ac:dyDescent="0.25">
      <c r="A320" s="95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6"/>
    </row>
    <row r="321" spans="1:16" ht="15.75" customHeight="1" x14ac:dyDescent="0.25">
      <c r="A321" s="95"/>
      <c r="B321" s="104" t="s">
        <v>10</v>
      </c>
      <c r="C321" s="104" t="s">
        <v>171</v>
      </c>
      <c r="D321" s="104" t="s">
        <v>172</v>
      </c>
      <c r="E321" s="104" t="s">
        <v>173</v>
      </c>
      <c r="F321" s="104" t="s">
        <v>174</v>
      </c>
      <c r="G321" s="104" t="s">
        <v>16</v>
      </c>
      <c r="H321" s="105" t="s">
        <v>17</v>
      </c>
      <c r="I321" s="105" t="s">
        <v>175</v>
      </c>
      <c r="J321" s="98"/>
      <c r="K321" s="98"/>
      <c r="L321" s="98"/>
      <c r="M321" s="98"/>
      <c r="N321" s="98"/>
      <c r="O321" s="98"/>
      <c r="P321" s="96"/>
    </row>
    <row r="322" spans="1:16" ht="16.5" customHeight="1" x14ac:dyDescent="0.25">
      <c r="A322" s="95"/>
      <c r="B322" s="106" t="s">
        <v>84</v>
      </c>
      <c r="C322" s="107">
        <f>VLOOKUP(B322,'Gebouwgegevens Allacker'!$J$5:$Q$83,3,0)</f>
        <v>3</v>
      </c>
      <c r="D322" s="107" t="str">
        <f>VLOOKUP(B322,'Gebouwgegevens Allacker'!$J$5:$Q$83,4,0)</f>
        <v>Window</v>
      </c>
      <c r="E322" s="107">
        <f>VLOOKUP(B322,'Gebouwgegevens Allacker'!$J$5:$Q$83,5,0)</f>
        <v>0</v>
      </c>
      <c r="F322" s="107" t="str">
        <f>VLOOKUP(B322,'Gebouwgegevens Allacker'!$J$5:$Q$83,6,0)</f>
        <v>front</v>
      </c>
      <c r="G322" s="107">
        <f>VLOOKUP(B322,'Gebouwgegevens Allacker'!$J$5:$Q$83,7,0)</f>
        <v>5</v>
      </c>
      <c r="H322" s="108">
        <f>VLOOKUP(B322,'Gebouwgegevens Allacker'!$J$5:$Q$83,8,0)</f>
        <v>0</v>
      </c>
      <c r="I322" s="108">
        <v>1</v>
      </c>
      <c r="J322" s="98"/>
      <c r="K322" s="98"/>
      <c r="L322" s="98"/>
      <c r="M322" s="98"/>
      <c r="N322" s="98"/>
      <c r="O322" s="98"/>
      <c r="P322" s="96"/>
    </row>
    <row r="323" spans="1:16" ht="16.5" customHeight="1" x14ac:dyDescent="0.25">
      <c r="A323" s="95"/>
      <c r="B323" s="106" t="s">
        <v>87</v>
      </c>
      <c r="C323" s="107">
        <f>VLOOKUP(B323,'Gebouwgegevens Allacker'!$J$5:$Q$83,3,0)</f>
        <v>3</v>
      </c>
      <c r="D323" s="107" t="str">
        <f>VLOOKUP(B323,'Gebouwgegevens Allacker'!$J$5:$Q$83,4,0)</f>
        <v>Window</v>
      </c>
      <c r="E323" s="107">
        <f>VLOOKUP(B323,'Gebouwgegevens Allacker'!$J$5:$Q$83,5,0)</f>
        <v>2</v>
      </c>
      <c r="F323" s="107" t="str">
        <f>VLOOKUP(B323,'Gebouwgegevens Allacker'!$J$5:$Q$83,6,0)</f>
        <v>right</v>
      </c>
      <c r="G323" s="107">
        <f>VLOOKUP(B323,'Gebouwgegevens Allacker'!$J$5:$Q$83,7,0)</f>
        <v>5</v>
      </c>
      <c r="H323" s="108">
        <f>VLOOKUP(B323,'Gebouwgegevens Allacker'!$J$5:$Q$83,8,0)</f>
        <v>10</v>
      </c>
      <c r="I323" s="108">
        <v>1</v>
      </c>
      <c r="J323" s="98"/>
      <c r="K323" s="98"/>
      <c r="L323" s="98"/>
      <c r="M323" s="98"/>
      <c r="N323" s="98"/>
      <c r="O323" s="98"/>
      <c r="P323" s="96"/>
    </row>
    <row r="324" spans="1:16" ht="16.5" customHeight="1" x14ac:dyDescent="0.25">
      <c r="A324" s="95"/>
      <c r="B324" s="106" t="s">
        <v>89</v>
      </c>
      <c r="C324" s="107">
        <f>VLOOKUP(B324,'Gebouwgegevens Allacker'!$J$5:$Q$83,3,0)</f>
        <v>3</v>
      </c>
      <c r="D324" s="107" t="str">
        <f>VLOOKUP(B324,'Gebouwgegevens Allacker'!$J$5:$Q$83,4,0)</f>
        <v>Window</v>
      </c>
      <c r="E324" s="107">
        <f>VLOOKUP(B324,'Gebouwgegevens Allacker'!$J$5:$Q$83,5,0)</f>
        <v>0</v>
      </c>
      <c r="F324" s="107" t="str">
        <f>VLOOKUP(B324,'Gebouwgegevens Allacker'!$J$5:$Q$83,6,0)</f>
        <v>back</v>
      </c>
      <c r="G324" s="107">
        <f>VLOOKUP(B324,'Gebouwgegevens Allacker'!$J$5:$Q$83,7,0)</f>
        <v>5</v>
      </c>
      <c r="H324" s="108">
        <f>VLOOKUP(B324,'Gebouwgegevens Allacker'!$J$5:$Q$83,8,0)</f>
        <v>0</v>
      </c>
      <c r="I324" s="108">
        <v>1</v>
      </c>
      <c r="J324" s="98"/>
      <c r="K324" s="98"/>
      <c r="L324" s="98"/>
      <c r="M324" s="98"/>
      <c r="N324" s="98"/>
      <c r="O324" s="98"/>
      <c r="P324" s="96"/>
    </row>
    <row r="325" spans="1:16" ht="16.5" customHeight="1" x14ac:dyDescent="0.25">
      <c r="A325" s="95"/>
      <c r="B325" s="106" t="s">
        <v>92</v>
      </c>
      <c r="C325" s="107">
        <f>VLOOKUP(B325,'Gebouwgegevens Allacker'!$J$5:$Q$83,3,0)</f>
        <v>3</v>
      </c>
      <c r="D325" s="107" t="str">
        <f>VLOOKUP(B325,'Gebouwgegevens Allacker'!$J$5:$Q$83,4,0)</f>
        <v>Window</v>
      </c>
      <c r="E325" s="107">
        <f>VLOOKUP(B325,'Gebouwgegevens Allacker'!$J$5:$Q$83,5,0)</f>
        <v>0</v>
      </c>
      <c r="F325" s="107" t="str">
        <f>VLOOKUP(B325,'Gebouwgegevens Allacker'!$J$5:$Q$83,6,0)</f>
        <v>left</v>
      </c>
      <c r="G325" s="107">
        <f>VLOOKUP(B325,'Gebouwgegevens Allacker'!$J$5:$Q$83,7,0)</f>
        <v>5</v>
      </c>
      <c r="H325" s="108">
        <f>VLOOKUP(B325,'Gebouwgegevens Allacker'!$J$5:$Q$83,8,0)</f>
        <v>0</v>
      </c>
      <c r="I325" s="108">
        <v>1</v>
      </c>
      <c r="J325" s="98"/>
      <c r="K325" s="98"/>
      <c r="L325" s="98"/>
      <c r="M325" s="98"/>
      <c r="N325" s="98"/>
      <c r="O325" s="98"/>
      <c r="P325" s="96"/>
    </row>
    <row r="326" spans="1:16" ht="16.5" customHeight="1" x14ac:dyDescent="0.25">
      <c r="A326" s="95"/>
      <c r="B326" s="106"/>
      <c r="C326" s="107"/>
      <c r="D326" s="107"/>
      <c r="E326" s="107"/>
      <c r="F326" s="107"/>
      <c r="G326" s="107"/>
      <c r="H326" s="108"/>
      <c r="I326" s="108"/>
      <c r="J326" s="98"/>
      <c r="K326" s="98"/>
      <c r="L326" s="98"/>
      <c r="M326" s="98"/>
      <c r="N326" s="98"/>
      <c r="O326" s="98"/>
      <c r="P326" s="96"/>
    </row>
    <row r="327" spans="1:16" ht="16.5" customHeight="1" x14ac:dyDescent="0.25">
      <c r="A327" s="95"/>
      <c r="B327" s="106"/>
      <c r="C327" s="107"/>
      <c r="D327" s="107"/>
      <c r="E327" s="107"/>
      <c r="F327" s="107"/>
      <c r="G327" s="107"/>
      <c r="H327" s="108"/>
      <c r="I327" s="108"/>
      <c r="J327" s="98"/>
      <c r="K327" s="98"/>
      <c r="L327" s="98"/>
      <c r="M327" s="98"/>
      <c r="N327" s="98"/>
      <c r="O327" s="98"/>
      <c r="P327" s="96"/>
    </row>
    <row r="328" spans="1:16" ht="16.5" customHeight="1" x14ac:dyDescent="0.25">
      <c r="A328" s="95"/>
      <c r="B328" s="106"/>
      <c r="C328" s="107"/>
      <c r="D328" s="107"/>
      <c r="E328" s="107"/>
      <c r="F328" s="107"/>
      <c r="G328" s="107"/>
      <c r="H328" s="108"/>
      <c r="I328" s="108"/>
      <c r="J328" s="98"/>
      <c r="K328" s="98"/>
      <c r="L328" s="98"/>
      <c r="M328" s="98"/>
      <c r="N328" s="98"/>
      <c r="O328" s="98"/>
      <c r="P328" s="96"/>
    </row>
    <row r="329" spans="1:16" ht="16.5" customHeight="1" x14ac:dyDescent="0.25">
      <c r="A329" s="95"/>
      <c r="B329" s="106"/>
      <c r="C329" s="107"/>
      <c r="D329" s="107"/>
      <c r="E329" s="107"/>
      <c r="F329" s="107"/>
      <c r="G329" s="107"/>
      <c r="H329" s="108"/>
      <c r="I329" s="108"/>
      <c r="J329" s="98"/>
      <c r="K329" s="98"/>
      <c r="L329" s="98"/>
      <c r="M329" s="98"/>
      <c r="N329" s="98"/>
      <c r="O329" s="98"/>
      <c r="P329" s="96"/>
    </row>
    <row r="330" spans="1:16" ht="16.5" customHeight="1" x14ac:dyDescent="0.25">
      <c r="A330" s="95"/>
      <c r="B330" s="106"/>
      <c r="C330" s="107"/>
      <c r="D330" s="107"/>
      <c r="E330" s="107"/>
      <c r="F330" s="107"/>
      <c r="G330" s="107"/>
      <c r="H330" s="108"/>
      <c r="I330" s="108"/>
      <c r="J330" s="98"/>
      <c r="K330" s="98"/>
      <c r="L330" s="98"/>
      <c r="M330" s="98"/>
      <c r="N330" s="98"/>
      <c r="O330" s="98"/>
      <c r="P330" s="96"/>
    </row>
    <row r="331" spans="1:16" ht="16.5" customHeight="1" x14ac:dyDescent="0.25">
      <c r="A331" s="95"/>
      <c r="B331" s="106"/>
      <c r="C331" s="107"/>
      <c r="D331" s="107"/>
      <c r="E331" s="107"/>
      <c r="F331" s="107"/>
      <c r="G331" s="107"/>
      <c r="H331" s="108"/>
      <c r="I331" s="108"/>
      <c r="J331" s="98"/>
      <c r="K331" s="98"/>
      <c r="L331" s="98"/>
      <c r="M331" s="98"/>
      <c r="N331" s="98"/>
      <c r="O331" s="98"/>
      <c r="P331" s="96"/>
    </row>
    <row r="332" spans="1:16" ht="16.5" customHeight="1" x14ac:dyDescent="0.25">
      <c r="A332" s="95"/>
      <c r="B332" s="106"/>
      <c r="C332" s="107"/>
      <c r="D332" s="107"/>
      <c r="E332" s="107"/>
      <c r="F332" s="107"/>
      <c r="G332" s="107"/>
      <c r="H332" s="108"/>
      <c r="I332" s="108"/>
      <c r="J332" s="98"/>
      <c r="K332" s="98"/>
      <c r="L332" s="98"/>
      <c r="M332" s="98"/>
      <c r="N332" s="98"/>
      <c r="O332" s="98"/>
      <c r="P332" s="96"/>
    </row>
    <row r="333" spans="1:16" ht="16.5" customHeight="1" x14ac:dyDescent="0.25">
      <c r="A333" s="95"/>
      <c r="B333" s="106"/>
      <c r="C333" s="107"/>
      <c r="D333" s="107"/>
      <c r="E333" s="107"/>
      <c r="F333" s="107"/>
      <c r="G333" s="107"/>
      <c r="H333" s="108"/>
      <c r="I333" s="108"/>
      <c r="J333" s="98"/>
      <c r="K333" s="98"/>
      <c r="L333" s="98"/>
      <c r="M333" s="98"/>
      <c r="N333" s="98"/>
      <c r="O333" s="98"/>
      <c r="P333" s="96"/>
    </row>
    <row r="334" spans="1:16" ht="15.75" customHeight="1" x14ac:dyDescent="0.25">
      <c r="A334" s="95"/>
      <c r="B334" s="58"/>
      <c r="C334" s="58"/>
      <c r="D334" s="58"/>
      <c r="E334" s="58"/>
      <c r="F334" s="58"/>
      <c r="G334" s="114"/>
      <c r="H334" s="58"/>
      <c r="I334" s="58"/>
      <c r="J334" s="98"/>
      <c r="K334" s="98"/>
      <c r="L334" s="98"/>
      <c r="M334" s="98"/>
      <c r="N334" s="98"/>
      <c r="O334" s="98"/>
      <c r="P334" s="96"/>
    </row>
    <row r="335" spans="1:16" ht="15" customHeight="1" x14ac:dyDescent="0.25">
      <c r="A335" s="95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6"/>
    </row>
    <row r="336" spans="1:16" ht="15" customHeight="1" x14ac:dyDescent="0.25">
      <c r="A336" s="103" t="s">
        <v>177</v>
      </c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6"/>
    </row>
    <row r="337" spans="1:16" ht="15.75" customHeight="1" x14ac:dyDescent="0.25">
      <c r="A337" s="95"/>
      <c r="B337" s="58" t="s">
        <v>10</v>
      </c>
      <c r="C337" s="58" t="s">
        <v>178</v>
      </c>
      <c r="D337" s="58" t="s">
        <v>172</v>
      </c>
      <c r="E337" s="58" t="s">
        <v>179</v>
      </c>
      <c r="F337" s="58" t="s">
        <v>16</v>
      </c>
      <c r="G337" s="114" t="s">
        <v>17</v>
      </c>
      <c r="H337" s="114" t="s">
        <v>175</v>
      </c>
      <c r="I337" s="58" t="s">
        <v>180</v>
      </c>
      <c r="J337" s="58" t="s">
        <v>181</v>
      </c>
      <c r="K337" s="58" t="s">
        <v>182</v>
      </c>
      <c r="L337" s="115" t="s">
        <v>183</v>
      </c>
      <c r="M337" s="115" t="s">
        <v>184</v>
      </c>
      <c r="N337" s="115" t="s">
        <v>185</v>
      </c>
      <c r="O337" s="98"/>
      <c r="P337" s="96"/>
    </row>
    <row r="338" spans="1:16" ht="16.5" customHeight="1" x14ac:dyDescent="0.25">
      <c r="A338" s="95"/>
      <c r="B338" s="116"/>
      <c r="C338" s="117"/>
      <c r="D338" s="117"/>
      <c r="E338" s="117"/>
      <c r="F338" s="117"/>
      <c r="G338" s="118"/>
      <c r="H338" s="118"/>
      <c r="I338" s="117"/>
      <c r="J338" s="116"/>
      <c r="K338" s="116"/>
      <c r="L338" s="119"/>
      <c r="M338" s="119"/>
      <c r="N338" s="120"/>
      <c r="O338" s="98"/>
      <c r="P338" s="96"/>
    </row>
    <row r="339" spans="1:16" ht="16.5" customHeight="1" x14ac:dyDescent="0.25">
      <c r="A339" s="95"/>
      <c r="B339" s="116"/>
      <c r="C339" s="117"/>
      <c r="D339" s="117"/>
      <c r="E339" s="117"/>
      <c r="F339" s="117"/>
      <c r="G339" s="118"/>
      <c r="H339" s="118"/>
      <c r="I339" s="117"/>
      <c r="J339" s="116"/>
      <c r="K339" s="116"/>
      <c r="L339" s="119"/>
      <c r="M339" s="119"/>
      <c r="N339" s="120"/>
      <c r="O339" s="98"/>
      <c r="P339" s="96"/>
    </row>
    <row r="340" spans="1:16" ht="16.5" customHeight="1" x14ac:dyDescent="0.25">
      <c r="A340" s="95"/>
      <c r="B340" s="116"/>
      <c r="C340" s="117"/>
      <c r="D340" s="117"/>
      <c r="E340" s="117"/>
      <c r="F340" s="117"/>
      <c r="G340" s="118"/>
      <c r="H340" s="118"/>
      <c r="I340" s="117"/>
      <c r="J340" s="116"/>
      <c r="K340" s="116"/>
      <c r="L340" s="119"/>
      <c r="M340" s="119"/>
      <c r="N340" s="120"/>
      <c r="O340" s="98"/>
      <c r="P340" s="96"/>
    </row>
    <row r="341" spans="1:16" ht="16.5" customHeight="1" x14ac:dyDescent="0.25">
      <c r="A341" s="95"/>
      <c r="B341" s="116"/>
      <c r="C341" s="117"/>
      <c r="D341" s="117"/>
      <c r="E341" s="117"/>
      <c r="F341" s="117"/>
      <c r="G341" s="118"/>
      <c r="H341" s="118"/>
      <c r="I341" s="117"/>
      <c r="J341" s="116"/>
      <c r="K341" s="116"/>
      <c r="L341" s="119"/>
      <c r="M341" s="119"/>
      <c r="N341" s="120"/>
      <c r="O341" s="98"/>
      <c r="P341" s="96"/>
    </row>
    <row r="342" spans="1:16" ht="16.5" customHeight="1" x14ac:dyDescent="0.25">
      <c r="A342" s="138"/>
      <c r="B342" s="116"/>
      <c r="C342" s="117"/>
      <c r="D342" s="117"/>
      <c r="E342" s="117"/>
      <c r="F342" s="117"/>
      <c r="G342" s="118"/>
      <c r="H342" s="118"/>
      <c r="I342" s="117"/>
      <c r="J342" s="116"/>
      <c r="K342" s="116"/>
      <c r="L342" s="119"/>
      <c r="M342" s="119"/>
      <c r="N342" s="120"/>
      <c r="O342" s="98"/>
      <c r="P342" s="96"/>
    </row>
    <row r="343" spans="1:16" ht="15.75" customHeight="1" x14ac:dyDescent="0.25">
      <c r="A343" s="95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6"/>
    </row>
    <row r="344" spans="1:16" ht="15" customHeight="1" x14ac:dyDescent="0.25">
      <c r="A344" s="103" t="s">
        <v>186</v>
      </c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6"/>
    </row>
    <row r="345" spans="1:16" ht="15.75" customHeight="1" x14ac:dyDescent="0.25">
      <c r="A345" s="95"/>
      <c r="B345" s="58" t="s">
        <v>10</v>
      </c>
      <c r="C345" s="58" t="s">
        <v>187</v>
      </c>
      <c r="D345" s="58" t="s">
        <v>188</v>
      </c>
      <c r="E345" s="58" t="s">
        <v>135</v>
      </c>
      <c r="F345" s="58" t="s">
        <v>189</v>
      </c>
      <c r="G345" s="58" t="s">
        <v>190</v>
      </c>
      <c r="H345" s="58" t="s">
        <v>191</v>
      </c>
      <c r="I345" s="58" t="s">
        <v>16</v>
      </c>
      <c r="J345" s="114" t="s">
        <v>17</v>
      </c>
      <c r="K345" s="114" t="s">
        <v>175</v>
      </c>
      <c r="L345" s="98"/>
      <c r="M345" s="98"/>
      <c r="N345" s="98"/>
      <c r="O345" s="98"/>
      <c r="P345" s="96"/>
    </row>
    <row r="346" spans="1:16" ht="16.5" customHeight="1" x14ac:dyDescent="0.25">
      <c r="A346" s="95"/>
      <c r="B346" s="121" t="s">
        <v>228</v>
      </c>
      <c r="C346" s="122" t="e">
        <f>IF(VLOOKUP(B346,'Gebouwgegevens Allacker'!$J$5:$Q$83,2,0)=$B$316,VLOOKUP(B346,'Gebouwgegevens Allacker'!$J$5:$Q$83,2,0),VLOOKUP(B346,'Gebouwgegevens Allacker'!$J$5:$Q$83,3,0))</f>
        <v>#N/A</v>
      </c>
      <c r="D346" s="122" t="e">
        <f>IF(VLOOKUP(B346,'Gebouwgegevens Allacker'!$J$5:$Q$83,2,0)=$B$316,VLOOKUP(B346,'Gebouwgegevens Allacker'!$J$5:$Q$83,3,0),VLOOKUP(B346,'Gebouwgegevens Allacker'!$J$5:$Q$83,2,0))</f>
        <v>#N/A</v>
      </c>
      <c r="E346" s="122" t="e">
        <f>VLOOKUP(B346,'Gebouwgegevens Allacker'!$J$5:$Q$83,4,0)</f>
        <v>#N/A</v>
      </c>
      <c r="F346" s="122" t="e">
        <f>VLOOKUP(B346,'Gebouwgegevens Allacker'!$J$5:$Q$83,5,0)</f>
        <v>#N/A</v>
      </c>
      <c r="G346" s="122" t="e">
        <f>VLOOKUP('Verwarming Tabula 2zone'!C346,'Gebouwgegevens Allacker'!$A$35:$F$46,5,0)</f>
        <v>#N/A</v>
      </c>
      <c r="H346" s="122" t="e">
        <f>VLOOKUP('Verwarming Tabula 2zone'!D346,'Gebouwgegevens Allacker'!$A$35:$F$46,5,0)</f>
        <v>#N/A</v>
      </c>
      <c r="I346" s="122" t="e">
        <f>VLOOKUP(B346,'Gebouwgegevens Allacker'!$J$5:$Q$83,7,0)</f>
        <v>#N/A</v>
      </c>
      <c r="J346" s="118" t="e">
        <f>VLOOKUP(B346,'Gebouwgegevens Allacker'!$J$5:$Q$83,8,0)</f>
        <v>#N/A</v>
      </c>
      <c r="K346" s="118" t="e">
        <f>(G346-H346)/(G346-$B$4)</f>
        <v>#N/A</v>
      </c>
      <c r="L346" s="98"/>
      <c r="M346" s="98"/>
      <c r="N346" s="98"/>
      <c r="O346" s="98"/>
      <c r="P346" s="96"/>
    </row>
    <row r="347" spans="1:16" ht="16.5" customHeight="1" x14ac:dyDescent="0.25">
      <c r="A347" s="95"/>
      <c r="B347" s="121" t="s">
        <v>233</v>
      </c>
      <c r="C347" s="122" t="e">
        <f>IF(VLOOKUP(B347,'Gebouwgegevens Allacker'!$J$5:$Q$83,2,0)=$B$316,VLOOKUP(B347,'Gebouwgegevens Allacker'!$J$5:$Q$83,2,0),VLOOKUP(B347,'Gebouwgegevens Allacker'!$J$5:$Q$83,3,0))</f>
        <v>#N/A</v>
      </c>
      <c r="D347" s="122" t="e">
        <f>IF(VLOOKUP(B347,'Gebouwgegevens Allacker'!$J$5:$Q$83,2,0)=$B$316,VLOOKUP(B347,'Gebouwgegevens Allacker'!$J$5:$Q$83,3,0),VLOOKUP(B347,'Gebouwgegevens Allacker'!$J$5:$Q$83,2,0))</f>
        <v>#N/A</v>
      </c>
      <c r="E347" s="122" t="e">
        <f>VLOOKUP(B347,'Gebouwgegevens Allacker'!$J$5:$Q$83,4,0)</f>
        <v>#N/A</v>
      </c>
      <c r="F347" s="122" t="e">
        <f>VLOOKUP(B347,'Gebouwgegevens Allacker'!$J$5:$Q$83,5,0)</f>
        <v>#N/A</v>
      </c>
      <c r="G347" s="122" t="e">
        <f>VLOOKUP('Verwarming Tabula 2zone'!C347,'Gebouwgegevens Allacker'!$A$35:$F$46,5,0)</f>
        <v>#N/A</v>
      </c>
      <c r="H347" s="122" t="e">
        <f>VLOOKUP('Verwarming Tabula 2zone'!D347,'Gebouwgegevens Allacker'!$A$35:$F$46,5,0)</f>
        <v>#N/A</v>
      </c>
      <c r="I347" s="122" t="e">
        <f>VLOOKUP(B347,'Gebouwgegevens Allacker'!$J$5:$Q$83,7,0)</f>
        <v>#N/A</v>
      </c>
      <c r="J347" s="118" t="e">
        <f>VLOOKUP(B347,'Gebouwgegevens Allacker'!$J$5:$Q$83,8,0)</f>
        <v>#N/A</v>
      </c>
      <c r="K347" s="118" t="e">
        <f>(G347-H347)/(G347-$B$4)</f>
        <v>#N/A</v>
      </c>
      <c r="L347" s="98"/>
      <c r="M347" s="98"/>
      <c r="N347" s="98"/>
      <c r="O347" s="98"/>
      <c r="P347" s="96"/>
    </row>
    <row r="348" spans="1:16" ht="16.5" customHeight="1" x14ac:dyDescent="0.25">
      <c r="A348" s="95"/>
      <c r="B348" s="121" t="s">
        <v>234</v>
      </c>
      <c r="C348" s="122" t="e">
        <f>IF(VLOOKUP(B348,'Gebouwgegevens Allacker'!$J$5:$Q$83,2,0)=$B$316,VLOOKUP(B348,'Gebouwgegevens Allacker'!$J$5:$Q$83,2,0),VLOOKUP(B348,'Gebouwgegevens Allacker'!$J$5:$Q$83,3,0))</f>
        <v>#N/A</v>
      </c>
      <c r="D348" s="122" t="e">
        <f>IF(VLOOKUP(B348,'Gebouwgegevens Allacker'!$J$5:$Q$83,2,0)=$B$316,VLOOKUP(B348,'Gebouwgegevens Allacker'!$J$5:$Q$83,3,0),VLOOKUP(B348,'Gebouwgegevens Allacker'!$J$5:$Q$83,2,0))</f>
        <v>#N/A</v>
      </c>
      <c r="E348" s="122" t="e">
        <f>VLOOKUP(B348,'Gebouwgegevens Allacker'!$J$5:$Q$83,4,0)</f>
        <v>#N/A</v>
      </c>
      <c r="F348" s="122" t="e">
        <f>VLOOKUP(B348,'Gebouwgegevens Allacker'!$J$5:$Q$83,5,0)</f>
        <v>#N/A</v>
      </c>
      <c r="G348" s="122" t="e">
        <f>VLOOKUP('Verwarming Tabula 2zone'!C348,'Gebouwgegevens Allacker'!$A$35:$F$46,5,0)</f>
        <v>#N/A</v>
      </c>
      <c r="H348" s="122" t="e">
        <f>VLOOKUP('Verwarming Tabula 2zone'!D348,'Gebouwgegevens Allacker'!$A$35:$F$46,5,0)</f>
        <v>#N/A</v>
      </c>
      <c r="I348" s="122" t="e">
        <f>VLOOKUP(B348,'Gebouwgegevens Allacker'!$J$5:$Q$83,7,0)</f>
        <v>#N/A</v>
      </c>
      <c r="J348" s="118" t="e">
        <f>VLOOKUP(B348,'Gebouwgegevens Allacker'!$J$5:$Q$83,8,0)</f>
        <v>#N/A</v>
      </c>
      <c r="K348" s="118" t="e">
        <f>(G348-H348)/(G348-$B$4)</f>
        <v>#N/A</v>
      </c>
      <c r="L348" s="98"/>
      <c r="M348" s="98"/>
      <c r="N348" s="98"/>
      <c r="O348" s="98"/>
      <c r="P348" s="96"/>
    </row>
    <row r="349" spans="1:16" ht="16.5" customHeight="1" x14ac:dyDescent="0.25">
      <c r="A349" s="95"/>
      <c r="B349" s="92" t="s">
        <v>235</v>
      </c>
      <c r="C349" s="122" t="e">
        <f>IF(VLOOKUP(B349,'Gebouwgegevens Allacker'!$J$5:$Q$83,2,0)=$B$316,VLOOKUP(B349,'Gebouwgegevens Allacker'!$J$5:$Q$83,2,0),VLOOKUP(B349,'Gebouwgegevens Allacker'!$J$5:$Q$83,3,0))</f>
        <v>#N/A</v>
      </c>
      <c r="D349" s="122" t="e">
        <f>IF(VLOOKUP(B349,'Gebouwgegevens Allacker'!$J$5:$Q$83,2,0)=$B$316,VLOOKUP(B349,'Gebouwgegevens Allacker'!$J$5:$Q$83,3,0),VLOOKUP(B349,'Gebouwgegevens Allacker'!$J$5:$Q$83,2,0))</f>
        <v>#N/A</v>
      </c>
      <c r="E349" s="122" t="e">
        <f>VLOOKUP(B349,'Gebouwgegevens Allacker'!$J$5:$Q$83,4,0)</f>
        <v>#N/A</v>
      </c>
      <c r="F349" s="122" t="e">
        <f>VLOOKUP(B349,'Gebouwgegevens Allacker'!$J$5:$Q$83,5,0)</f>
        <v>#N/A</v>
      </c>
      <c r="G349" s="122" t="e">
        <f>VLOOKUP('Verwarming Tabula 2zone'!C349,'Gebouwgegevens Allacker'!$A$35:$F$46,5,0)</f>
        <v>#N/A</v>
      </c>
      <c r="H349" s="122" t="e">
        <f>VLOOKUP('Verwarming Tabula 2zone'!D349,'Gebouwgegevens Allacker'!$A$35:$F$46,5,0)</f>
        <v>#N/A</v>
      </c>
      <c r="I349" s="122" t="e">
        <f>VLOOKUP(B349,'Gebouwgegevens Allacker'!$J$5:$Q$83,7,0)</f>
        <v>#N/A</v>
      </c>
      <c r="J349" s="118" t="e">
        <f>VLOOKUP(B349,'Gebouwgegevens Allacker'!$J$5:$Q$83,8,0)</f>
        <v>#N/A</v>
      </c>
      <c r="K349" s="118" t="e">
        <f>(G349-H349)/(G349-$B$4)</f>
        <v>#N/A</v>
      </c>
      <c r="L349" s="98"/>
      <c r="M349" s="98"/>
      <c r="N349" s="98"/>
      <c r="O349" s="98"/>
      <c r="P349" s="96"/>
    </row>
    <row r="350" spans="1:16" ht="16.5" customHeight="1" x14ac:dyDescent="0.25">
      <c r="A350" s="95"/>
      <c r="B350" s="123" t="s">
        <v>236</v>
      </c>
      <c r="C350" s="122" t="e">
        <f>IF(VLOOKUP(B350,'Gebouwgegevens Allacker'!$J$5:$Q$83,2,0)=$B$316,VLOOKUP(B350,'Gebouwgegevens Allacker'!$J$5:$Q$83,2,0),VLOOKUP(B350,'Gebouwgegevens Allacker'!$J$5:$Q$83,3,0))</f>
        <v>#N/A</v>
      </c>
      <c r="D350" s="122" t="e">
        <f>IF(VLOOKUP(B350,'Gebouwgegevens Allacker'!$J$5:$Q$83,2,0)=$B$316,VLOOKUP(B350,'Gebouwgegevens Allacker'!$J$5:$Q$83,3,0),VLOOKUP(B350,'Gebouwgegevens Allacker'!$J$5:$Q$83,2,0))</f>
        <v>#N/A</v>
      </c>
      <c r="E350" s="122" t="e">
        <f>VLOOKUP(B350,'Gebouwgegevens Allacker'!$J$5:$Q$83,4,0)</f>
        <v>#N/A</v>
      </c>
      <c r="F350" s="122" t="e">
        <f>VLOOKUP(B350,'Gebouwgegevens Allacker'!$J$5:$Q$83,5,0)</f>
        <v>#N/A</v>
      </c>
      <c r="G350" s="122" t="e">
        <f>VLOOKUP('Verwarming Tabula 2zone'!C350,'Gebouwgegevens Allacker'!$A$35:$F$46,5,0)</f>
        <v>#N/A</v>
      </c>
      <c r="H350" s="122" t="e">
        <f>VLOOKUP('Verwarming Tabula 2zone'!D350,'Gebouwgegevens Allacker'!$A$35:$F$46,5,0)</f>
        <v>#N/A</v>
      </c>
      <c r="I350" s="122" t="e">
        <f>VLOOKUP(B350,'Gebouwgegevens Allacker'!$J$5:$Q$83,7,0)</f>
        <v>#N/A</v>
      </c>
      <c r="J350" s="118" t="e">
        <f>VLOOKUP(B350,'Gebouwgegevens Allacker'!$J$5:$Q$83,8,0)</f>
        <v>#N/A</v>
      </c>
      <c r="K350" s="118" t="e">
        <f>(G350-H350)/(G350-$B$4)</f>
        <v>#N/A</v>
      </c>
      <c r="L350" s="98"/>
      <c r="M350" s="98"/>
      <c r="N350" s="98"/>
      <c r="O350" s="98"/>
      <c r="P350" s="96"/>
    </row>
    <row r="351" spans="1:16" ht="16.5" customHeight="1" x14ac:dyDescent="0.25">
      <c r="A351" s="95"/>
      <c r="B351" s="123"/>
      <c r="C351" s="139"/>
      <c r="D351" s="122"/>
      <c r="E351" s="122"/>
      <c r="F351" s="122"/>
      <c r="G351" s="122"/>
      <c r="H351" s="122"/>
      <c r="I351" s="122"/>
      <c r="J351" s="118"/>
      <c r="K351" s="118"/>
      <c r="L351" s="98"/>
      <c r="M351" s="98"/>
      <c r="N351" s="98"/>
      <c r="O351" s="98"/>
      <c r="P351" s="96"/>
    </row>
    <row r="352" spans="1:16" ht="16.5" customHeight="1" x14ac:dyDescent="0.25">
      <c r="A352" s="95"/>
      <c r="B352" s="123"/>
      <c r="C352" s="139"/>
      <c r="D352" s="122"/>
      <c r="E352" s="122"/>
      <c r="F352" s="122"/>
      <c r="G352" s="122"/>
      <c r="H352" s="122"/>
      <c r="I352" s="122"/>
      <c r="J352" s="118"/>
      <c r="K352" s="118"/>
      <c r="L352" s="98"/>
      <c r="M352" s="98"/>
      <c r="N352" s="98"/>
      <c r="O352" s="98"/>
      <c r="P352" s="96"/>
    </row>
    <row r="353" spans="1:16" ht="16.5" customHeight="1" x14ac:dyDescent="0.25">
      <c r="A353" s="95"/>
      <c r="B353" s="123"/>
      <c r="C353" s="139"/>
      <c r="D353" s="122"/>
      <c r="E353" s="122"/>
      <c r="F353" s="122"/>
      <c r="G353" s="122"/>
      <c r="H353" s="122"/>
      <c r="I353" s="122"/>
      <c r="J353" s="118"/>
      <c r="K353" s="118"/>
      <c r="L353" s="98"/>
      <c r="M353" s="98"/>
      <c r="N353" s="98"/>
      <c r="O353" s="98"/>
      <c r="P353" s="96"/>
    </row>
    <row r="354" spans="1:16" ht="16.5" customHeight="1" x14ac:dyDescent="0.25">
      <c r="A354" s="95"/>
      <c r="B354" s="123"/>
      <c r="C354" s="139"/>
      <c r="D354" s="122"/>
      <c r="E354" s="122"/>
      <c r="F354" s="122"/>
      <c r="G354" s="122"/>
      <c r="H354" s="122"/>
      <c r="I354" s="122"/>
      <c r="J354" s="118"/>
      <c r="K354" s="118"/>
      <c r="L354" s="98"/>
      <c r="M354" s="98"/>
      <c r="N354" s="98"/>
      <c r="O354" s="98"/>
      <c r="P354" s="96"/>
    </row>
    <row r="355" spans="1:16" ht="16.5" customHeight="1" x14ac:dyDescent="0.25">
      <c r="A355" s="95"/>
      <c r="B355" s="123"/>
      <c r="C355" s="139"/>
      <c r="D355" s="122"/>
      <c r="E355" s="122"/>
      <c r="F355" s="122"/>
      <c r="G355" s="122"/>
      <c r="H355" s="122"/>
      <c r="I355" s="122"/>
      <c r="J355" s="118"/>
      <c r="K355" s="118"/>
      <c r="L355" s="98"/>
      <c r="M355" s="98"/>
      <c r="N355" s="98"/>
      <c r="O355" s="98"/>
      <c r="P355" s="96"/>
    </row>
    <row r="356" spans="1:16" ht="15.75" customHeight="1" x14ac:dyDescent="0.25">
      <c r="A356" s="95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8"/>
      <c r="M356" s="98"/>
      <c r="N356" s="98"/>
      <c r="O356" s="98"/>
      <c r="P356" s="96"/>
    </row>
    <row r="357" spans="1:16" ht="15" customHeight="1" x14ac:dyDescent="0.25">
      <c r="A357" s="95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6"/>
    </row>
    <row r="358" spans="1:16" ht="15.75" customHeight="1" x14ac:dyDescent="0.25">
      <c r="A358" s="103" t="s">
        <v>192</v>
      </c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6"/>
    </row>
    <row r="359" spans="1:16" ht="16.5" customHeight="1" x14ac:dyDescent="0.25">
      <c r="A359" s="124" t="s">
        <v>193</v>
      </c>
      <c r="B359" s="118" t="e">
        <f>SUMPRODUCT(H322:H333,I322:I333)+SUMPRODUCT(G338:G342,H338:H342)+SUMPRODUCT(J346:J355,K346:K355)</f>
        <v>#N/A</v>
      </c>
      <c r="C359" s="118" t="s">
        <v>107</v>
      </c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6"/>
    </row>
    <row r="360" spans="1:16" ht="16.5" customHeight="1" x14ac:dyDescent="0.25">
      <c r="A360" s="124" t="s">
        <v>167</v>
      </c>
      <c r="B360" s="118" t="e">
        <f>B359*(G346-$B$4)</f>
        <v>#N/A</v>
      </c>
      <c r="C360" s="118" t="s">
        <v>169</v>
      </c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6"/>
    </row>
    <row r="361" spans="1:16" ht="15.75" customHeight="1" x14ac:dyDescent="0.25">
      <c r="A361" s="109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1"/>
    </row>
    <row r="362" spans="1:16" ht="15.75" customHeight="1" x14ac:dyDescent="0.25">
      <c r="A362" s="343" t="s">
        <v>194</v>
      </c>
      <c r="B362" s="343"/>
      <c r="C362" s="343"/>
      <c r="D362" s="125" t="s">
        <v>222</v>
      </c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94"/>
    </row>
    <row r="363" spans="1:16" ht="15" customHeight="1" x14ac:dyDescent="0.25">
      <c r="A363" s="95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6"/>
    </row>
    <row r="364" spans="1:16" ht="15" customHeight="1" x14ac:dyDescent="0.25">
      <c r="A364" s="126" t="s">
        <v>195</v>
      </c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6"/>
    </row>
    <row r="365" spans="1:16" ht="15" customHeight="1" x14ac:dyDescent="0.25">
      <c r="A365" s="127" t="s">
        <v>196</v>
      </c>
      <c r="B365" s="121">
        <v>8</v>
      </c>
      <c r="C365" s="120" t="s">
        <v>197</v>
      </c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6"/>
    </row>
    <row r="366" spans="1:16" ht="15" customHeight="1" x14ac:dyDescent="0.25">
      <c r="A366" s="127" t="s">
        <v>198</v>
      </c>
      <c r="B366" s="121">
        <v>0.03</v>
      </c>
      <c r="C366" s="120" t="s">
        <v>199</v>
      </c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6"/>
    </row>
    <row r="367" spans="1:16" ht="15.75" customHeight="1" x14ac:dyDescent="0.25">
      <c r="A367" s="127" t="s">
        <v>200</v>
      </c>
      <c r="B367" s="121">
        <v>1</v>
      </c>
      <c r="C367" s="120" t="s">
        <v>201</v>
      </c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6"/>
    </row>
    <row r="368" spans="1:16" ht="16.5" customHeight="1" x14ac:dyDescent="0.25">
      <c r="A368" s="124" t="s">
        <v>202</v>
      </c>
      <c r="B368" s="118" t="e">
        <f>2*VLOOKUP(B316,'Gebouwgegevens Allacker'!$A$35:$F$46,6,0)*B365*B366*B367</f>
        <v>#N/A</v>
      </c>
      <c r="C368" s="118" t="s">
        <v>203</v>
      </c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6"/>
    </row>
    <row r="369" spans="1:16" ht="15.75" customHeight="1" x14ac:dyDescent="0.25">
      <c r="A369" s="95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6"/>
    </row>
    <row r="370" spans="1:16" ht="15" customHeight="1" x14ac:dyDescent="0.25">
      <c r="A370" s="126" t="s">
        <v>204</v>
      </c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6"/>
    </row>
    <row r="371" spans="1:16" ht="15.75" customHeight="1" x14ac:dyDescent="0.25">
      <c r="A371" s="95" t="s">
        <v>180</v>
      </c>
      <c r="B371" s="98" t="e">
        <f>VLOOKUP(B316,'Gebouwgegevens Allacker'!$A$35:$F$46,6,0)</f>
        <v>#N/A</v>
      </c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6"/>
    </row>
    <row r="372" spans="1:16" ht="16.5" customHeight="1" x14ac:dyDescent="0.25">
      <c r="A372" s="124" t="s">
        <v>205</v>
      </c>
      <c r="B372" s="128" t="e">
        <f>B371*3.6</f>
        <v>#N/A</v>
      </c>
      <c r="C372" s="118" t="s">
        <v>203</v>
      </c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6"/>
    </row>
    <row r="373" spans="1:16" ht="15.75" customHeight="1" x14ac:dyDescent="0.25">
      <c r="A373" s="95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6"/>
    </row>
    <row r="374" spans="1:16" ht="15.75" customHeight="1" x14ac:dyDescent="0.25">
      <c r="A374" s="95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6"/>
    </row>
    <row r="375" spans="1:16" ht="16.5" customHeight="1" x14ac:dyDescent="0.25">
      <c r="A375" s="124" t="s">
        <v>207</v>
      </c>
      <c r="B375" s="118" t="e">
        <f>MAX(B368,B372)</f>
        <v>#N/A</v>
      </c>
      <c r="C375" s="118" t="s">
        <v>203</v>
      </c>
      <c r="D375" s="98"/>
      <c r="E375" s="98"/>
      <c r="F375" s="118" t="s">
        <v>208</v>
      </c>
      <c r="G375" s="118" t="e">
        <f>B375/VLOOKUP(B316,'Gebouwgegevens Allacker'!$A$35:$B$46,2,0)</f>
        <v>#N/A</v>
      </c>
      <c r="H375" s="98"/>
      <c r="I375" s="98"/>
      <c r="J375" s="98"/>
      <c r="K375" s="98"/>
      <c r="L375" s="98"/>
      <c r="M375" s="98"/>
      <c r="N375" s="98"/>
      <c r="O375" s="98"/>
      <c r="P375" s="96"/>
    </row>
    <row r="376" spans="1:16" ht="16.5" customHeight="1" x14ac:dyDescent="0.25">
      <c r="A376" s="138"/>
      <c r="B376" s="58"/>
      <c r="C376" s="5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6"/>
    </row>
    <row r="377" spans="1:16" ht="16.5" customHeight="1" x14ac:dyDescent="0.25">
      <c r="A377" s="124" t="s">
        <v>209</v>
      </c>
      <c r="B377" s="118" t="e">
        <f>0.34*B375</f>
        <v>#N/A</v>
      </c>
      <c r="C377" s="118" t="s">
        <v>107</v>
      </c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6"/>
    </row>
    <row r="378" spans="1:16" ht="16.5" customHeight="1" x14ac:dyDescent="0.25">
      <c r="A378" s="124" t="s">
        <v>167</v>
      </c>
      <c r="B378" s="118" t="e">
        <f>B377*('Gebouwgegevens Allacker'!E338-$B$4)</f>
        <v>#N/A</v>
      </c>
      <c r="C378" s="118" t="s">
        <v>169</v>
      </c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6"/>
    </row>
    <row r="379" spans="1:16" ht="15.75" customHeight="1" x14ac:dyDescent="0.25">
      <c r="A379" s="140"/>
      <c r="B379" s="141"/>
      <c r="C379" s="141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1"/>
    </row>
    <row r="380" spans="1:16" ht="15.75" customHeight="1" x14ac:dyDescent="0.25">
      <c r="A380" s="343" t="s">
        <v>210</v>
      </c>
      <c r="B380" s="343"/>
      <c r="C380" s="343"/>
      <c r="D380" s="343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6"/>
    </row>
    <row r="381" spans="1:16" ht="15" customHeight="1" x14ac:dyDescent="0.25">
      <c r="A381" s="95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6"/>
    </row>
    <row r="382" spans="1:16" ht="15" customHeight="1" x14ac:dyDescent="0.25">
      <c r="A382" s="127" t="s">
        <v>211</v>
      </c>
      <c r="B382" s="121">
        <v>22</v>
      </c>
      <c r="C382" s="58" t="s">
        <v>232</v>
      </c>
      <c r="D382" s="5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6"/>
    </row>
    <row r="383" spans="1:16" ht="15.75" customHeight="1" x14ac:dyDescent="0.25">
      <c r="A383" s="3" t="s">
        <v>113</v>
      </c>
      <c r="B383" s="58" t="e">
        <f>VLOOKUP(B316,'Gebouwgegevens Allacker'!$A$35:$F$46,6,0)</f>
        <v>#N/A</v>
      </c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6"/>
    </row>
    <row r="384" spans="1:16" ht="16.5" customHeight="1" x14ac:dyDescent="0.25">
      <c r="A384" s="124" t="s">
        <v>213</v>
      </c>
      <c r="B384" s="118" t="e">
        <f>B385/('Gebouwgegevens Allacker'!E338-'Verwarming Tabula 2zone'!$B$4)</f>
        <v>#N/A</v>
      </c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6"/>
    </row>
    <row r="385" spans="1:16" ht="16.5" customHeight="1" x14ac:dyDescent="0.25">
      <c r="A385" s="124" t="s">
        <v>167</v>
      </c>
      <c r="B385" s="118" t="e">
        <f>B382*B383</f>
        <v>#N/A</v>
      </c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6"/>
    </row>
    <row r="386" spans="1:16" ht="15.75" customHeight="1" x14ac:dyDescent="0.25">
      <c r="A386" s="95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6"/>
    </row>
    <row r="387" spans="1:16" ht="15.75" customHeight="1" x14ac:dyDescent="0.25">
      <c r="A387" s="95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6"/>
    </row>
    <row r="388" spans="1:16" ht="15.75" customHeight="1" x14ac:dyDescent="0.25">
      <c r="A388" s="129" t="s">
        <v>214</v>
      </c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1"/>
    </row>
    <row r="389" spans="1:16" ht="16.5" customHeight="1" x14ac:dyDescent="0.25">
      <c r="A389" s="124" t="s">
        <v>215</v>
      </c>
      <c r="B389" s="118" t="e">
        <f>SUM(B359,B377,B384)</f>
        <v>#N/A</v>
      </c>
      <c r="C389" s="118" t="s">
        <v>107</v>
      </c>
      <c r="D389" s="132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  <c r="O389" s="132"/>
      <c r="P389" s="133"/>
    </row>
    <row r="390" spans="1:16" ht="16.5" customHeight="1" x14ac:dyDescent="0.25">
      <c r="A390" s="124" t="s">
        <v>167</v>
      </c>
      <c r="B390" s="118" t="e">
        <f>SUM(B360,B378,B385)</f>
        <v>#N/A</v>
      </c>
      <c r="C390" s="118" t="s">
        <v>169</v>
      </c>
      <c r="D390" s="132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  <c r="O390" s="132"/>
      <c r="P390" s="133"/>
    </row>
    <row r="391" spans="1:16" ht="16.5" customHeight="1" x14ac:dyDescent="0.25">
      <c r="A391" s="134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6"/>
    </row>
    <row r="392" spans="1:16" ht="15.75" customHeight="1" x14ac:dyDescent="0.25">
      <c r="A392" s="137"/>
      <c r="B392" s="137"/>
      <c r="C392" s="137"/>
      <c r="D392" s="137"/>
      <c r="E392" s="137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</row>
    <row r="393" spans="1:16" ht="15" customHeight="1" x14ac:dyDescent="0.25">
      <c r="A393" s="93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94"/>
    </row>
    <row r="394" spans="1:16" ht="17.25" customHeight="1" x14ac:dyDescent="0.3">
      <c r="A394" s="97" t="s">
        <v>166</v>
      </c>
      <c r="B394" s="92">
        <v>6</v>
      </c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6"/>
    </row>
    <row r="395" spans="1:16" ht="15.75" customHeight="1" x14ac:dyDescent="0.25">
      <c r="A395" s="343" t="s">
        <v>168</v>
      </c>
      <c r="B395" s="343"/>
      <c r="C395" s="343"/>
      <c r="D395" s="343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94"/>
    </row>
    <row r="396" spans="1:16" ht="15" customHeight="1" x14ac:dyDescent="0.25">
      <c r="A396" s="95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6"/>
    </row>
    <row r="397" spans="1:16" ht="15" customHeight="1" x14ac:dyDescent="0.25">
      <c r="A397" s="103" t="s">
        <v>170</v>
      </c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6"/>
    </row>
    <row r="398" spans="1:16" ht="15" customHeight="1" x14ac:dyDescent="0.25">
      <c r="A398" s="95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6"/>
    </row>
    <row r="399" spans="1:16" ht="15.75" customHeight="1" x14ac:dyDescent="0.25">
      <c r="A399" s="95"/>
      <c r="B399" s="104" t="s">
        <v>10</v>
      </c>
      <c r="C399" s="104" t="s">
        <v>171</v>
      </c>
      <c r="D399" s="104" t="s">
        <v>172</v>
      </c>
      <c r="E399" s="104" t="s">
        <v>173</v>
      </c>
      <c r="F399" s="104" t="s">
        <v>174</v>
      </c>
      <c r="G399" s="104" t="s">
        <v>16</v>
      </c>
      <c r="H399" s="105" t="s">
        <v>17</v>
      </c>
      <c r="I399" s="105" t="s">
        <v>175</v>
      </c>
      <c r="J399" s="98"/>
      <c r="K399" s="98"/>
      <c r="L399" s="98"/>
      <c r="M399" s="98"/>
      <c r="N399" s="98"/>
      <c r="O399" s="98"/>
      <c r="P399" s="96"/>
    </row>
    <row r="400" spans="1:16" ht="16.5" customHeight="1" x14ac:dyDescent="0.25">
      <c r="A400" s="95"/>
      <c r="B400" s="106" t="s">
        <v>96</v>
      </c>
      <c r="C400" s="107">
        <f>VLOOKUP(B400,'Gebouwgegevens Allacker'!$J$5:$Q$83,3,0)</f>
        <v>3</v>
      </c>
      <c r="D400" s="107" t="str">
        <f>VLOOKUP(B400,'Gebouwgegevens Allacker'!$J$5:$Q$83,4,0)</f>
        <v>Roof</v>
      </c>
      <c r="E400" s="107">
        <f>VLOOKUP(B400,'Gebouwgegevens Allacker'!$J$5:$Q$83,5,0)</f>
        <v>99.627515556697489</v>
      </c>
      <c r="F400" s="107" t="str">
        <f>VLOOKUP(B400,'Gebouwgegevens Allacker'!$J$5:$Q$83,6,0)</f>
        <v>front/back</v>
      </c>
      <c r="G400" s="107">
        <f>VLOOKUP(B400,'Gebouwgegevens Allacker'!$J$5:$Q$83,7,0)</f>
        <v>1.6975498473547073</v>
      </c>
      <c r="H400" s="108">
        <f>VLOOKUP(B400,'Gebouwgegevens Allacker'!$J$5:$Q$83,8,0)</f>
        <v>169.12267382560054</v>
      </c>
      <c r="I400" s="108">
        <v>1</v>
      </c>
      <c r="J400" s="98"/>
      <c r="K400" s="98"/>
      <c r="L400" s="98"/>
      <c r="M400" s="98"/>
      <c r="N400" s="98"/>
      <c r="O400" s="98"/>
      <c r="P400" s="96"/>
    </row>
    <row r="401" spans="1:16" ht="16.5" customHeight="1" x14ac:dyDescent="0.25">
      <c r="A401" s="95"/>
      <c r="B401" s="106" t="s">
        <v>98</v>
      </c>
      <c r="C401" s="107">
        <f>VLOOKUP(B401,'Gebouwgegevens Allacker'!$J$5:$Q$83,3,0)</f>
        <v>3</v>
      </c>
      <c r="D401" s="107" t="str">
        <f>VLOOKUP(B401,'Gebouwgegevens Allacker'!$J$5:$Q$83,4,0)</f>
        <v>Floor internal</v>
      </c>
      <c r="E401" s="107">
        <f>VLOOKUP(B401,'Gebouwgegevens Allacker'!$J$5:$Q$83,5,0)</f>
        <v>76.183999999999997</v>
      </c>
      <c r="F401" s="107">
        <f>VLOOKUP(B401,'Gebouwgegevens Allacker'!$J$5:$Q$83,6,0)</f>
        <v>0</v>
      </c>
      <c r="G401" s="107">
        <f>VLOOKUP(B401,'Gebouwgegevens Allacker'!$J$5:$Q$83,7,0)</f>
        <v>2.0895522388059704</v>
      </c>
      <c r="H401" s="108">
        <f>VLOOKUP(B401,'Gebouwgegevens Allacker'!$J$5:$Q$83,8,0)</f>
        <v>159.19044776119404</v>
      </c>
      <c r="I401" s="108">
        <v>1</v>
      </c>
      <c r="J401" s="98"/>
      <c r="K401" s="98"/>
      <c r="L401" s="98"/>
      <c r="M401" s="98"/>
      <c r="N401" s="98"/>
      <c r="O401" s="98"/>
      <c r="P401" s="96"/>
    </row>
    <row r="402" spans="1:16" ht="16.5" customHeight="1" x14ac:dyDescent="0.25">
      <c r="A402" s="95"/>
      <c r="B402" s="106" t="s">
        <v>101</v>
      </c>
      <c r="C402" s="107">
        <f>VLOOKUP(B402,'Gebouwgegevens Allacker'!$J$5:$Q$83,3,0)</f>
        <v>2</v>
      </c>
      <c r="D402" s="107" t="str">
        <f>VLOOKUP(B402,'Gebouwgegevens Allacker'!$J$5:$Q$83,4,0)</f>
        <v>Wall internal</v>
      </c>
      <c r="E402" s="107">
        <f>VLOOKUP(B402,'Gebouwgegevens Allacker'!$J$5:$Q$83,5,0)</f>
        <v>140.84</v>
      </c>
      <c r="F402" s="107">
        <f>VLOOKUP(B402,'Gebouwgegevens Allacker'!$J$5:$Q$83,6,0)</f>
        <v>0</v>
      </c>
      <c r="G402" s="107">
        <f>VLOOKUP(B402,'Gebouwgegevens Allacker'!$J$5:$Q$83,7,0)</f>
        <v>1.9926199261992623</v>
      </c>
      <c r="H402" s="108">
        <f>VLOOKUP(B402,'Gebouwgegevens Allacker'!$J$5:$Q$83,8,0)</f>
        <v>280.64059040590411</v>
      </c>
      <c r="I402" s="108">
        <v>1</v>
      </c>
      <c r="J402" s="98"/>
      <c r="K402" s="98"/>
      <c r="L402" s="98"/>
      <c r="M402" s="98"/>
      <c r="N402" s="98"/>
      <c r="O402" s="98"/>
      <c r="P402" s="96"/>
    </row>
    <row r="403" spans="1:16" ht="16.5" customHeight="1" x14ac:dyDescent="0.25">
      <c r="A403" s="95"/>
      <c r="B403" s="106"/>
      <c r="C403" s="107"/>
      <c r="D403" s="107"/>
      <c r="E403" s="107"/>
      <c r="F403" s="107"/>
      <c r="G403" s="107"/>
      <c r="H403" s="108"/>
      <c r="I403" s="108"/>
      <c r="J403" s="98"/>
      <c r="K403" s="98"/>
      <c r="L403" s="98"/>
      <c r="M403" s="98"/>
      <c r="N403" s="98"/>
      <c r="O403" s="98"/>
      <c r="P403" s="96"/>
    </row>
    <row r="404" spans="1:16" ht="16.5" customHeight="1" x14ac:dyDescent="0.25">
      <c r="A404" s="95"/>
      <c r="B404" s="106"/>
      <c r="C404" s="107"/>
      <c r="D404" s="107"/>
      <c r="E404" s="107"/>
      <c r="F404" s="107"/>
      <c r="G404" s="107"/>
      <c r="H404" s="108"/>
      <c r="I404" s="108"/>
      <c r="J404" s="98"/>
      <c r="K404" s="98"/>
      <c r="L404" s="98"/>
      <c r="M404" s="98"/>
      <c r="N404" s="98"/>
      <c r="O404" s="98"/>
      <c r="P404" s="96"/>
    </row>
    <row r="405" spans="1:16" ht="16.5" customHeight="1" x14ac:dyDescent="0.25">
      <c r="A405" s="95"/>
      <c r="B405" s="106"/>
      <c r="C405" s="107"/>
      <c r="D405" s="107"/>
      <c r="E405" s="107"/>
      <c r="F405" s="107"/>
      <c r="G405" s="107"/>
      <c r="H405" s="108"/>
      <c r="I405" s="108"/>
      <c r="J405" s="98"/>
      <c r="K405" s="98"/>
      <c r="L405" s="98"/>
      <c r="M405" s="98"/>
      <c r="N405" s="98"/>
      <c r="O405" s="98"/>
      <c r="P405" s="96"/>
    </row>
    <row r="406" spans="1:16" ht="16.5" customHeight="1" x14ac:dyDescent="0.25">
      <c r="A406" s="95"/>
      <c r="B406" s="106"/>
      <c r="C406" s="107"/>
      <c r="D406" s="107"/>
      <c r="E406" s="107"/>
      <c r="F406" s="107"/>
      <c r="G406" s="107"/>
      <c r="H406" s="108"/>
      <c r="I406" s="108"/>
      <c r="J406" s="98"/>
      <c r="K406" s="98"/>
      <c r="L406" s="98"/>
      <c r="M406" s="98"/>
      <c r="N406" s="98"/>
      <c r="O406" s="98"/>
      <c r="P406" s="96"/>
    </row>
    <row r="407" spans="1:16" ht="16.5" customHeight="1" x14ac:dyDescent="0.25">
      <c r="A407" s="95"/>
      <c r="B407" s="106"/>
      <c r="C407" s="107"/>
      <c r="D407" s="107"/>
      <c r="E407" s="107"/>
      <c r="F407" s="107"/>
      <c r="G407" s="107"/>
      <c r="H407" s="108"/>
      <c r="I407" s="108"/>
      <c r="J407" s="98"/>
      <c r="K407" s="98"/>
      <c r="L407" s="98"/>
      <c r="M407" s="98"/>
      <c r="N407" s="98"/>
      <c r="O407" s="98"/>
      <c r="P407" s="96"/>
    </row>
    <row r="408" spans="1:16" ht="16.5" customHeight="1" x14ac:dyDescent="0.25">
      <c r="A408" s="95"/>
      <c r="B408" s="106"/>
      <c r="C408" s="107"/>
      <c r="D408" s="107"/>
      <c r="E408" s="107"/>
      <c r="F408" s="107"/>
      <c r="G408" s="107"/>
      <c r="H408" s="108"/>
      <c r="I408" s="108"/>
      <c r="J408" s="98"/>
      <c r="K408" s="98"/>
      <c r="L408" s="98"/>
      <c r="M408" s="98"/>
      <c r="N408" s="98"/>
      <c r="O408" s="98"/>
      <c r="P408" s="96"/>
    </row>
    <row r="409" spans="1:16" ht="16.5" customHeight="1" x14ac:dyDescent="0.25">
      <c r="A409" s="95"/>
      <c r="B409" s="106"/>
      <c r="C409" s="107"/>
      <c r="D409" s="107"/>
      <c r="E409" s="107"/>
      <c r="F409" s="107"/>
      <c r="G409" s="107"/>
      <c r="H409" s="108"/>
      <c r="I409" s="108"/>
      <c r="J409" s="98"/>
      <c r="K409" s="98"/>
      <c r="L409" s="98"/>
      <c r="M409" s="98"/>
      <c r="N409" s="98"/>
      <c r="O409" s="98"/>
      <c r="P409" s="96"/>
    </row>
    <row r="410" spans="1:16" ht="16.5" customHeight="1" x14ac:dyDescent="0.25">
      <c r="A410" s="95"/>
      <c r="B410" s="106"/>
      <c r="C410" s="107"/>
      <c r="D410" s="107"/>
      <c r="E410" s="107"/>
      <c r="F410" s="107"/>
      <c r="G410" s="107"/>
      <c r="H410" s="108"/>
      <c r="I410" s="108"/>
      <c r="J410" s="98"/>
      <c r="K410" s="98"/>
      <c r="L410" s="98"/>
      <c r="M410" s="98"/>
      <c r="N410" s="98"/>
      <c r="O410" s="98"/>
      <c r="P410" s="96"/>
    </row>
    <row r="411" spans="1:16" ht="16.5" customHeight="1" x14ac:dyDescent="0.25">
      <c r="A411" s="95"/>
      <c r="B411" s="106"/>
      <c r="C411" s="107"/>
      <c r="D411" s="107"/>
      <c r="E411" s="107"/>
      <c r="F411" s="107"/>
      <c r="G411" s="107"/>
      <c r="H411" s="108"/>
      <c r="I411" s="108"/>
      <c r="J411" s="98"/>
      <c r="K411" s="98"/>
      <c r="L411" s="98"/>
      <c r="M411" s="98"/>
      <c r="N411" s="98"/>
      <c r="O411" s="98"/>
      <c r="P411" s="96"/>
    </row>
    <row r="412" spans="1:16" ht="15.75" customHeight="1" x14ac:dyDescent="0.25">
      <c r="A412" s="95"/>
      <c r="B412" s="58"/>
      <c r="C412" s="58"/>
      <c r="D412" s="58"/>
      <c r="E412" s="58"/>
      <c r="F412" s="58"/>
      <c r="G412" s="114"/>
      <c r="H412" s="58"/>
      <c r="I412" s="58"/>
      <c r="J412" s="98"/>
      <c r="K412" s="98"/>
      <c r="L412" s="98"/>
      <c r="M412" s="98"/>
      <c r="N412" s="98"/>
      <c r="O412" s="98"/>
      <c r="P412" s="96"/>
    </row>
    <row r="413" spans="1:16" ht="15" customHeight="1" x14ac:dyDescent="0.25">
      <c r="A413" s="95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6"/>
    </row>
    <row r="414" spans="1:16" ht="15" customHeight="1" x14ac:dyDescent="0.25">
      <c r="A414" s="103" t="s">
        <v>177</v>
      </c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6"/>
    </row>
    <row r="415" spans="1:16" ht="15.75" customHeight="1" x14ac:dyDescent="0.25">
      <c r="A415" s="95"/>
      <c r="B415" s="58" t="s">
        <v>10</v>
      </c>
      <c r="C415" s="58" t="s">
        <v>178</v>
      </c>
      <c r="D415" s="58" t="s">
        <v>172</v>
      </c>
      <c r="E415" s="58" t="s">
        <v>179</v>
      </c>
      <c r="F415" s="58" t="s">
        <v>16</v>
      </c>
      <c r="G415" s="114" t="s">
        <v>17</v>
      </c>
      <c r="H415" s="114" t="s">
        <v>175</v>
      </c>
      <c r="I415" s="58" t="s">
        <v>180</v>
      </c>
      <c r="J415" s="58" t="s">
        <v>181</v>
      </c>
      <c r="K415" s="58" t="s">
        <v>182</v>
      </c>
      <c r="L415" s="115" t="s">
        <v>183</v>
      </c>
      <c r="M415" s="115" t="s">
        <v>184</v>
      </c>
      <c r="N415" s="115" t="s">
        <v>185</v>
      </c>
      <c r="O415" s="98"/>
      <c r="P415" s="96"/>
    </row>
    <row r="416" spans="1:16" ht="16.5" customHeight="1" x14ac:dyDescent="0.25">
      <c r="A416" s="95"/>
      <c r="B416" s="116"/>
      <c r="C416" s="117"/>
      <c r="D416" s="117"/>
      <c r="E416" s="117"/>
      <c r="F416" s="117"/>
      <c r="G416" s="118"/>
      <c r="H416" s="118"/>
      <c r="I416" s="117"/>
      <c r="J416" s="116"/>
      <c r="K416" s="116"/>
      <c r="L416" s="119"/>
      <c r="M416" s="119"/>
      <c r="N416" s="120"/>
      <c r="O416" s="98"/>
      <c r="P416" s="96"/>
    </row>
    <row r="417" spans="1:16" ht="16.5" customHeight="1" x14ac:dyDescent="0.25">
      <c r="A417" s="95"/>
      <c r="B417" s="116"/>
      <c r="C417" s="117"/>
      <c r="D417" s="117"/>
      <c r="E417" s="117"/>
      <c r="F417" s="117"/>
      <c r="G417" s="118"/>
      <c r="H417" s="118"/>
      <c r="I417" s="117"/>
      <c r="J417" s="116"/>
      <c r="K417" s="116"/>
      <c r="L417" s="119"/>
      <c r="M417" s="119"/>
      <c r="N417" s="120"/>
      <c r="O417" s="98"/>
      <c r="P417" s="96"/>
    </row>
    <row r="418" spans="1:16" ht="16.5" customHeight="1" x14ac:dyDescent="0.25">
      <c r="A418" s="95"/>
      <c r="B418" s="116"/>
      <c r="C418" s="117"/>
      <c r="D418" s="117"/>
      <c r="E418" s="117"/>
      <c r="F418" s="117"/>
      <c r="G418" s="118"/>
      <c r="H418" s="118"/>
      <c r="I418" s="117"/>
      <c r="J418" s="116"/>
      <c r="K418" s="116"/>
      <c r="L418" s="119"/>
      <c r="M418" s="119"/>
      <c r="N418" s="120"/>
      <c r="O418" s="98"/>
      <c r="P418" s="96"/>
    </row>
    <row r="419" spans="1:16" ht="16.5" customHeight="1" x14ac:dyDescent="0.25">
      <c r="A419" s="95"/>
      <c r="B419" s="116"/>
      <c r="C419" s="117"/>
      <c r="D419" s="117"/>
      <c r="E419" s="117"/>
      <c r="F419" s="117"/>
      <c r="G419" s="118"/>
      <c r="H419" s="118"/>
      <c r="I419" s="117"/>
      <c r="J419" s="116"/>
      <c r="K419" s="116"/>
      <c r="L419" s="119"/>
      <c r="M419" s="119"/>
      <c r="N419" s="120"/>
      <c r="O419" s="98"/>
      <c r="P419" s="96"/>
    </row>
    <row r="420" spans="1:16" ht="16.5" customHeight="1" x14ac:dyDescent="0.25">
      <c r="A420" s="138"/>
      <c r="B420" s="116"/>
      <c r="C420" s="117"/>
      <c r="D420" s="117"/>
      <c r="E420" s="117"/>
      <c r="F420" s="117"/>
      <c r="G420" s="118"/>
      <c r="H420" s="118"/>
      <c r="I420" s="117"/>
      <c r="J420" s="116"/>
      <c r="K420" s="116"/>
      <c r="L420" s="119"/>
      <c r="M420" s="119"/>
      <c r="N420" s="120"/>
      <c r="O420" s="98"/>
      <c r="P420" s="96"/>
    </row>
    <row r="421" spans="1:16" ht="15.75" customHeight="1" x14ac:dyDescent="0.25">
      <c r="A421" s="95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6"/>
    </row>
    <row r="422" spans="1:16" ht="15" customHeight="1" x14ac:dyDescent="0.25">
      <c r="A422" s="103" t="s">
        <v>186</v>
      </c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6"/>
    </row>
    <row r="423" spans="1:16" ht="15.75" customHeight="1" x14ac:dyDescent="0.25">
      <c r="A423" s="95"/>
      <c r="B423" s="58" t="s">
        <v>10</v>
      </c>
      <c r="C423" s="58" t="s">
        <v>187</v>
      </c>
      <c r="D423" s="58" t="s">
        <v>188</v>
      </c>
      <c r="E423" s="58" t="s">
        <v>135</v>
      </c>
      <c r="F423" s="58" t="s">
        <v>189</v>
      </c>
      <c r="G423" s="58" t="s">
        <v>190</v>
      </c>
      <c r="H423" s="58" t="s">
        <v>191</v>
      </c>
      <c r="I423" s="58" t="s">
        <v>16</v>
      </c>
      <c r="J423" s="114" t="s">
        <v>17</v>
      </c>
      <c r="K423" s="114" t="s">
        <v>175</v>
      </c>
      <c r="L423" s="98"/>
      <c r="M423" s="98"/>
      <c r="N423" s="98"/>
      <c r="O423" s="98"/>
      <c r="P423" s="96"/>
    </row>
    <row r="424" spans="1:16" ht="16.5" customHeight="1" x14ac:dyDescent="0.25">
      <c r="A424" s="95"/>
      <c r="B424" s="116" t="s">
        <v>233</v>
      </c>
      <c r="C424" s="122" t="e">
        <f>IF(VLOOKUP(B424,'Gebouwgegevens Allacker'!$J$5:$Q$83,2,0)=$B$394,VLOOKUP(B424,'Gebouwgegevens Allacker'!$J$5:$Q$83,2,0),VLOOKUP(B424,'Gebouwgegevens Allacker'!$J$5:$Q$83,3,0))</f>
        <v>#N/A</v>
      </c>
      <c r="D424" s="122" t="e">
        <f>IF(VLOOKUP(B424,'Gebouwgegevens Allacker'!$J$5:$Q$83,2,0)=$B$394,VLOOKUP(B424,'Gebouwgegevens Allacker'!$J$5:$Q$83,3,0),VLOOKUP(B424,'Gebouwgegevens Allacker'!$J$5:$Q$83,2,0))</f>
        <v>#N/A</v>
      </c>
      <c r="E424" s="122" t="e">
        <f>VLOOKUP(B424,'Gebouwgegevens Allacker'!$J$5:$Q$83,4,0)</f>
        <v>#N/A</v>
      </c>
      <c r="F424" s="122" t="e">
        <f>VLOOKUP(B424,'Gebouwgegevens Allacker'!$J$5:$Q$83,5,0)</f>
        <v>#N/A</v>
      </c>
      <c r="G424" s="122" t="e">
        <f>VLOOKUP('Verwarming Tabula 2zone'!C424,'Gebouwgegevens Allacker'!$A$35:$F$46,5,0)</f>
        <v>#N/A</v>
      </c>
      <c r="H424" s="122" t="e">
        <f>VLOOKUP('Verwarming Tabula 2zone'!D424,'Gebouwgegevens Allacker'!$A$35:$F$46,5,0)</f>
        <v>#N/A</v>
      </c>
      <c r="I424" s="122" t="e">
        <f>VLOOKUP(B424,'Gebouwgegevens Allacker'!$J$5:$Q$83,7,0)</f>
        <v>#N/A</v>
      </c>
      <c r="J424" s="118" t="e">
        <f>VLOOKUP(B424,'Gebouwgegevens Allacker'!$J$5:$Q$83,8,0)</f>
        <v>#N/A</v>
      </c>
      <c r="K424" s="118" t="e">
        <f>(G424-H424)/(G424-$B$4)</f>
        <v>#N/A</v>
      </c>
      <c r="L424" s="98"/>
      <c r="M424" s="98"/>
      <c r="N424" s="98"/>
      <c r="O424" s="98"/>
      <c r="P424" s="96"/>
    </row>
    <row r="425" spans="1:16" ht="16.5" customHeight="1" x14ac:dyDescent="0.25">
      <c r="A425" s="95"/>
      <c r="B425" s="116" t="s">
        <v>237</v>
      </c>
      <c r="C425" s="122" t="e">
        <f>IF(VLOOKUP(B425,'Gebouwgegevens Allacker'!$J$5:$Q$83,2,0)=$B$394,VLOOKUP(B425,'Gebouwgegevens Allacker'!$J$5:$Q$83,2,0),VLOOKUP(B425,'Gebouwgegevens Allacker'!$J$5:$Q$83,3,0))</f>
        <v>#N/A</v>
      </c>
      <c r="D425" s="122" t="e">
        <f>IF(VLOOKUP(B425,'Gebouwgegevens Allacker'!$J$5:$Q$83,2,0)=$B$394,VLOOKUP(B425,'Gebouwgegevens Allacker'!$J$5:$Q$83,3,0),VLOOKUP(B425,'Gebouwgegevens Allacker'!$J$5:$Q$83,2,0))</f>
        <v>#N/A</v>
      </c>
      <c r="E425" s="122" t="e">
        <f>VLOOKUP(B425,'Gebouwgegevens Allacker'!$J$5:$Q$83,4,0)</f>
        <v>#N/A</v>
      </c>
      <c r="F425" s="122" t="e">
        <f>VLOOKUP(B425,'Gebouwgegevens Allacker'!$J$5:$Q$83,5,0)</f>
        <v>#N/A</v>
      </c>
      <c r="G425" s="122" t="e">
        <f>VLOOKUP('Verwarming Tabula 2zone'!C425,'Gebouwgegevens Allacker'!$A$35:$F$46,5,0)</f>
        <v>#N/A</v>
      </c>
      <c r="H425" s="122" t="e">
        <f>VLOOKUP('Verwarming Tabula 2zone'!D425,'Gebouwgegevens Allacker'!$A$35:$F$46,5,0)</f>
        <v>#N/A</v>
      </c>
      <c r="I425" s="122" t="e">
        <f>VLOOKUP(B425,'Gebouwgegevens Allacker'!$J$5:$Q$83,7,0)</f>
        <v>#N/A</v>
      </c>
      <c r="J425" s="118" t="e">
        <f>VLOOKUP(B425,'Gebouwgegevens Allacker'!$J$5:$Q$83,8,0)</f>
        <v>#N/A</v>
      </c>
      <c r="K425" s="118" t="e">
        <f>(G425-H425)/(G425-$B$4)</f>
        <v>#N/A</v>
      </c>
      <c r="L425" s="98"/>
      <c r="M425" s="98"/>
      <c r="N425" s="98"/>
      <c r="O425" s="98"/>
      <c r="P425" s="96"/>
    </row>
    <row r="426" spans="1:16" ht="16.5" customHeight="1" x14ac:dyDescent="0.25">
      <c r="A426" s="95"/>
      <c r="B426" s="116" t="s">
        <v>238</v>
      </c>
      <c r="C426" s="122" t="e">
        <f>IF(VLOOKUP(B426,'Gebouwgegevens Allacker'!$J$5:$Q$83,2,0)=$B$394,VLOOKUP(B426,'Gebouwgegevens Allacker'!$J$5:$Q$83,2,0),VLOOKUP(B426,'Gebouwgegevens Allacker'!$J$5:$Q$83,3,0))</f>
        <v>#N/A</v>
      </c>
      <c r="D426" s="122" t="e">
        <f>IF(VLOOKUP(B426,'Gebouwgegevens Allacker'!$J$5:$Q$83,2,0)=$B$394,VLOOKUP(B426,'Gebouwgegevens Allacker'!$J$5:$Q$83,3,0),VLOOKUP(B426,'Gebouwgegevens Allacker'!$J$5:$Q$83,2,0))</f>
        <v>#N/A</v>
      </c>
      <c r="E426" s="122" t="e">
        <f>VLOOKUP(B426,'Gebouwgegevens Allacker'!$J$5:$Q$83,4,0)</f>
        <v>#N/A</v>
      </c>
      <c r="F426" s="122" t="e">
        <f>VLOOKUP(B426,'Gebouwgegevens Allacker'!$J$5:$Q$83,5,0)</f>
        <v>#N/A</v>
      </c>
      <c r="G426" s="122" t="e">
        <f>VLOOKUP('Verwarming Tabula 2zone'!C426,'Gebouwgegevens Allacker'!$A$35:$F$46,5,0)</f>
        <v>#N/A</v>
      </c>
      <c r="H426" s="122" t="e">
        <f>VLOOKUP('Verwarming Tabula 2zone'!D426,'Gebouwgegevens Allacker'!$A$35:$F$46,5,0)</f>
        <v>#N/A</v>
      </c>
      <c r="I426" s="122" t="e">
        <f>VLOOKUP(B426,'Gebouwgegevens Allacker'!$J$5:$Q$83,7,0)</f>
        <v>#N/A</v>
      </c>
      <c r="J426" s="118" t="e">
        <f>VLOOKUP(B426,'Gebouwgegevens Allacker'!$J$5:$Q$83,8,0)</f>
        <v>#N/A</v>
      </c>
      <c r="K426" s="118" t="e">
        <f>(G426-H426)/(G426-$B$4)</f>
        <v>#N/A</v>
      </c>
      <c r="L426" s="98"/>
      <c r="M426" s="98"/>
      <c r="N426" s="98"/>
      <c r="O426" s="98"/>
      <c r="P426" s="96"/>
    </row>
    <row r="427" spans="1:16" ht="16.5" customHeight="1" x14ac:dyDescent="0.25">
      <c r="A427" s="95"/>
      <c r="B427" s="116" t="s">
        <v>239</v>
      </c>
      <c r="C427" s="122" t="e">
        <f>IF(VLOOKUP(B427,'Gebouwgegevens Allacker'!$J$5:$Q$83,2,0)=$B$394,VLOOKUP(B427,'Gebouwgegevens Allacker'!$J$5:$Q$83,2,0),VLOOKUP(B427,'Gebouwgegevens Allacker'!$J$5:$Q$83,3,0))</f>
        <v>#N/A</v>
      </c>
      <c r="D427" s="122" t="e">
        <f>IF(VLOOKUP(B427,'Gebouwgegevens Allacker'!$J$5:$Q$83,2,0)=$B$394,VLOOKUP(B427,'Gebouwgegevens Allacker'!$J$5:$Q$83,3,0),VLOOKUP(B427,'Gebouwgegevens Allacker'!$J$5:$Q$83,2,0))</f>
        <v>#N/A</v>
      </c>
      <c r="E427" s="122" t="e">
        <f>VLOOKUP(B427,'Gebouwgegevens Allacker'!$J$5:$Q$83,4,0)</f>
        <v>#N/A</v>
      </c>
      <c r="F427" s="122" t="e">
        <f>VLOOKUP(B427,'Gebouwgegevens Allacker'!$J$5:$Q$83,5,0)</f>
        <v>#N/A</v>
      </c>
      <c r="G427" s="122" t="e">
        <f>VLOOKUP('Verwarming Tabula 2zone'!C427,'Gebouwgegevens Allacker'!$A$35:$F$46,5,0)</f>
        <v>#N/A</v>
      </c>
      <c r="H427" s="122" t="e">
        <f>VLOOKUP('Verwarming Tabula 2zone'!D427,'Gebouwgegevens Allacker'!$A$35:$F$46,5,0)</f>
        <v>#N/A</v>
      </c>
      <c r="I427" s="122" t="e">
        <f>VLOOKUP(B427,'Gebouwgegevens Allacker'!$J$5:$Q$83,7,0)</f>
        <v>#N/A</v>
      </c>
      <c r="J427" s="118" t="e">
        <f>VLOOKUP(B427,'Gebouwgegevens Allacker'!$J$5:$Q$83,8,0)</f>
        <v>#N/A</v>
      </c>
      <c r="K427" s="118" t="e">
        <f>(G427-H427)/(G427-$B$4)</f>
        <v>#N/A</v>
      </c>
      <c r="L427" s="98"/>
      <c r="M427" s="98"/>
      <c r="N427" s="98"/>
      <c r="O427" s="98"/>
      <c r="P427" s="96"/>
    </row>
    <row r="428" spans="1:16" ht="16.5" customHeight="1" x14ac:dyDescent="0.25">
      <c r="A428" s="95"/>
      <c r="B428" s="145" t="s">
        <v>240</v>
      </c>
      <c r="C428" s="122" t="e">
        <f>IF(VLOOKUP(B428,'Gebouwgegevens Allacker'!$J$5:$Q$83,2,0)=$B$394,VLOOKUP(B428,'Gebouwgegevens Allacker'!$J$5:$Q$83,2,0),VLOOKUP(B428,'Gebouwgegevens Allacker'!$J$5:$Q$83,3,0))</f>
        <v>#N/A</v>
      </c>
      <c r="D428" s="122" t="e">
        <f>IF(VLOOKUP(B428,'Gebouwgegevens Allacker'!$J$5:$Q$83,2,0)=$B$394,VLOOKUP(B428,'Gebouwgegevens Allacker'!$J$5:$Q$83,3,0),VLOOKUP(B428,'Gebouwgegevens Allacker'!$J$5:$Q$83,2,0))</f>
        <v>#N/A</v>
      </c>
      <c r="E428" s="122" t="e">
        <f>VLOOKUP(B428,'Gebouwgegevens Allacker'!$J$5:$Q$83,4,0)</f>
        <v>#N/A</v>
      </c>
      <c r="F428" s="122" t="e">
        <f>VLOOKUP(B428,'Gebouwgegevens Allacker'!$J$5:$Q$83,5,0)</f>
        <v>#N/A</v>
      </c>
      <c r="G428" s="122" t="e">
        <f>VLOOKUP('Verwarming Tabula 2zone'!C428,'Gebouwgegevens Allacker'!$A$35:$F$46,5,0)</f>
        <v>#N/A</v>
      </c>
      <c r="H428" s="122" t="e">
        <f>VLOOKUP('Verwarming Tabula 2zone'!D428,'Gebouwgegevens Allacker'!$A$35:$F$46,5,0)</f>
        <v>#N/A</v>
      </c>
      <c r="I428" s="122" t="e">
        <f>VLOOKUP(B428,'Gebouwgegevens Allacker'!$J$5:$Q$83,7,0)</f>
        <v>#N/A</v>
      </c>
      <c r="J428" s="118" t="e">
        <f>VLOOKUP(B428,'Gebouwgegevens Allacker'!$J$5:$Q$83,8,0)</f>
        <v>#N/A</v>
      </c>
      <c r="K428" s="118" t="e">
        <f>(G428-H428)/(G428-$B$4)</f>
        <v>#N/A</v>
      </c>
      <c r="L428" s="98"/>
      <c r="M428" s="98"/>
      <c r="N428" s="98"/>
      <c r="O428" s="98"/>
      <c r="P428" s="96"/>
    </row>
    <row r="429" spans="1:16" ht="16.5" customHeight="1" x14ac:dyDescent="0.25">
      <c r="A429" s="95"/>
      <c r="B429" s="123"/>
      <c r="C429" s="139"/>
      <c r="D429" s="122"/>
      <c r="E429" s="122"/>
      <c r="F429" s="122"/>
      <c r="G429" s="122"/>
      <c r="H429" s="122"/>
      <c r="I429" s="122"/>
      <c r="J429" s="118"/>
      <c r="K429" s="118"/>
      <c r="L429" s="98"/>
      <c r="M429" s="98"/>
      <c r="N429" s="98"/>
      <c r="O429" s="98"/>
      <c r="P429" s="96"/>
    </row>
    <row r="430" spans="1:16" ht="16.5" customHeight="1" x14ac:dyDescent="0.25">
      <c r="A430" s="95"/>
      <c r="B430" s="123"/>
      <c r="C430" s="139"/>
      <c r="D430" s="122"/>
      <c r="E430" s="122"/>
      <c r="F430" s="122"/>
      <c r="G430" s="122"/>
      <c r="H430" s="122"/>
      <c r="I430" s="122"/>
      <c r="J430" s="118"/>
      <c r="K430" s="118"/>
      <c r="L430" s="98"/>
      <c r="M430" s="98"/>
      <c r="N430" s="98"/>
      <c r="O430" s="98"/>
      <c r="P430" s="96"/>
    </row>
    <row r="431" spans="1:16" ht="16.5" customHeight="1" x14ac:dyDescent="0.25">
      <c r="A431" s="95"/>
      <c r="B431" s="123"/>
      <c r="C431" s="139"/>
      <c r="D431" s="122"/>
      <c r="E431" s="122"/>
      <c r="F431" s="122"/>
      <c r="G431" s="122"/>
      <c r="H431" s="122"/>
      <c r="I431" s="122"/>
      <c r="J431" s="118"/>
      <c r="K431" s="118"/>
      <c r="L431" s="98"/>
      <c r="M431" s="98"/>
      <c r="N431" s="98"/>
      <c r="O431" s="98"/>
      <c r="P431" s="96"/>
    </row>
    <row r="432" spans="1:16" ht="16.5" customHeight="1" x14ac:dyDescent="0.25">
      <c r="A432" s="95"/>
      <c r="B432" s="123"/>
      <c r="C432" s="139"/>
      <c r="D432" s="122"/>
      <c r="E432" s="122"/>
      <c r="F432" s="122"/>
      <c r="G432" s="122"/>
      <c r="H432" s="122"/>
      <c r="I432" s="122"/>
      <c r="J432" s="118"/>
      <c r="K432" s="118"/>
      <c r="L432" s="98"/>
      <c r="M432" s="98"/>
      <c r="N432" s="98"/>
      <c r="O432" s="98"/>
      <c r="P432" s="96"/>
    </row>
    <row r="433" spans="1:16" ht="16.5" customHeight="1" x14ac:dyDescent="0.25">
      <c r="A433" s="95"/>
      <c r="B433" s="123"/>
      <c r="C433" s="139"/>
      <c r="D433" s="122"/>
      <c r="E433" s="122"/>
      <c r="F433" s="122"/>
      <c r="G433" s="122"/>
      <c r="H433" s="122"/>
      <c r="I433" s="122"/>
      <c r="J433" s="118"/>
      <c r="K433" s="118"/>
      <c r="L433" s="98"/>
      <c r="M433" s="98"/>
      <c r="N433" s="98"/>
      <c r="O433" s="98"/>
      <c r="P433" s="96"/>
    </row>
    <row r="434" spans="1:16" ht="15.75" customHeight="1" x14ac:dyDescent="0.25">
      <c r="A434" s="95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8"/>
      <c r="M434" s="98"/>
      <c r="N434" s="98"/>
      <c r="O434" s="98"/>
      <c r="P434" s="96"/>
    </row>
    <row r="435" spans="1:16" ht="15" customHeight="1" x14ac:dyDescent="0.25">
      <c r="A435" s="95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6"/>
    </row>
    <row r="436" spans="1:16" ht="15.75" customHeight="1" x14ac:dyDescent="0.25">
      <c r="A436" s="103" t="s">
        <v>192</v>
      </c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6"/>
    </row>
    <row r="437" spans="1:16" ht="16.5" customHeight="1" x14ac:dyDescent="0.25">
      <c r="A437" s="124" t="s">
        <v>193</v>
      </c>
      <c r="B437" s="118" t="e">
        <f>SUMPRODUCT(H400:H411,I400:I411)+SUMPRODUCT(G416:G420,H416:H420)+SUMPRODUCT(J424:J433,K424:K433)</f>
        <v>#N/A</v>
      </c>
      <c r="C437" s="118" t="s">
        <v>107</v>
      </c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6"/>
    </row>
    <row r="438" spans="1:16" ht="16.5" customHeight="1" x14ac:dyDescent="0.25">
      <c r="A438" s="124" t="s">
        <v>167</v>
      </c>
      <c r="B438" s="118" t="e">
        <f>B437*(G424-$B$4)</f>
        <v>#N/A</v>
      </c>
      <c r="C438" s="118" t="s">
        <v>169</v>
      </c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6"/>
    </row>
    <row r="439" spans="1:16" ht="15.75" customHeight="1" x14ac:dyDescent="0.25">
      <c r="A439" s="109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1"/>
    </row>
    <row r="440" spans="1:16" ht="15.75" customHeight="1" x14ac:dyDescent="0.25">
      <c r="A440" s="343" t="s">
        <v>194</v>
      </c>
      <c r="B440" s="343"/>
      <c r="C440" s="343"/>
      <c r="D440" s="125" t="s">
        <v>222</v>
      </c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94"/>
    </row>
    <row r="441" spans="1:16" ht="15" customHeight="1" x14ac:dyDescent="0.25">
      <c r="A441" s="95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6"/>
    </row>
    <row r="442" spans="1:16" ht="15" customHeight="1" x14ac:dyDescent="0.25">
      <c r="A442" s="126" t="s">
        <v>195</v>
      </c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6"/>
    </row>
    <row r="443" spans="1:16" ht="15" customHeight="1" x14ac:dyDescent="0.25">
      <c r="A443" s="127" t="s">
        <v>196</v>
      </c>
      <c r="B443" s="121">
        <v>8</v>
      </c>
      <c r="C443" s="120" t="s">
        <v>197</v>
      </c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6"/>
    </row>
    <row r="444" spans="1:16" ht="15" customHeight="1" x14ac:dyDescent="0.25">
      <c r="A444" s="127" t="s">
        <v>198</v>
      </c>
      <c r="B444" s="121">
        <v>0.03</v>
      </c>
      <c r="C444" s="120" t="s">
        <v>199</v>
      </c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6"/>
    </row>
    <row r="445" spans="1:16" ht="15.75" customHeight="1" x14ac:dyDescent="0.25">
      <c r="A445" s="127" t="s">
        <v>200</v>
      </c>
      <c r="B445" s="121">
        <v>1</v>
      </c>
      <c r="C445" s="120" t="s">
        <v>201</v>
      </c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6"/>
    </row>
    <row r="446" spans="1:16" ht="16.5" customHeight="1" x14ac:dyDescent="0.25">
      <c r="A446" s="124" t="s">
        <v>202</v>
      </c>
      <c r="B446" s="118" t="e">
        <f>2*VLOOKUP(B394,'Gebouwgegevens Allacker'!$A$35:$F$46,6,0)*B443*B444*B445</f>
        <v>#N/A</v>
      </c>
      <c r="C446" s="118" t="s">
        <v>203</v>
      </c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6"/>
    </row>
    <row r="447" spans="1:16" ht="15.75" customHeight="1" x14ac:dyDescent="0.25">
      <c r="A447" s="95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6"/>
    </row>
    <row r="448" spans="1:16" ht="15" customHeight="1" x14ac:dyDescent="0.25">
      <c r="A448" s="126" t="s">
        <v>204</v>
      </c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6"/>
    </row>
    <row r="449" spans="1:16" ht="15.75" customHeight="1" x14ac:dyDescent="0.25">
      <c r="A449" s="95" t="s">
        <v>180</v>
      </c>
      <c r="B449" s="98" t="e">
        <f>VLOOKUP(B394,'Gebouwgegevens Allacker'!$A$35:$F$46,6,0)</f>
        <v>#N/A</v>
      </c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6"/>
    </row>
    <row r="450" spans="1:16" ht="16.5" customHeight="1" x14ac:dyDescent="0.25">
      <c r="A450" s="124" t="s">
        <v>205</v>
      </c>
      <c r="B450" s="128" t="e">
        <f>B449*3.6</f>
        <v>#N/A</v>
      </c>
      <c r="C450" s="118" t="s">
        <v>203</v>
      </c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6"/>
    </row>
    <row r="451" spans="1:16" ht="15.75" customHeight="1" x14ac:dyDescent="0.25">
      <c r="A451" s="138"/>
      <c r="B451" s="58"/>
      <c r="C451" s="5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6"/>
    </row>
    <row r="452" spans="1:16" ht="15.75" customHeight="1" x14ac:dyDescent="0.25">
      <c r="A452" s="138"/>
      <c r="B452" s="58"/>
      <c r="C452" s="5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6"/>
    </row>
    <row r="453" spans="1:16" ht="16.5" customHeight="1" x14ac:dyDescent="0.25">
      <c r="A453" s="124" t="s">
        <v>207</v>
      </c>
      <c r="B453" s="118" t="e">
        <f>MAX(B446,B450)</f>
        <v>#N/A</v>
      </c>
      <c r="C453" s="118" t="s">
        <v>203</v>
      </c>
      <c r="D453" s="98"/>
      <c r="E453" s="98"/>
      <c r="F453" s="118" t="s">
        <v>208</v>
      </c>
      <c r="G453" s="118" t="e">
        <f>B453/VLOOKUP(B394,'Gebouwgegevens Allacker'!$A$35:$B$46,2,0)</f>
        <v>#N/A</v>
      </c>
      <c r="H453" s="98"/>
      <c r="I453" s="98"/>
      <c r="J453" s="98"/>
      <c r="K453" s="98"/>
      <c r="L453" s="98"/>
      <c r="M453" s="98"/>
      <c r="N453" s="98"/>
      <c r="O453" s="98"/>
      <c r="P453" s="96"/>
    </row>
    <row r="454" spans="1:16" ht="16.5" customHeight="1" x14ac:dyDescent="0.25">
      <c r="A454" s="138"/>
      <c r="B454" s="58"/>
      <c r="C454" s="5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6"/>
    </row>
    <row r="455" spans="1:16" ht="16.5" customHeight="1" x14ac:dyDescent="0.25">
      <c r="A455" s="124" t="s">
        <v>209</v>
      </c>
      <c r="B455" s="118" t="e">
        <f>0.34*B453</f>
        <v>#N/A</v>
      </c>
      <c r="C455" s="118" t="s">
        <v>107</v>
      </c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6"/>
    </row>
    <row r="456" spans="1:16" ht="16.5" customHeight="1" x14ac:dyDescent="0.25">
      <c r="A456" s="124" t="s">
        <v>167</v>
      </c>
      <c r="B456" s="118" t="e">
        <f>B455*('Gebouwgegevens Allacker'!E416-$B$4)</f>
        <v>#N/A</v>
      </c>
      <c r="C456" s="118" t="s">
        <v>169</v>
      </c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6"/>
    </row>
    <row r="457" spans="1:16" ht="15.75" customHeight="1" x14ac:dyDescent="0.25">
      <c r="A457" s="140"/>
      <c r="B457" s="141"/>
      <c r="C457" s="141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1"/>
    </row>
    <row r="458" spans="1:16" ht="15.75" customHeight="1" x14ac:dyDescent="0.25">
      <c r="A458" s="343" t="s">
        <v>210</v>
      </c>
      <c r="B458" s="343"/>
      <c r="C458" s="343"/>
      <c r="D458" s="343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6"/>
    </row>
    <row r="459" spans="1:16" ht="15" customHeight="1" x14ac:dyDescent="0.25">
      <c r="A459" s="95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6"/>
    </row>
    <row r="460" spans="1:16" ht="15" customHeight="1" x14ac:dyDescent="0.25">
      <c r="A460" s="127" t="s">
        <v>211</v>
      </c>
      <c r="B460" s="121">
        <v>22</v>
      </c>
      <c r="C460" s="58" t="s">
        <v>232</v>
      </c>
      <c r="D460" s="5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6"/>
    </row>
    <row r="461" spans="1:16" ht="15.75" customHeight="1" x14ac:dyDescent="0.25">
      <c r="A461" s="3" t="s">
        <v>113</v>
      </c>
      <c r="B461" s="58" t="e">
        <f>VLOOKUP(B394,'Gebouwgegevens Allacker'!$A$35:$F$46,6,0)</f>
        <v>#N/A</v>
      </c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6"/>
    </row>
    <row r="462" spans="1:16" ht="16.5" customHeight="1" x14ac:dyDescent="0.25">
      <c r="A462" s="124" t="s">
        <v>213</v>
      </c>
      <c r="B462" s="118" t="e">
        <f>B463/('Gebouwgegevens Allacker'!E416-'Verwarming Tabula 2zone'!$B$4)</f>
        <v>#N/A</v>
      </c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6"/>
    </row>
    <row r="463" spans="1:16" ht="16.5" customHeight="1" x14ac:dyDescent="0.25">
      <c r="A463" s="124" t="s">
        <v>167</v>
      </c>
      <c r="B463" s="118" t="e">
        <f>B460*B461</f>
        <v>#N/A</v>
      </c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6"/>
    </row>
    <row r="464" spans="1:16" ht="15.75" customHeight="1" x14ac:dyDescent="0.25">
      <c r="A464" s="95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6"/>
    </row>
    <row r="465" spans="1:16" ht="15.75" customHeight="1" x14ac:dyDescent="0.25">
      <c r="A465" s="95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6"/>
    </row>
    <row r="466" spans="1:16" ht="15.75" customHeight="1" x14ac:dyDescent="0.25">
      <c r="A466" s="129" t="s">
        <v>214</v>
      </c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1"/>
    </row>
    <row r="467" spans="1:16" ht="16.5" customHeight="1" x14ac:dyDescent="0.25">
      <c r="A467" s="124" t="s">
        <v>215</v>
      </c>
      <c r="B467" s="118" t="e">
        <f>SUM(B437,B455,B462)</f>
        <v>#N/A</v>
      </c>
      <c r="C467" s="118" t="s">
        <v>107</v>
      </c>
      <c r="D467" s="132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  <c r="O467" s="132"/>
      <c r="P467" s="133"/>
    </row>
    <row r="468" spans="1:16" ht="16.5" customHeight="1" x14ac:dyDescent="0.25">
      <c r="A468" s="124" t="s">
        <v>167</v>
      </c>
      <c r="B468" s="118" t="e">
        <f>SUM(B438,B456,B463)</f>
        <v>#N/A</v>
      </c>
      <c r="C468" s="118" t="s">
        <v>169</v>
      </c>
      <c r="D468" s="132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  <c r="O468" s="132"/>
      <c r="P468" s="133"/>
    </row>
    <row r="469" spans="1:16" ht="16.5" customHeight="1" x14ac:dyDescent="0.25">
      <c r="A469" s="134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6"/>
    </row>
    <row r="470" spans="1:16" ht="15.75" customHeight="1" x14ac:dyDescent="0.25">
      <c r="A470" s="137"/>
      <c r="B470" s="137"/>
      <c r="C470" s="137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</row>
    <row r="471" spans="1:16" ht="15" customHeight="1" x14ac:dyDescent="0.25">
      <c r="A471" s="93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94"/>
    </row>
    <row r="472" spans="1:16" ht="17.25" customHeight="1" x14ac:dyDescent="0.3">
      <c r="A472" s="97" t="s">
        <v>166</v>
      </c>
      <c r="B472" s="92">
        <v>7</v>
      </c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6"/>
    </row>
    <row r="473" spans="1:16" ht="15.75" customHeight="1" x14ac:dyDescent="0.25">
      <c r="A473" s="343" t="s">
        <v>168</v>
      </c>
      <c r="B473" s="343"/>
      <c r="C473" s="343"/>
      <c r="D473" s="343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94"/>
    </row>
    <row r="474" spans="1:16" ht="15" customHeight="1" x14ac:dyDescent="0.25">
      <c r="A474" s="95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6"/>
    </row>
    <row r="475" spans="1:16" ht="15" customHeight="1" x14ac:dyDescent="0.25">
      <c r="A475" s="103" t="s">
        <v>170</v>
      </c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6"/>
    </row>
    <row r="476" spans="1:16" ht="15" customHeight="1" x14ac:dyDescent="0.25">
      <c r="A476" s="95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6"/>
    </row>
    <row r="477" spans="1:16" ht="15.75" customHeight="1" x14ac:dyDescent="0.25">
      <c r="A477" s="95"/>
      <c r="B477" s="104" t="s">
        <v>10</v>
      </c>
      <c r="C477" s="104" t="s">
        <v>171</v>
      </c>
      <c r="D477" s="104" t="s">
        <v>172</v>
      </c>
      <c r="E477" s="104" t="s">
        <v>173</v>
      </c>
      <c r="F477" s="104" t="s">
        <v>174</v>
      </c>
      <c r="G477" s="104" t="s">
        <v>16</v>
      </c>
      <c r="H477" s="105" t="s">
        <v>17</v>
      </c>
      <c r="I477" s="105" t="s">
        <v>175</v>
      </c>
      <c r="J477" s="98"/>
      <c r="K477" s="98"/>
      <c r="L477" s="98"/>
      <c r="M477" s="98"/>
      <c r="N477" s="98"/>
      <c r="O477" s="98"/>
      <c r="P477" s="96"/>
    </row>
    <row r="478" spans="1:16" ht="16.5" customHeight="1" x14ac:dyDescent="0.25">
      <c r="A478" s="95"/>
      <c r="B478" s="106" t="s">
        <v>102</v>
      </c>
      <c r="C478" s="107">
        <f>VLOOKUP(B478,'Gebouwgegevens Allacker'!$J$5:$Q$83,3,0)</f>
        <v>2</v>
      </c>
      <c r="D478" s="107" t="str">
        <f>VLOOKUP(B478,'Gebouwgegevens Allacker'!$J$5:$Q$83,4,0)</f>
        <v>Wall internal</v>
      </c>
      <c r="E478" s="107">
        <f>VLOOKUP(B478,'Gebouwgegevens Allacker'!$J$5:$Q$83,5,0)</f>
        <v>14.24</v>
      </c>
      <c r="F478" s="107">
        <f>VLOOKUP(B478,'Gebouwgegevens Allacker'!$J$5:$Q$83,6,0)</f>
        <v>0</v>
      </c>
      <c r="G478" s="107">
        <f>VLOOKUP(B478,'Gebouwgegevens Allacker'!$J$5:$Q$83,7,0)</f>
        <v>1.9926199261992623</v>
      </c>
      <c r="H478" s="108">
        <f>VLOOKUP(B478,'Gebouwgegevens Allacker'!$J$5:$Q$83,8,0)</f>
        <v>28.374907749077497</v>
      </c>
      <c r="I478" s="108">
        <v>1</v>
      </c>
      <c r="J478" s="98"/>
      <c r="K478" s="98"/>
      <c r="L478" s="98"/>
      <c r="M478" s="98"/>
      <c r="N478" s="98"/>
      <c r="O478" s="98"/>
      <c r="P478" s="96"/>
    </row>
    <row r="479" spans="1:16" ht="16.5" customHeight="1" x14ac:dyDescent="0.25">
      <c r="A479" s="95"/>
      <c r="B479" s="106" t="s">
        <v>102</v>
      </c>
      <c r="C479" s="107">
        <f>VLOOKUP(B479,'Gebouwgegevens Allacker'!$J$5:$Q$83,3,0)</f>
        <v>2</v>
      </c>
      <c r="D479" s="107" t="str">
        <f>VLOOKUP(B479,'Gebouwgegevens Allacker'!$J$5:$Q$83,4,0)</f>
        <v>Wall internal</v>
      </c>
      <c r="E479" s="107">
        <f>VLOOKUP(B479,'Gebouwgegevens Allacker'!$J$5:$Q$83,5,0)</f>
        <v>14.24</v>
      </c>
      <c r="F479" s="107">
        <f>VLOOKUP(B479,'Gebouwgegevens Allacker'!$J$5:$Q$83,6,0)</f>
        <v>0</v>
      </c>
      <c r="G479" s="107">
        <f>VLOOKUP(B479,'Gebouwgegevens Allacker'!$J$5:$Q$83,7,0)</f>
        <v>1.9926199261992623</v>
      </c>
      <c r="H479" s="108">
        <f>VLOOKUP(B479,'Gebouwgegevens Allacker'!$J$5:$Q$83,8,0)</f>
        <v>28.374907749077497</v>
      </c>
      <c r="I479" s="108">
        <v>1</v>
      </c>
      <c r="J479" s="98"/>
      <c r="K479" s="98"/>
      <c r="L479" s="98"/>
      <c r="M479" s="98"/>
      <c r="N479" s="98"/>
      <c r="O479" s="98"/>
      <c r="P479" s="96"/>
    </row>
    <row r="480" spans="1:16" ht="16.5" customHeight="1" x14ac:dyDescent="0.25">
      <c r="A480" s="95"/>
      <c r="B480" s="106" t="s">
        <v>241</v>
      </c>
      <c r="C480" s="107" t="e">
        <f>VLOOKUP(B480,'Gebouwgegevens Allacker'!$J$5:$Q$83,3,0)</f>
        <v>#N/A</v>
      </c>
      <c r="D480" s="107" t="e">
        <f>VLOOKUP(B480,'Gebouwgegevens Allacker'!$J$5:$Q$83,4,0)</f>
        <v>#N/A</v>
      </c>
      <c r="E480" s="107" t="e">
        <f>VLOOKUP(B480,'Gebouwgegevens Allacker'!$J$5:$Q$83,5,0)</f>
        <v>#N/A</v>
      </c>
      <c r="F480" s="107" t="e">
        <f>VLOOKUP(B480,'Gebouwgegevens Allacker'!$J$5:$Q$83,6,0)</f>
        <v>#N/A</v>
      </c>
      <c r="G480" s="107" t="e">
        <f>VLOOKUP(B480,'Gebouwgegevens Allacker'!$J$5:$Q$83,7,0)</f>
        <v>#N/A</v>
      </c>
      <c r="H480" s="108" t="e">
        <f>VLOOKUP(B480,'Gebouwgegevens Allacker'!$J$5:$Q$83,8,0)</f>
        <v>#N/A</v>
      </c>
      <c r="I480" s="108">
        <v>1</v>
      </c>
      <c r="J480" s="98"/>
      <c r="K480" s="98"/>
      <c r="L480" s="98"/>
      <c r="M480" s="98"/>
      <c r="N480" s="98"/>
      <c r="O480" s="98"/>
      <c r="P480" s="96"/>
    </row>
    <row r="481" spans="1:16" ht="16.5" customHeight="1" x14ac:dyDescent="0.25">
      <c r="A481" s="95"/>
      <c r="B481" s="106" t="s">
        <v>242</v>
      </c>
      <c r="C481" s="107" t="e">
        <f>VLOOKUP(B481,'Gebouwgegevens Allacker'!$J$5:$Q$83,3,0)</f>
        <v>#N/A</v>
      </c>
      <c r="D481" s="107" t="e">
        <f>VLOOKUP(B481,'Gebouwgegevens Allacker'!$J$5:$Q$83,4,0)</f>
        <v>#N/A</v>
      </c>
      <c r="E481" s="107" t="e">
        <f>VLOOKUP(B481,'Gebouwgegevens Allacker'!$J$5:$Q$83,5,0)</f>
        <v>#N/A</v>
      </c>
      <c r="F481" s="107" t="e">
        <f>VLOOKUP(B481,'Gebouwgegevens Allacker'!$J$5:$Q$83,6,0)</f>
        <v>#N/A</v>
      </c>
      <c r="G481" s="107" t="e">
        <f>VLOOKUP(B481,'Gebouwgegevens Allacker'!$J$5:$Q$83,7,0)</f>
        <v>#N/A</v>
      </c>
      <c r="H481" s="108" t="e">
        <f>VLOOKUP(B481,'Gebouwgegevens Allacker'!$J$5:$Q$83,8,0)</f>
        <v>#N/A</v>
      </c>
      <c r="I481" s="108">
        <v>1</v>
      </c>
      <c r="J481" s="98"/>
      <c r="K481" s="98"/>
      <c r="L481" s="98"/>
      <c r="M481" s="98"/>
      <c r="N481" s="98"/>
      <c r="O481" s="98"/>
      <c r="P481" s="96"/>
    </row>
    <row r="482" spans="1:16" ht="16.5" customHeight="1" x14ac:dyDescent="0.25">
      <c r="A482" s="95"/>
      <c r="B482" s="106" t="s">
        <v>243</v>
      </c>
      <c r="C482" s="107" t="e">
        <f>VLOOKUP(B482,'Gebouwgegevens Allacker'!$J$5:$Q$83,3,0)</f>
        <v>#N/A</v>
      </c>
      <c r="D482" s="107" t="e">
        <f>VLOOKUP(B482,'Gebouwgegevens Allacker'!$J$5:$Q$83,4,0)</f>
        <v>#N/A</v>
      </c>
      <c r="E482" s="107" t="e">
        <f>VLOOKUP(B482,'Gebouwgegevens Allacker'!$J$5:$Q$83,5,0)</f>
        <v>#N/A</v>
      </c>
      <c r="F482" s="107" t="e">
        <f>VLOOKUP(B482,'Gebouwgegevens Allacker'!$J$5:$Q$83,6,0)</f>
        <v>#N/A</v>
      </c>
      <c r="G482" s="107" t="e">
        <f>VLOOKUP(B482,'Gebouwgegevens Allacker'!$J$5:$Q$83,7,0)</f>
        <v>#N/A</v>
      </c>
      <c r="H482" s="108" t="e">
        <f>VLOOKUP(B482,'Gebouwgegevens Allacker'!$J$5:$Q$83,8,0)</f>
        <v>#N/A</v>
      </c>
      <c r="I482" s="108">
        <v>1</v>
      </c>
      <c r="J482" s="98"/>
      <c r="K482" s="98"/>
      <c r="L482" s="98"/>
      <c r="M482" s="98"/>
      <c r="N482" s="98"/>
      <c r="O482" s="98"/>
      <c r="P482" s="96"/>
    </row>
    <row r="483" spans="1:16" ht="16.5" customHeight="1" x14ac:dyDescent="0.25">
      <c r="A483" s="95"/>
      <c r="B483" s="106" t="s">
        <v>244</v>
      </c>
      <c r="C483" s="107" t="e">
        <f>VLOOKUP(B483,'Gebouwgegevens Allacker'!$J$5:$Q$83,3,0)</f>
        <v>#N/A</v>
      </c>
      <c r="D483" s="107" t="e">
        <f>VLOOKUP(B483,'Gebouwgegevens Allacker'!$J$5:$Q$83,4,0)</f>
        <v>#N/A</v>
      </c>
      <c r="E483" s="107" t="e">
        <f>VLOOKUP(B483,'Gebouwgegevens Allacker'!$J$5:$Q$83,5,0)</f>
        <v>#N/A</v>
      </c>
      <c r="F483" s="107" t="e">
        <f>VLOOKUP(B483,'Gebouwgegevens Allacker'!$J$5:$Q$83,6,0)</f>
        <v>#N/A</v>
      </c>
      <c r="G483" s="107" t="e">
        <f>VLOOKUP(B483,'Gebouwgegevens Allacker'!$J$5:$Q$83,7,0)</f>
        <v>#N/A</v>
      </c>
      <c r="H483" s="108" t="e">
        <f>VLOOKUP(B483,'Gebouwgegevens Allacker'!$J$5:$Q$83,8,0)</f>
        <v>#N/A</v>
      </c>
      <c r="I483" s="108">
        <v>1</v>
      </c>
      <c r="J483" s="98"/>
      <c r="K483" s="98"/>
      <c r="L483" s="98"/>
      <c r="M483" s="98"/>
      <c r="N483" s="98"/>
      <c r="O483" s="98"/>
      <c r="P483" s="96"/>
    </row>
    <row r="484" spans="1:16" ht="16.5" customHeight="1" x14ac:dyDescent="0.25">
      <c r="A484" s="95"/>
      <c r="B484" s="106"/>
      <c r="C484" s="107"/>
      <c r="D484" s="107"/>
      <c r="E484" s="107"/>
      <c r="F484" s="107"/>
      <c r="G484" s="107"/>
      <c r="H484" s="108"/>
      <c r="I484" s="108"/>
      <c r="J484" s="98"/>
      <c r="K484" s="98"/>
      <c r="L484" s="98"/>
      <c r="M484" s="98"/>
      <c r="N484" s="98"/>
      <c r="O484" s="98"/>
      <c r="P484" s="96"/>
    </row>
    <row r="485" spans="1:16" ht="16.5" customHeight="1" x14ac:dyDescent="0.25">
      <c r="A485" s="95"/>
      <c r="B485" s="106"/>
      <c r="C485" s="107"/>
      <c r="D485" s="107"/>
      <c r="E485" s="107"/>
      <c r="F485" s="107"/>
      <c r="G485" s="107"/>
      <c r="H485" s="108"/>
      <c r="I485" s="108"/>
      <c r="J485" s="98"/>
      <c r="K485" s="98"/>
      <c r="L485" s="98"/>
      <c r="M485" s="98"/>
      <c r="N485" s="98"/>
      <c r="O485" s="98"/>
      <c r="P485" s="96"/>
    </row>
    <row r="486" spans="1:16" ht="16.5" customHeight="1" x14ac:dyDescent="0.25">
      <c r="A486" s="95"/>
      <c r="B486" s="106"/>
      <c r="C486" s="107"/>
      <c r="D486" s="107"/>
      <c r="E486" s="107"/>
      <c r="F486" s="107"/>
      <c r="G486" s="107"/>
      <c r="H486" s="108"/>
      <c r="I486" s="108"/>
      <c r="J486" s="98"/>
      <c r="K486" s="98"/>
      <c r="L486" s="98"/>
      <c r="M486" s="98"/>
      <c r="N486" s="98"/>
      <c r="O486" s="98"/>
      <c r="P486" s="96"/>
    </row>
    <row r="487" spans="1:16" ht="16.5" customHeight="1" x14ac:dyDescent="0.25">
      <c r="A487" s="95"/>
      <c r="B487" s="106"/>
      <c r="C487" s="107"/>
      <c r="D487" s="107"/>
      <c r="E487" s="107"/>
      <c r="F487" s="107"/>
      <c r="G487" s="107"/>
      <c r="H487" s="108"/>
      <c r="I487" s="108"/>
      <c r="J487" s="98"/>
      <c r="K487" s="98"/>
      <c r="L487" s="98"/>
      <c r="M487" s="98"/>
      <c r="N487" s="98"/>
      <c r="O487" s="98"/>
      <c r="P487" s="96"/>
    </row>
    <row r="488" spans="1:16" ht="16.5" customHeight="1" x14ac:dyDescent="0.25">
      <c r="A488" s="95"/>
      <c r="B488" s="106"/>
      <c r="C488" s="107"/>
      <c r="D488" s="107"/>
      <c r="E488" s="107"/>
      <c r="F488" s="107"/>
      <c r="G488" s="107"/>
      <c r="H488" s="108"/>
      <c r="I488" s="108"/>
      <c r="J488" s="98"/>
      <c r="K488" s="98"/>
      <c r="L488" s="98"/>
      <c r="M488" s="98"/>
      <c r="N488" s="98"/>
      <c r="O488" s="98"/>
      <c r="P488" s="96"/>
    </row>
    <row r="489" spans="1:16" ht="16.5" customHeight="1" x14ac:dyDescent="0.25">
      <c r="A489" s="95"/>
      <c r="B489" s="106"/>
      <c r="C489" s="107"/>
      <c r="D489" s="107"/>
      <c r="E489" s="107"/>
      <c r="F489" s="107"/>
      <c r="G489" s="107"/>
      <c r="H489" s="108"/>
      <c r="I489" s="108"/>
      <c r="J489" s="98"/>
      <c r="K489" s="98"/>
      <c r="L489" s="98"/>
      <c r="M489" s="98"/>
      <c r="N489" s="98"/>
      <c r="O489" s="98"/>
      <c r="P489" s="96"/>
    </row>
    <row r="490" spans="1:16" ht="15.75" customHeight="1" x14ac:dyDescent="0.25">
      <c r="A490" s="95"/>
      <c r="B490" s="58"/>
      <c r="C490" s="58"/>
      <c r="D490" s="58"/>
      <c r="E490" s="58"/>
      <c r="F490" s="58"/>
      <c r="G490" s="114"/>
      <c r="H490" s="58"/>
      <c r="I490" s="58"/>
      <c r="J490" s="98"/>
      <c r="K490" s="98"/>
      <c r="L490" s="98"/>
      <c r="M490" s="98"/>
      <c r="N490" s="98"/>
      <c r="O490" s="98"/>
      <c r="P490" s="96"/>
    </row>
    <row r="491" spans="1:16" ht="15" customHeight="1" x14ac:dyDescent="0.25">
      <c r="A491" s="95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6"/>
    </row>
    <row r="492" spans="1:16" ht="15" customHeight="1" x14ac:dyDescent="0.25">
      <c r="A492" s="103" t="s">
        <v>177</v>
      </c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6"/>
    </row>
    <row r="493" spans="1:16" ht="15.75" customHeight="1" x14ac:dyDescent="0.25">
      <c r="A493" s="95"/>
      <c r="B493" s="58" t="s">
        <v>10</v>
      </c>
      <c r="C493" s="58" t="s">
        <v>178</v>
      </c>
      <c r="D493" s="58" t="s">
        <v>172</v>
      </c>
      <c r="E493" s="58" t="s">
        <v>179</v>
      </c>
      <c r="F493" s="58" t="s">
        <v>16</v>
      </c>
      <c r="G493" s="114" t="s">
        <v>17</v>
      </c>
      <c r="H493" s="114" t="s">
        <v>175</v>
      </c>
      <c r="I493" s="58" t="s">
        <v>180</v>
      </c>
      <c r="J493" s="58" t="s">
        <v>181</v>
      </c>
      <c r="K493" s="58" t="s">
        <v>182</v>
      </c>
      <c r="L493" s="115" t="s">
        <v>183</v>
      </c>
      <c r="M493" s="115" t="s">
        <v>184</v>
      </c>
      <c r="N493" s="115" t="s">
        <v>185</v>
      </c>
      <c r="O493" s="98"/>
      <c r="P493" s="96"/>
    </row>
    <row r="494" spans="1:16" ht="16.5" customHeight="1" x14ac:dyDescent="0.25">
      <c r="A494" s="95"/>
      <c r="B494" s="116"/>
      <c r="C494" s="117"/>
      <c r="D494" s="117"/>
      <c r="E494" s="117"/>
      <c r="F494" s="117"/>
      <c r="G494" s="118"/>
      <c r="H494" s="118"/>
      <c r="I494" s="117"/>
      <c r="J494" s="116"/>
      <c r="K494" s="116"/>
      <c r="L494" s="119"/>
      <c r="M494" s="119"/>
      <c r="N494" s="120"/>
      <c r="O494" s="98"/>
      <c r="P494" s="96"/>
    </row>
    <row r="495" spans="1:16" ht="16.5" customHeight="1" x14ac:dyDescent="0.25">
      <c r="A495" s="95"/>
      <c r="B495" s="116"/>
      <c r="C495" s="117"/>
      <c r="D495" s="117"/>
      <c r="E495" s="117"/>
      <c r="F495" s="117"/>
      <c r="G495" s="118"/>
      <c r="H495" s="118"/>
      <c r="I495" s="117"/>
      <c r="J495" s="116"/>
      <c r="K495" s="116"/>
      <c r="L495" s="119"/>
      <c r="M495" s="119"/>
      <c r="N495" s="120"/>
      <c r="O495" s="98"/>
      <c r="P495" s="96"/>
    </row>
    <row r="496" spans="1:16" ht="16.5" customHeight="1" x14ac:dyDescent="0.25">
      <c r="A496" s="95"/>
      <c r="B496" s="116"/>
      <c r="C496" s="117"/>
      <c r="D496" s="117"/>
      <c r="E496" s="117"/>
      <c r="F496" s="117"/>
      <c r="G496" s="118"/>
      <c r="H496" s="118"/>
      <c r="I496" s="117"/>
      <c r="J496" s="116"/>
      <c r="K496" s="116"/>
      <c r="L496" s="119"/>
      <c r="M496" s="119"/>
      <c r="N496" s="120"/>
      <c r="O496" s="98"/>
      <c r="P496" s="96"/>
    </row>
    <row r="497" spans="1:16" ht="16.5" customHeight="1" x14ac:dyDescent="0.25">
      <c r="A497" s="95"/>
      <c r="B497" s="116"/>
      <c r="C497" s="117"/>
      <c r="D497" s="117"/>
      <c r="E497" s="117"/>
      <c r="F497" s="117"/>
      <c r="G497" s="118"/>
      <c r="H497" s="118"/>
      <c r="I497" s="117"/>
      <c r="J497" s="116"/>
      <c r="K497" s="116"/>
      <c r="L497" s="119"/>
      <c r="M497" s="119"/>
      <c r="N497" s="120"/>
      <c r="O497" s="98"/>
      <c r="P497" s="96"/>
    </row>
    <row r="498" spans="1:16" ht="16.5" customHeight="1" x14ac:dyDescent="0.25">
      <c r="A498" s="138"/>
      <c r="B498" s="116"/>
      <c r="C498" s="117"/>
      <c r="D498" s="117"/>
      <c r="E498" s="117"/>
      <c r="F498" s="117"/>
      <c r="G498" s="118"/>
      <c r="H498" s="118"/>
      <c r="I498" s="117"/>
      <c r="J498" s="116"/>
      <c r="K498" s="116"/>
      <c r="L498" s="119"/>
      <c r="M498" s="119"/>
      <c r="N498" s="120"/>
      <c r="O498" s="98"/>
      <c r="P498" s="96"/>
    </row>
    <row r="499" spans="1:16" ht="15.75" customHeight="1" x14ac:dyDescent="0.25">
      <c r="A499" s="95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6"/>
    </row>
    <row r="500" spans="1:16" ht="15" customHeight="1" x14ac:dyDescent="0.25">
      <c r="A500" s="103" t="s">
        <v>186</v>
      </c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6"/>
    </row>
    <row r="501" spans="1:16" ht="15.75" customHeight="1" x14ac:dyDescent="0.25">
      <c r="A501" s="95"/>
      <c r="B501" s="58" t="s">
        <v>10</v>
      </c>
      <c r="C501" s="58" t="s">
        <v>187</v>
      </c>
      <c r="D501" s="58" t="s">
        <v>188</v>
      </c>
      <c r="E501" s="58" t="s">
        <v>135</v>
      </c>
      <c r="F501" s="58" t="s">
        <v>189</v>
      </c>
      <c r="G501" s="58" t="s">
        <v>190</v>
      </c>
      <c r="H501" s="58" t="s">
        <v>191</v>
      </c>
      <c r="I501" s="58" t="s">
        <v>16</v>
      </c>
      <c r="J501" s="114" t="s">
        <v>17</v>
      </c>
      <c r="K501" s="114" t="s">
        <v>175</v>
      </c>
      <c r="L501" s="98"/>
      <c r="M501" s="98"/>
      <c r="N501" s="98"/>
      <c r="O501" s="98"/>
      <c r="P501" s="96"/>
    </row>
    <row r="502" spans="1:16" ht="16.5" customHeight="1" x14ac:dyDescent="0.25">
      <c r="A502" s="95"/>
      <c r="B502" s="116" t="s">
        <v>237</v>
      </c>
      <c r="C502" s="122" t="e">
        <f>IF(VLOOKUP(B502,'Gebouwgegevens Allacker'!$J$5:$Q$83,2,0)=$B$472,VLOOKUP(B502,'Gebouwgegevens Allacker'!$J$5:$Q$83,2,0),VLOOKUP(B502,'Gebouwgegevens Allacker'!$J$5:$Q$83,3,0))</f>
        <v>#N/A</v>
      </c>
      <c r="D502" s="122" t="e">
        <f>IF(VLOOKUP(B502,'Gebouwgegevens Allacker'!$J$5:$Q$83,2,0)=$B$472,VLOOKUP(B502,'Gebouwgegevens Allacker'!$J$5:$Q$83,3,0),VLOOKUP(B502,'Gebouwgegevens Allacker'!$J$5:$Q$83,2,0))</f>
        <v>#N/A</v>
      </c>
      <c r="E502" s="122" t="e">
        <f>VLOOKUP(B502,'Gebouwgegevens Allacker'!$J$5:$Q$83,4,0)</f>
        <v>#N/A</v>
      </c>
      <c r="F502" s="122" t="e">
        <f>VLOOKUP(B502,'Gebouwgegevens Allacker'!$J$5:$Q$83,5,0)</f>
        <v>#N/A</v>
      </c>
      <c r="G502" s="122" t="e">
        <f>VLOOKUP('Verwarming Tabula 2zone'!C502,'Gebouwgegevens Allacker'!$A$35:$F$46,5,0)</f>
        <v>#N/A</v>
      </c>
      <c r="H502" s="122" t="e">
        <f>VLOOKUP('Verwarming Tabula 2zone'!D502,'Gebouwgegevens Allacker'!$A$35:$F$46,5,0)</f>
        <v>#N/A</v>
      </c>
      <c r="I502" s="122" t="e">
        <f>VLOOKUP(B502,'Gebouwgegevens Allacker'!$J$5:$Q$83,7,0)</f>
        <v>#N/A</v>
      </c>
      <c r="J502" s="118" t="e">
        <f>VLOOKUP(B502,'Gebouwgegevens Allacker'!$J$5:$Q$83,8,0)</f>
        <v>#N/A</v>
      </c>
      <c r="K502" s="118" t="e">
        <f>(G502-H502)/(G502-$B$4)</f>
        <v>#N/A</v>
      </c>
      <c r="L502" s="98"/>
      <c r="M502" s="98"/>
      <c r="N502" s="98"/>
      <c r="O502" s="98"/>
      <c r="P502" s="96"/>
    </row>
    <row r="503" spans="1:16" ht="16.5" customHeight="1" x14ac:dyDescent="0.25">
      <c r="A503" s="95"/>
      <c r="B503" s="116" t="s">
        <v>221</v>
      </c>
      <c r="C503" s="122" t="e">
        <f>IF(VLOOKUP(B503,'Gebouwgegevens Allacker'!$J$5:$Q$83,2,0)=$B$472,VLOOKUP(B503,'Gebouwgegevens Allacker'!$J$5:$Q$83,2,0),VLOOKUP(B503,'Gebouwgegevens Allacker'!$J$5:$Q$83,3,0))</f>
        <v>#N/A</v>
      </c>
      <c r="D503" s="122" t="e">
        <f>IF(VLOOKUP(B503,'Gebouwgegevens Allacker'!$J$5:$Q$83,2,0)=$B$472,VLOOKUP(B503,'Gebouwgegevens Allacker'!$J$5:$Q$83,3,0),VLOOKUP(B503,'Gebouwgegevens Allacker'!$J$5:$Q$83,2,0))</f>
        <v>#N/A</v>
      </c>
      <c r="E503" s="122" t="e">
        <f>VLOOKUP(B503,'Gebouwgegevens Allacker'!$J$5:$Q$83,4,0)</f>
        <v>#N/A</v>
      </c>
      <c r="F503" s="122" t="e">
        <f>VLOOKUP(B503,'Gebouwgegevens Allacker'!$J$5:$Q$83,5,0)</f>
        <v>#N/A</v>
      </c>
      <c r="G503" s="122" t="e">
        <f>VLOOKUP('Verwarming Tabula 2zone'!C503,'Gebouwgegevens Allacker'!$A$35:$F$46,5,0)</f>
        <v>#N/A</v>
      </c>
      <c r="H503" s="122" t="e">
        <f>VLOOKUP('Verwarming Tabula 2zone'!D503,'Gebouwgegevens Allacker'!$A$35:$F$46,5,0)</f>
        <v>#N/A</v>
      </c>
      <c r="I503" s="122" t="e">
        <f>VLOOKUP(B503,'Gebouwgegevens Allacker'!$J$5:$Q$83,7,0)</f>
        <v>#N/A</v>
      </c>
      <c r="J503" s="118" t="e">
        <f>VLOOKUP(B503,'Gebouwgegevens Allacker'!$J$5:$Q$83,8,0)</f>
        <v>#N/A</v>
      </c>
      <c r="K503" s="118" t="e">
        <f>(G503-H503)/(G503-$B$4)</f>
        <v>#N/A</v>
      </c>
      <c r="L503" s="98"/>
      <c r="M503" s="98"/>
      <c r="N503" s="98"/>
      <c r="O503" s="98"/>
      <c r="P503" s="96"/>
    </row>
    <row r="504" spans="1:16" ht="16.5" customHeight="1" x14ac:dyDescent="0.25">
      <c r="A504" s="95"/>
      <c r="B504" s="116" t="s">
        <v>245</v>
      </c>
      <c r="C504" s="122" t="e">
        <f>IF(VLOOKUP(B504,'Gebouwgegevens Allacker'!$J$5:$Q$83,2,0)=$B$472,VLOOKUP(B504,'Gebouwgegevens Allacker'!$J$5:$Q$83,2,0),VLOOKUP(B504,'Gebouwgegevens Allacker'!$J$5:$Q$83,3,0))</f>
        <v>#N/A</v>
      </c>
      <c r="D504" s="122" t="e">
        <f>IF(VLOOKUP(B504,'Gebouwgegevens Allacker'!$J$5:$Q$83,2,0)=$B$472,VLOOKUP(B504,'Gebouwgegevens Allacker'!$J$5:$Q$83,3,0),VLOOKUP(B504,'Gebouwgegevens Allacker'!$J$5:$Q$83,2,0))</f>
        <v>#N/A</v>
      </c>
      <c r="E504" s="122" t="e">
        <f>VLOOKUP(B504,'Gebouwgegevens Allacker'!$J$5:$Q$83,4,0)</f>
        <v>#N/A</v>
      </c>
      <c r="F504" s="122" t="e">
        <f>VLOOKUP(B504,'Gebouwgegevens Allacker'!$J$5:$Q$83,5,0)</f>
        <v>#N/A</v>
      </c>
      <c r="G504" s="122" t="e">
        <f>VLOOKUP('Verwarming Tabula 2zone'!C504,'Gebouwgegevens Allacker'!$A$35:$F$46,5,0)</f>
        <v>#N/A</v>
      </c>
      <c r="H504" s="122" t="e">
        <f>VLOOKUP('Verwarming Tabula 2zone'!D504,'Gebouwgegevens Allacker'!$A$35:$F$46,5,0)</f>
        <v>#N/A</v>
      </c>
      <c r="I504" s="122" t="e">
        <f>VLOOKUP(B504,'Gebouwgegevens Allacker'!$J$5:$Q$83,7,0)</f>
        <v>#N/A</v>
      </c>
      <c r="J504" s="118" t="e">
        <f>VLOOKUP(B504,'Gebouwgegevens Allacker'!$J$5:$Q$83,8,0)</f>
        <v>#N/A</v>
      </c>
      <c r="K504" s="118" t="e">
        <f>(G504-H504)/(G504-$B$4)</f>
        <v>#N/A</v>
      </c>
      <c r="L504" s="98"/>
      <c r="M504" s="98"/>
      <c r="N504" s="98"/>
      <c r="O504" s="98"/>
      <c r="P504" s="96"/>
    </row>
    <row r="505" spans="1:16" ht="16.5" customHeight="1" x14ac:dyDescent="0.25">
      <c r="A505" s="95"/>
      <c r="B505" s="116"/>
      <c r="C505" s="122"/>
      <c r="D505" s="122"/>
      <c r="E505" s="122"/>
      <c r="F505" s="122"/>
      <c r="G505" s="122"/>
      <c r="H505" s="122"/>
      <c r="I505" s="122"/>
      <c r="J505" s="118"/>
      <c r="K505" s="118"/>
      <c r="L505" s="98"/>
      <c r="M505" s="98"/>
      <c r="N505" s="98"/>
      <c r="O505" s="98"/>
      <c r="P505" s="96"/>
    </row>
    <row r="506" spans="1:16" ht="16.5" customHeight="1" x14ac:dyDescent="0.25">
      <c r="A506" s="95"/>
      <c r="B506" s="145"/>
      <c r="C506" s="122"/>
      <c r="D506" s="122"/>
      <c r="E506" s="122"/>
      <c r="F506" s="122"/>
      <c r="G506" s="122"/>
      <c r="H506" s="122"/>
      <c r="I506" s="122"/>
      <c r="J506" s="118"/>
      <c r="K506" s="118"/>
      <c r="L506" s="98"/>
      <c r="M506" s="98"/>
      <c r="N506" s="98"/>
      <c r="O506" s="98"/>
      <c r="P506" s="96"/>
    </row>
    <row r="507" spans="1:16" ht="16.5" customHeight="1" x14ac:dyDescent="0.25">
      <c r="A507" s="95"/>
      <c r="B507" s="123"/>
      <c r="C507" s="139"/>
      <c r="D507" s="122"/>
      <c r="E507" s="122"/>
      <c r="F507" s="122"/>
      <c r="G507" s="122"/>
      <c r="H507" s="122"/>
      <c r="I507" s="122"/>
      <c r="J507" s="118"/>
      <c r="K507" s="118"/>
      <c r="L507" s="98"/>
      <c r="M507" s="98"/>
      <c r="N507" s="98"/>
      <c r="O507" s="98"/>
      <c r="P507" s="96"/>
    </row>
    <row r="508" spans="1:16" ht="16.5" customHeight="1" x14ac:dyDescent="0.25">
      <c r="A508" s="95"/>
      <c r="B508" s="123"/>
      <c r="C508" s="139"/>
      <c r="D508" s="122"/>
      <c r="E508" s="122"/>
      <c r="F508" s="122"/>
      <c r="G508" s="122"/>
      <c r="H508" s="122"/>
      <c r="I508" s="122"/>
      <c r="J508" s="118"/>
      <c r="K508" s="118"/>
      <c r="L508" s="98"/>
      <c r="M508" s="98"/>
      <c r="N508" s="98"/>
      <c r="O508" s="98"/>
      <c r="P508" s="96"/>
    </row>
    <row r="509" spans="1:16" ht="16.5" customHeight="1" x14ac:dyDescent="0.25">
      <c r="A509" s="95"/>
      <c r="B509" s="123"/>
      <c r="C509" s="139"/>
      <c r="D509" s="122"/>
      <c r="E509" s="122"/>
      <c r="F509" s="122"/>
      <c r="G509" s="122"/>
      <c r="H509" s="122"/>
      <c r="I509" s="122"/>
      <c r="J509" s="118"/>
      <c r="K509" s="118"/>
      <c r="L509" s="98"/>
      <c r="M509" s="98"/>
      <c r="N509" s="98"/>
      <c r="O509" s="98"/>
      <c r="P509" s="96"/>
    </row>
    <row r="510" spans="1:16" ht="16.5" customHeight="1" x14ac:dyDescent="0.25">
      <c r="A510" s="95"/>
      <c r="B510" s="123"/>
      <c r="C510" s="139"/>
      <c r="D510" s="122"/>
      <c r="E510" s="122"/>
      <c r="F510" s="122"/>
      <c r="G510" s="122"/>
      <c r="H510" s="122"/>
      <c r="I510" s="122"/>
      <c r="J510" s="118"/>
      <c r="K510" s="118"/>
      <c r="L510" s="98"/>
      <c r="M510" s="98"/>
      <c r="N510" s="98"/>
      <c r="O510" s="98"/>
      <c r="P510" s="96"/>
    </row>
    <row r="511" spans="1:16" ht="16.5" customHeight="1" x14ac:dyDescent="0.25">
      <c r="A511" s="95"/>
      <c r="B511" s="123"/>
      <c r="C511" s="139"/>
      <c r="D511" s="122"/>
      <c r="E511" s="122"/>
      <c r="F511" s="122"/>
      <c r="G511" s="122"/>
      <c r="H511" s="122"/>
      <c r="I511" s="122"/>
      <c r="J511" s="118"/>
      <c r="K511" s="118"/>
      <c r="L511" s="98"/>
      <c r="M511" s="98"/>
      <c r="N511" s="98"/>
      <c r="O511" s="98"/>
      <c r="P511" s="96"/>
    </row>
    <row r="512" spans="1:16" ht="15.75" customHeight="1" x14ac:dyDescent="0.25">
      <c r="A512" s="95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8"/>
      <c r="M512" s="98"/>
      <c r="N512" s="98"/>
      <c r="O512" s="98"/>
      <c r="P512" s="96"/>
    </row>
    <row r="513" spans="1:16" ht="15" customHeight="1" x14ac:dyDescent="0.25">
      <c r="A513" s="95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6"/>
    </row>
    <row r="514" spans="1:16" ht="15.75" customHeight="1" x14ac:dyDescent="0.25">
      <c r="A514" s="103" t="s">
        <v>192</v>
      </c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6"/>
    </row>
    <row r="515" spans="1:16" ht="16.5" customHeight="1" x14ac:dyDescent="0.25">
      <c r="A515" s="124" t="s">
        <v>193</v>
      </c>
      <c r="B515" s="118" t="e">
        <f>SUMPRODUCT(H478:H489,I478:I489)+SUMPRODUCT(G494:G498,H494:H498)+SUMPRODUCT(J502:J511,K502:K511)</f>
        <v>#N/A</v>
      </c>
      <c r="C515" s="118" t="s">
        <v>107</v>
      </c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6"/>
    </row>
    <row r="516" spans="1:16" ht="16.5" customHeight="1" x14ac:dyDescent="0.25">
      <c r="A516" s="124" t="s">
        <v>167</v>
      </c>
      <c r="B516" s="118" t="e">
        <f>B515*(G502-$B$4)</f>
        <v>#N/A</v>
      </c>
      <c r="C516" s="118" t="s">
        <v>169</v>
      </c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6"/>
    </row>
    <row r="517" spans="1:16" ht="15.75" customHeight="1" x14ac:dyDescent="0.25">
      <c r="A517" s="109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1"/>
    </row>
    <row r="518" spans="1:16" ht="15.75" customHeight="1" x14ac:dyDescent="0.25">
      <c r="A518" s="343" t="s">
        <v>194</v>
      </c>
      <c r="B518" s="343"/>
      <c r="C518" s="343"/>
      <c r="D518" s="125" t="s">
        <v>222</v>
      </c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94"/>
    </row>
    <row r="519" spans="1:16" ht="15" customHeight="1" x14ac:dyDescent="0.25">
      <c r="A519" s="95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6"/>
    </row>
    <row r="520" spans="1:16" ht="15" customHeight="1" x14ac:dyDescent="0.25">
      <c r="A520" s="126" t="s">
        <v>195</v>
      </c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6"/>
    </row>
    <row r="521" spans="1:16" ht="15" customHeight="1" x14ac:dyDescent="0.25">
      <c r="A521" s="127" t="s">
        <v>196</v>
      </c>
      <c r="B521" s="121">
        <v>8</v>
      </c>
      <c r="C521" s="120" t="s">
        <v>197</v>
      </c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6"/>
    </row>
    <row r="522" spans="1:16" ht="15" customHeight="1" x14ac:dyDescent="0.25">
      <c r="A522" s="127" t="s">
        <v>198</v>
      </c>
      <c r="B522" s="121">
        <v>0.03</v>
      </c>
      <c r="C522" s="120" t="s">
        <v>199</v>
      </c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6"/>
    </row>
    <row r="523" spans="1:16" ht="15.75" customHeight="1" x14ac:dyDescent="0.25">
      <c r="A523" s="127" t="s">
        <v>200</v>
      </c>
      <c r="B523" s="121">
        <v>1</v>
      </c>
      <c r="C523" s="120" t="s">
        <v>201</v>
      </c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6"/>
    </row>
    <row r="524" spans="1:16" ht="16.5" customHeight="1" x14ac:dyDescent="0.25">
      <c r="A524" s="124" t="s">
        <v>202</v>
      </c>
      <c r="B524" s="118" t="e">
        <f>2*VLOOKUP(B472,'Gebouwgegevens Allacker'!$A$35:$F$46,6,0)*B521*B522*B523</f>
        <v>#N/A</v>
      </c>
      <c r="C524" s="118" t="s">
        <v>203</v>
      </c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6"/>
    </row>
    <row r="525" spans="1:16" ht="15.75" customHeight="1" x14ac:dyDescent="0.25">
      <c r="A525" s="138"/>
      <c r="B525" s="58"/>
      <c r="C525" s="5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6"/>
    </row>
    <row r="526" spans="1:16" ht="15" customHeight="1" x14ac:dyDescent="0.25">
      <c r="A526" s="146" t="s">
        <v>204</v>
      </c>
      <c r="B526" s="58"/>
      <c r="C526" s="5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6"/>
    </row>
    <row r="527" spans="1:16" ht="15.75" customHeight="1" x14ac:dyDescent="0.25">
      <c r="A527" s="138" t="s">
        <v>180</v>
      </c>
      <c r="B527" s="58" t="e">
        <f>VLOOKUP(B472,'Gebouwgegevens Allacker'!$A$35:$F$46,6,0)</f>
        <v>#N/A</v>
      </c>
      <c r="C527" s="5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6"/>
    </row>
    <row r="528" spans="1:16" ht="16.5" customHeight="1" x14ac:dyDescent="0.25">
      <c r="A528" s="124" t="s">
        <v>205</v>
      </c>
      <c r="B528" s="128" t="e">
        <f>B527*3.6</f>
        <v>#N/A</v>
      </c>
      <c r="C528" s="118" t="s">
        <v>203</v>
      </c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6"/>
    </row>
    <row r="529" spans="1:16" ht="15.75" customHeight="1" x14ac:dyDescent="0.25">
      <c r="A529" s="138"/>
      <c r="B529" s="58"/>
      <c r="C529" s="5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6"/>
    </row>
    <row r="530" spans="1:16" ht="15.75" customHeight="1" x14ac:dyDescent="0.25">
      <c r="A530" s="138"/>
      <c r="B530" s="58"/>
      <c r="C530" s="5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6"/>
    </row>
    <row r="531" spans="1:16" ht="16.5" customHeight="1" x14ac:dyDescent="0.25">
      <c r="A531" s="124" t="s">
        <v>207</v>
      </c>
      <c r="B531" s="118" t="e">
        <f>MAX(B524,B528)</f>
        <v>#N/A</v>
      </c>
      <c r="C531" s="118" t="s">
        <v>203</v>
      </c>
      <c r="D531" s="98"/>
      <c r="E531" s="98"/>
      <c r="F531" s="118" t="s">
        <v>208</v>
      </c>
      <c r="G531" s="118" t="e">
        <f>B531/VLOOKUP(B472,'Gebouwgegevens Allacker'!$A$35:$B$46,2,0)</f>
        <v>#N/A</v>
      </c>
      <c r="H531" s="98"/>
      <c r="I531" s="98"/>
      <c r="J531" s="98"/>
      <c r="K531" s="98"/>
      <c r="L531" s="98"/>
      <c r="M531" s="98"/>
      <c r="N531" s="98"/>
      <c r="O531" s="98"/>
      <c r="P531" s="96"/>
    </row>
    <row r="532" spans="1:16" ht="16.5" customHeight="1" x14ac:dyDescent="0.25">
      <c r="A532" s="138"/>
      <c r="B532" s="58"/>
      <c r="C532" s="5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6"/>
    </row>
    <row r="533" spans="1:16" ht="16.5" customHeight="1" x14ac:dyDescent="0.25">
      <c r="A533" s="124" t="s">
        <v>209</v>
      </c>
      <c r="B533" s="118" t="e">
        <f>0.34*B531</f>
        <v>#N/A</v>
      </c>
      <c r="C533" s="118" t="s">
        <v>107</v>
      </c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6"/>
    </row>
    <row r="534" spans="1:16" ht="16.5" customHeight="1" x14ac:dyDescent="0.25">
      <c r="A534" s="124" t="s">
        <v>167</v>
      </c>
      <c r="B534" s="118" t="e">
        <f>B533*('Gebouwgegevens Allacker'!E494-$B$4)</f>
        <v>#N/A</v>
      </c>
      <c r="C534" s="118" t="s">
        <v>169</v>
      </c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6"/>
    </row>
    <row r="535" spans="1:16" ht="15.75" customHeight="1" x14ac:dyDescent="0.25">
      <c r="A535" s="140"/>
      <c r="B535" s="141"/>
      <c r="C535" s="141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1"/>
    </row>
    <row r="536" spans="1:16" ht="15.75" customHeight="1" x14ac:dyDescent="0.25">
      <c r="A536" s="343" t="s">
        <v>210</v>
      </c>
      <c r="B536" s="343"/>
      <c r="C536" s="343"/>
      <c r="D536" s="343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6"/>
    </row>
    <row r="537" spans="1:16" ht="15" customHeight="1" x14ac:dyDescent="0.25">
      <c r="A537" s="95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6"/>
    </row>
    <row r="538" spans="1:16" ht="15" customHeight="1" x14ac:dyDescent="0.25">
      <c r="A538" s="127" t="s">
        <v>211</v>
      </c>
      <c r="B538" s="121">
        <v>22</v>
      </c>
      <c r="C538" s="58" t="s">
        <v>232</v>
      </c>
      <c r="D538" s="5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6"/>
    </row>
    <row r="539" spans="1:16" ht="15.75" customHeight="1" x14ac:dyDescent="0.25">
      <c r="A539" s="91" t="s">
        <v>113</v>
      </c>
      <c r="B539" s="98" t="e">
        <f>VLOOKUP(B472,'Gebouwgegevens Allacker'!$A$35:$F$46,6,0)</f>
        <v>#N/A</v>
      </c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6"/>
    </row>
    <row r="540" spans="1:16" ht="16.5" customHeight="1" x14ac:dyDescent="0.25">
      <c r="A540" s="124" t="s">
        <v>213</v>
      </c>
      <c r="B540" s="118" t="e">
        <f>B541/('Gebouwgegevens Allacker'!E494-'Verwarming Tabula 2zone'!$B$4)</f>
        <v>#N/A</v>
      </c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6"/>
    </row>
    <row r="541" spans="1:16" ht="16.5" customHeight="1" x14ac:dyDescent="0.25">
      <c r="A541" s="124" t="s">
        <v>167</v>
      </c>
      <c r="B541" s="118" t="e">
        <f>B538*B539</f>
        <v>#N/A</v>
      </c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6"/>
    </row>
    <row r="542" spans="1:16" ht="15.75" customHeight="1" x14ac:dyDescent="0.25">
      <c r="A542" s="95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6"/>
    </row>
    <row r="543" spans="1:16" ht="15.75" customHeight="1" x14ac:dyDescent="0.25">
      <c r="A543" s="95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6"/>
    </row>
    <row r="544" spans="1:16" ht="15.75" customHeight="1" x14ac:dyDescent="0.25">
      <c r="A544" s="129" t="s">
        <v>214</v>
      </c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1"/>
    </row>
    <row r="545" spans="1:16" ht="16.5" customHeight="1" x14ac:dyDescent="0.25">
      <c r="A545" s="124" t="s">
        <v>215</v>
      </c>
      <c r="B545" s="118" t="e">
        <f>SUM(B515,B533,B540)</f>
        <v>#N/A</v>
      </c>
      <c r="C545" s="118" t="s">
        <v>107</v>
      </c>
      <c r="D545" s="132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  <c r="O545" s="132"/>
      <c r="P545" s="133"/>
    </row>
    <row r="546" spans="1:16" ht="16.5" customHeight="1" x14ac:dyDescent="0.25">
      <c r="A546" s="124" t="s">
        <v>167</v>
      </c>
      <c r="B546" s="118" t="e">
        <f>SUM(B516,B534,B541)</f>
        <v>#N/A</v>
      </c>
      <c r="C546" s="118" t="s">
        <v>169</v>
      </c>
      <c r="D546" s="132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  <c r="O546" s="132"/>
      <c r="P546" s="133"/>
    </row>
    <row r="547" spans="1:16" ht="16.5" customHeight="1" x14ac:dyDescent="0.25">
      <c r="A547" s="134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6"/>
    </row>
    <row r="548" spans="1:16" ht="15" customHeight="1" x14ac:dyDescent="0.25">
      <c r="A548" s="137"/>
      <c r="B548" s="137"/>
      <c r="C548" s="137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</row>
    <row r="549" spans="1:16" ht="15.75" customHeight="1" x14ac:dyDescent="0.25">
      <c r="A549" s="137"/>
      <c r="B549" s="137"/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</row>
    <row r="550" spans="1:16" ht="15" customHeight="1" x14ac:dyDescent="0.25">
      <c r="A550" s="93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94"/>
    </row>
    <row r="551" spans="1:16" ht="17.25" customHeight="1" x14ac:dyDescent="0.3">
      <c r="A551" s="97" t="s">
        <v>166</v>
      </c>
      <c r="B551" s="92">
        <v>8</v>
      </c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6"/>
    </row>
    <row r="552" spans="1:16" ht="15.75" customHeight="1" x14ac:dyDescent="0.25">
      <c r="A552" s="343" t="s">
        <v>168</v>
      </c>
      <c r="B552" s="343"/>
      <c r="C552" s="343"/>
      <c r="D552" s="343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94"/>
    </row>
    <row r="553" spans="1:16" ht="15" customHeight="1" x14ac:dyDescent="0.25">
      <c r="A553" s="95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6"/>
    </row>
    <row r="554" spans="1:16" ht="15" customHeight="1" x14ac:dyDescent="0.25">
      <c r="A554" s="103" t="s">
        <v>170</v>
      </c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6"/>
    </row>
    <row r="555" spans="1:16" ht="15" customHeight="1" x14ac:dyDescent="0.25">
      <c r="A555" s="95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6"/>
    </row>
    <row r="556" spans="1:16" ht="15.75" customHeight="1" x14ac:dyDescent="0.25">
      <c r="A556" s="95"/>
      <c r="B556" s="104" t="s">
        <v>10</v>
      </c>
      <c r="C556" s="104" t="s">
        <v>171</v>
      </c>
      <c r="D556" s="104" t="s">
        <v>172</v>
      </c>
      <c r="E556" s="104" t="s">
        <v>173</v>
      </c>
      <c r="F556" s="104" t="s">
        <v>174</v>
      </c>
      <c r="G556" s="104" t="s">
        <v>16</v>
      </c>
      <c r="H556" s="105" t="s">
        <v>17</v>
      </c>
      <c r="I556" s="105" t="s">
        <v>175</v>
      </c>
      <c r="J556" s="98"/>
      <c r="K556" s="98"/>
      <c r="L556" s="98"/>
      <c r="M556" s="98"/>
      <c r="N556" s="98"/>
      <c r="O556" s="98"/>
      <c r="P556" s="96"/>
    </row>
    <row r="557" spans="1:16" ht="16.5" customHeight="1" x14ac:dyDescent="0.25">
      <c r="A557" s="95"/>
      <c r="B557" s="106" t="s">
        <v>246</v>
      </c>
      <c r="C557" s="107" t="e">
        <f>VLOOKUP(B557,'Gebouwgegevens Allacker'!$J$5:$Q$83,3,0)</f>
        <v>#N/A</v>
      </c>
      <c r="D557" s="107" t="e">
        <f>VLOOKUP(B557,'Gebouwgegevens Allacker'!$J$5:$Q$83,4,0)</f>
        <v>#N/A</v>
      </c>
      <c r="E557" s="107" t="e">
        <f>VLOOKUP(B557,'Gebouwgegevens Allacker'!$J$5:$Q$83,5,0)</f>
        <v>#N/A</v>
      </c>
      <c r="F557" s="107" t="e">
        <f>VLOOKUP(B557,'Gebouwgegevens Allacker'!$J$5:$Q$83,6,0)</f>
        <v>#N/A</v>
      </c>
      <c r="G557" s="107" t="e">
        <f>VLOOKUP(B557,'Gebouwgegevens Allacker'!$J$5:$Q$83,7,0)</f>
        <v>#N/A</v>
      </c>
      <c r="H557" s="108" t="e">
        <f>VLOOKUP(B557,'Gebouwgegevens Allacker'!$J$5:$Q$83,8,0)</f>
        <v>#N/A</v>
      </c>
      <c r="I557" s="108">
        <v>1</v>
      </c>
      <c r="J557" s="98"/>
      <c r="K557" s="98"/>
      <c r="L557" s="98"/>
      <c r="M557" s="98"/>
      <c r="N557" s="98"/>
      <c r="O557" s="98"/>
      <c r="P557" s="96"/>
    </row>
    <row r="558" spans="1:16" ht="16.5" customHeight="1" x14ac:dyDescent="0.25">
      <c r="A558" s="95"/>
      <c r="B558" s="106" t="s">
        <v>247</v>
      </c>
      <c r="C558" s="107" t="e">
        <f>VLOOKUP(B558,'Gebouwgegevens Allacker'!$J$5:$Q$83,3,0)</f>
        <v>#N/A</v>
      </c>
      <c r="D558" s="107" t="e">
        <f>VLOOKUP(B558,'Gebouwgegevens Allacker'!$J$5:$Q$83,4,0)</f>
        <v>#N/A</v>
      </c>
      <c r="E558" s="107" t="e">
        <f>VLOOKUP(B558,'Gebouwgegevens Allacker'!$J$5:$Q$83,5,0)</f>
        <v>#N/A</v>
      </c>
      <c r="F558" s="107" t="e">
        <f>VLOOKUP(B558,'Gebouwgegevens Allacker'!$J$5:$Q$83,6,0)</f>
        <v>#N/A</v>
      </c>
      <c r="G558" s="107" t="e">
        <f>VLOOKUP(B558,'Gebouwgegevens Allacker'!$J$5:$Q$83,7,0)</f>
        <v>#N/A</v>
      </c>
      <c r="H558" s="108" t="e">
        <f>VLOOKUP(B558,'Gebouwgegevens Allacker'!$J$5:$Q$83,8,0)</f>
        <v>#N/A</v>
      </c>
      <c r="I558" s="108">
        <v>1</v>
      </c>
      <c r="J558" s="98"/>
      <c r="K558" s="98"/>
      <c r="L558" s="98"/>
      <c r="M558" s="98"/>
      <c r="N558" s="98"/>
      <c r="O558" s="98"/>
      <c r="P558" s="96"/>
    </row>
    <row r="559" spans="1:16" ht="16.5" customHeight="1" x14ac:dyDescent="0.25">
      <c r="A559" s="95"/>
      <c r="B559" s="106" t="s">
        <v>248</v>
      </c>
      <c r="C559" s="107" t="e">
        <f>VLOOKUP(B559,'Gebouwgegevens Allacker'!$J$5:$Q$83,3,0)</f>
        <v>#N/A</v>
      </c>
      <c r="D559" s="107" t="e">
        <f>VLOOKUP(B559,'Gebouwgegevens Allacker'!$J$5:$Q$83,4,0)</f>
        <v>#N/A</v>
      </c>
      <c r="E559" s="107" t="e">
        <f>VLOOKUP(B559,'Gebouwgegevens Allacker'!$J$5:$Q$83,5,0)</f>
        <v>#N/A</v>
      </c>
      <c r="F559" s="107" t="e">
        <f>VLOOKUP(B559,'Gebouwgegevens Allacker'!$J$5:$Q$83,6,0)</f>
        <v>#N/A</v>
      </c>
      <c r="G559" s="107" t="e">
        <f>VLOOKUP(B559,'Gebouwgegevens Allacker'!$J$5:$Q$83,7,0)</f>
        <v>#N/A</v>
      </c>
      <c r="H559" s="108" t="e">
        <f>VLOOKUP(B559,'Gebouwgegevens Allacker'!$J$5:$Q$83,8,0)</f>
        <v>#N/A</v>
      </c>
      <c r="I559" s="108">
        <v>1</v>
      </c>
      <c r="J559" s="98"/>
      <c r="K559" s="98"/>
      <c r="L559" s="98"/>
      <c r="M559" s="98"/>
      <c r="N559" s="98"/>
      <c r="O559" s="98"/>
      <c r="P559" s="96"/>
    </row>
    <row r="560" spans="1:16" ht="16.5" customHeight="1" x14ac:dyDescent="0.25">
      <c r="A560" s="95"/>
      <c r="B560" s="106"/>
      <c r="C560" s="107"/>
      <c r="D560" s="107"/>
      <c r="E560" s="107"/>
      <c r="F560" s="107"/>
      <c r="G560" s="107"/>
      <c r="H560" s="108"/>
      <c r="I560" s="108"/>
      <c r="J560" s="98"/>
      <c r="K560" s="98"/>
      <c r="L560" s="98"/>
      <c r="M560" s="98"/>
      <c r="N560" s="98"/>
      <c r="O560" s="98"/>
      <c r="P560" s="96"/>
    </row>
    <row r="561" spans="1:16" ht="16.5" customHeight="1" x14ac:dyDescent="0.25">
      <c r="A561" s="95"/>
      <c r="B561" s="106"/>
      <c r="C561" s="107"/>
      <c r="D561" s="107"/>
      <c r="E561" s="107"/>
      <c r="F561" s="107"/>
      <c r="G561" s="107"/>
      <c r="H561" s="108"/>
      <c r="I561" s="108"/>
      <c r="J561" s="98"/>
      <c r="K561" s="98"/>
      <c r="L561" s="98"/>
      <c r="M561" s="98"/>
      <c r="N561" s="98"/>
      <c r="O561" s="98"/>
      <c r="P561" s="96"/>
    </row>
    <row r="562" spans="1:16" ht="16.5" customHeight="1" x14ac:dyDescent="0.25">
      <c r="A562" s="95"/>
      <c r="B562" s="106"/>
      <c r="C562" s="107"/>
      <c r="D562" s="107"/>
      <c r="E562" s="107"/>
      <c r="F562" s="107"/>
      <c r="G562" s="107"/>
      <c r="H562" s="108"/>
      <c r="I562" s="108"/>
      <c r="J562" s="98"/>
      <c r="K562" s="98"/>
      <c r="L562" s="98"/>
      <c r="M562" s="98"/>
      <c r="N562" s="98"/>
      <c r="O562" s="98"/>
      <c r="P562" s="96"/>
    </row>
    <row r="563" spans="1:16" ht="16.5" customHeight="1" x14ac:dyDescent="0.25">
      <c r="A563" s="95"/>
      <c r="B563" s="106"/>
      <c r="C563" s="107"/>
      <c r="D563" s="107"/>
      <c r="E563" s="107"/>
      <c r="F563" s="107"/>
      <c r="G563" s="107"/>
      <c r="H563" s="108"/>
      <c r="I563" s="108"/>
      <c r="J563" s="98"/>
      <c r="K563" s="98"/>
      <c r="L563" s="98"/>
      <c r="M563" s="98"/>
      <c r="N563" s="98"/>
      <c r="O563" s="98"/>
      <c r="P563" s="96"/>
    </row>
    <row r="564" spans="1:16" ht="16.5" customHeight="1" x14ac:dyDescent="0.25">
      <c r="A564" s="95"/>
      <c r="B564" s="106"/>
      <c r="C564" s="107"/>
      <c r="D564" s="107"/>
      <c r="E564" s="107"/>
      <c r="F564" s="107"/>
      <c r="G564" s="107"/>
      <c r="H564" s="108"/>
      <c r="I564" s="108"/>
      <c r="J564" s="98"/>
      <c r="K564" s="98"/>
      <c r="L564" s="98"/>
      <c r="M564" s="98"/>
      <c r="N564" s="98"/>
      <c r="O564" s="98"/>
      <c r="P564" s="96"/>
    </row>
    <row r="565" spans="1:16" ht="16.5" customHeight="1" x14ac:dyDescent="0.25">
      <c r="A565" s="95"/>
      <c r="B565" s="106"/>
      <c r="C565" s="107"/>
      <c r="D565" s="107"/>
      <c r="E565" s="107"/>
      <c r="F565" s="107"/>
      <c r="G565" s="107"/>
      <c r="H565" s="108"/>
      <c r="I565" s="108"/>
      <c r="J565" s="98"/>
      <c r="K565" s="98"/>
      <c r="L565" s="98"/>
      <c r="M565" s="98"/>
      <c r="N565" s="98"/>
      <c r="O565" s="98"/>
      <c r="P565" s="96"/>
    </row>
    <row r="566" spans="1:16" ht="16.5" customHeight="1" x14ac:dyDescent="0.25">
      <c r="A566" s="95"/>
      <c r="B566" s="106"/>
      <c r="C566" s="107"/>
      <c r="D566" s="107"/>
      <c r="E566" s="107"/>
      <c r="F566" s="107"/>
      <c r="G566" s="107"/>
      <c r="H566" s="108"/>
      <c r="I566" s="108"/>
      <c r="J566" s="98"/>
      <c r="K566" s="98"/>
      <c r="L566" s="98"/>
      <c r="M566" s="98"/>
      <c r="N566" s="98"/>
      <c r="O566" s="98"/>
      <c r="P566" s="96"/>
    </row>
    <row r="567" spans="1:16" ht="16.5" customHeight="1" x14ac:dyDescent="0.25">
      <c r="A567" s="95"/>
      <c r="B567" s="106"/>
      <c r="C567" s="107"/>
      <c r="D567" s="107"/>
      <c r="E567" s="107"/>
      <c r="F567" s="107"/>
      <c r="G567" s="107"/>
      <c r="H567" s="108"/>
      <c r="I567" s="108"/>
      <c r="J567" s="98"/>
      <c r="K567" s="98"/>
      <c r="L567" s="98"/>
      <c r="M567" s="98"/>
      <c r="N567" s="98"/>
      <c r="O567" s="98"/>
      <c r="P567" s="96"/>
    </row>
    <row r="568" spans="1:16" ht="16.5" customHeight="1" x14ac:dyDescent="0.25">
      <c r="A568" s="95"/>
      <c r="B568" s="106"/>
      <c r="C568" s="107"/>
      <c r="D568" s="107"/>
      <c r="E568" s="107"/>
      <c r="F568" s="107"/>
      <c r="G568" s="107"/>
      <c r="H568" s="108"/>
      <c r="I568" s="108"/>
      <c r="J568" s="98"/>
      <c r="K568" s="98"/>
      <c r="L568" s="98"/>
      <c r="M568" s="98"/>
      <c r="N568" s="98"/>
      <c r="O568" s="98"/>
      <c r="P568" s="96"/>
    </row>
    <row r="569" spans="1:16" ht="15.75" customHeight="1" x14ac:dyDescent="0.25">
      <c r="A569" s="95"/>
      <c r="B569" s="58"/>
      <c r="C569" s="58"/>
      <c r="D569" s="58"/>
      <c r="E569" s="58"/>
      <c r="F569" s="58"/>
      <c r="G569" s="114"/>
      <c r="H569" s="58"/>
      <c r="I569" s="58"/>
      <c r="J569" s="98"/>
      <c r="K569" s="98"/>
      <c r="L569" s="98"/>
      <c r="M569" s="98"/>
      <c r="N569" s="98"/>
      <c r="O569" s="98"/>
      <c r="P569" s="96"/>
    </row>
    <row r="570" spans="1:16" ht="15" customHeight="1" x14ac:dyDescent="0.25">
      <c r="A570" s="95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6"/>
    </row>
    <row r="571" spans="1:16" ht="15" customHeight="1" x14ac:dyDescent="0.25">
      <c r="A571" s="103" t="s">
        <v>177</v>
      </c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6"/>
    </row>
    <row r="572" spans="1:16" ht="15.75" customHeight="1" x14ac:dyDescent="0.25">
      <c r="A572" s="95"/>
      <c r="B572" s="58" t="s">
        <v>10</v>
      </c>
      <c r="C572" s="58" t="s">
        <v>178</v>
      </c>
      <c r="D572" s="58" t="s">
        <v>172</v>
      </c>
      <c r="E572" s="58" t="s">
        <v>179</v>
      </c>
      <c r="F572" s="58" t="s">
        <v>16</v>
      </c>
      <c r="G572" s="114" t="s">
        <v>17</v>
      </c>
      <c r="H572" s="114" t="s">
        <v>175</v>
      </c>
      <c r="I572" s="58" t="s">
        <v>180</v>
      </c>
      <c r="J572" s="58" t="s">
        <v>181</v>
      </c>
      <c r="K572" s="58" t="s">
        <v>182</v>
      </c>
      <c r="L572" s="115" t="s">
        <v>183</v>
      </c>
      <c r="M572" s="115" t="s">
        <v>184</v>
      </c>
      <c r="N572" s="115" t="s">
        <v>185</v>
      </c>
      <c r="O572" s="98"/>
      <c r="P572" s="96"/>
    </row>
    <row r="573" spans="1:16" ht="16.5" customHeight="1" x14ac:dyDescent="0.25">
      <c r="A573" s="95"/>
      <c r="B573" s="116" t="s">
        <v>249</v>
      </c>
      <c r="C573" s="117" t="e">
        <f>VLOOKUP(B573,'Gebouwgegevens Allacker'!$J$5:$Q$83,3,0)</f>
        <v>#N/A</v>
      </c>
      <c r="D573" s="117" t="e">
        <f>VLOOKUP(B573,'Gebouwgegevens Allacker'!$J$5:$Q$83,4,0)</f>
        <v>#N/A</v>
      </c>
      <c r="E573" s="117" t="e">
        <f>VLOOKUP(B573,'Gebouwgegevens Allacker'!$J$5:$Q$83,5,0)</f>
        <v>#N/A</v>
      </c>
      <c r="F573" s="117" t="e">
        <f>VLOOKUP(B573,'Gebouwgegevens Allacker'!$J$5:$Q$83,7,0)</f>
        <v>#N/A</v>
      </c>
      <c r="G573" s="118" t="e">
        <f>VLOOKUP(B573,'Gebouwgegevens Allacker'!$J$5:$Q$83,8,0)</f>
        <v>#N/A</v>
      </c>
      <c r="H573" s="118" t="e">
        <f>N573/F573</f>
        <v>#N/A</v>
      </c>
      <c r="I573" s="117" t="e">
        <f>VLOOKUP(C573,'Gebouwgegevens Allacker'!$A$35:$F$46,6,0)</f>
        <v>#N/A</v>
      </c>
      <c r="J573" s="116">
        <v>6.11</v>
      </c>
      <c r="K573" s="116">
        <v>0.33</v>
      </c>
      <c r="L573" s="119" t="e">
        <f>I573/(0.5*J573)</f>
        <v>#N/A</v>
      </c>
      <c r="M573" s="119" t="e">
        <f>K573+2*(1/F573)</f>
        <v>#N/A</v>
      </c>
      <c r="N573" s="120" t="e">
        <f>IF(M573&lt;L573,2*2/(PI()*L573+M573)*LN(PI()*L573/M573+1),2/(0.457*L573+M573))</f>
        <v>#N/A</v>
      </c>
      <c r="O573" s="98"/>
      <c r="P573" s="96"/>
    </row>
    <row r="574" spans="1:16" ht="16.5" customHeight="1" x14ac:dyDescent="0.25">
      <c r="A574" s="95"/>
      <c r="B574" s="116"/>
      <c r="C574" s="117"/>
      <c r="D574" s="117"/>
      <c r="E574" s="117"/>
      <c r="F574" s="117"/>
      <c r="G574" s="118"/>
      <c r="H574" s="118"/>
      <c r="I574" s="117"/>
      <c r="J574" s="116"/>
      <c r="K574" s="116"/>
      <c r="L574" s="119"/>
      <c r="M574" s="119"/>
      <c r="N574" s="120"/>
      <c r="O574" s="98"/>
      <c r="P574" s="96"/>
    </row>
    <row r="575" spans="1:16" ht="16.5" customHeight="1" x14ac:dyDescent="0.25">
      <c r="A575" s="95"/>
      <c r="B575" s="116"/>
      <c r="C575" s="117"/>
      <c r="D575" s="117"/>
      <c r="E575" s="117"/>
      <c r="F575" s="117"/>
      <c r="G575" s="118"/>
      <c r="H575" s="118"/>
      <c r="I575" s="117"/>
      <c r="J575" s="116"/>
      <c r="K575" s="116"/>
      <c r="L575" s="119"/>
      <c r="M575" s="119"/>
      <c r="N575" s="120"/>
      <c r="O575" s="98"/>
      <c r="P575" s="96"/>
    </row>
    <row r="576" spans="1:16" ht="16.5" customHeight="1" x14ac:dyDescent="0.25">
      <c r="A576" s="95"/>
      <c r="B576" s="116"/>
      <c r="C576" s="117"/>
      <c r="D576" s="117"/>
      <c r="E576" s="117"/>
      <c r="F576" s="117"/>
      <c r="G576" s="118"/>
      <c r="H576" s="118"/>
      <c r="I576" s="117"/>
      <c r="J576" s="116"/>
      <c r="K576" s="116"/>
      <c r="L576" s="119"/>
      <c r="M576" s="119"/>
      <c r="N576" s="120"/>
      <c r="O576" s="98"/>
      <c r="P576" s="96"/>
    </row>
    <row r="577" spans="1:16" ht="16.5" customHeight="1" x14ac:dyDescent="0.25">
      <c r="A577" s="138"/>
      <c r="B577" s="116"/>
      <c r="C577" s="117"/>
      <c r="D577" s="117"/>
      <c r="E577" s="117"/>
      <c r="F577" s="117"/>
      <c r="G577" s="118"/>
      <c r="H577" s="118"/>
      <c r="I577" s="117"/>
      <c r="J577" s="116"/>
      <c r="K577" s="116"/>
      <c r="L577" s="119"/>
      <c r="M577" s="119"/>
      <c r="N577" s="120"/>
      <c r="O577" s="98"/>
      <c r="P577" s="96"/>
    </row>
    <row r="578" spans="1:16" ht="15.75" customHeight="1" x14ac:dyDescent="0.25">
      <c r="A578" s="95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6"/>
    </row>
    <row r="579" spans="1:16" ht="15" customHeight="1" x14ac:dyDescent="0.25">
      <c r="A579" s="103" t="s">
        <v>186</v>
      </c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6"/>
    </row>
    <row r="580" spans="1:16" ht="15.75" customHeight="1" x14ac:dyDescent="0.25">
      <c r="A580" s="95"/>
      <c r="B580" s="58" t="s">
        <v>10</v>
      </c>
      <c r="C580" s="58" t="s">
        <v>187</v>
      </c>
      <c r="D580" s="58" t="s">
        <v>188</v>
      </c>
      <c r="E580" s="58" t="s">
        <v>135</v>
      </c>
      <c r="F580" s="58" t="s">
        <v>189</v>
      </c>
      <c r="G580" s="58" t="s">
        <v>190</v>
      </c>
      <c r="H580" s="58" t="s">
        <v>191</v>
      </c>
      <c r="I580" s="58" t="s">
        <v>16</v>
      </c>
      <c r="J580" s="114" t="s">
        <v>17</v>
      </c>
      <c r="K580" s="114" t="s">
        <v>175</v>
      </c>
      <c r="L580" s="98"/>
      <c r="M580" s="98"/>
      <c r="N580" s="98"/>
      <c r="O580" s="98"/>
      <c r="P580" s="96"/>
    </row>
    <row r="581" spans="1:16" ht="16.5" customHeight="1" x14ac:dyDescent="0.25">
      <c r="A581" s="95"/>
      <c r="B581" s="116" t="s">
        <v>250</v>
      </c>
      <c r="C581" s="122" t="e">
        <f>IF(VLOOKUP(B581,'Gebouwgegevens Allacker'!$J$5:$Q$83,2,0)=$B$551,VLOOKUP(B581,'Gebouwgegevens Allacker'!$J$5:$Q$83,2,0),VLOOKUP(B581,'Gebouwgegevens Allacker'!$J$5:$Q$83,3,0))</f>
        <v>#N/A</v>
      </c>
      <c r="D581" s="122" t="e">
        <f>IF(VLOOKUP(B581,'Gebouwgegevens Allacker'!$J$5:$Q$83,2,0)=$B$551,VLOOKUP(B581,'Gebouwgegevens Allacker'!$J$5:$Q$83,3,0),VLOOKUP(B581,'Gebouwgegevens Allacker'!$J$5:$Q$83,2,0))</f>
        <v>#N/A</v>
      </c>
      <c r="E581" s="122" t="e">
        <f>VLOOKUP(B581,'Gebouwgegevens Allacker'!$J$5:$Q$83,4,0)</f>
        <v>#N/A</v>
      </c>
      <c r="F581" s="122" t="e">
        <f>VLOOKUP(B581,'Gebouwgegevens Allacker'!$J$5:$Q$83,5,0)</f>
        <v>#N/A</v>
      </c>
      <c r="G581" s="122" t="e">
        <f>VLOOKUP('Verwarming Tabula 2zone'!C581,'Gebouwgegevens Allacker'!$A$35:$F$46,5,0)</f>
        <v>#N/A</v>
      </c>
      <c r="H581" s="122" t="e">
        <f>VLOOKUP('Verwarming Tabula 2zone'!D581,'Gebouwgegevens Allacker'!$A$35:$F$46,5,0)</f>
        <v>#N/A</v>
      </c>
      <c r="I581" s="122" t="e">
        <f>VLOOKUP(B581,'Gebouwgegevens Allacker'!$J$5:$Q$83,7,0)</f>
        <v>#N/A</v>
      </c>
      <c r="J581" s="118" t="e">
        <f>VLOOKUP(B581,'Gebouwgegevens Allacker'!$J$5:$Q$83,8,0)</f>
        <v>#N/A</v>
      </c>
      <c r="K581" s="118" t="e">
        <f>(G581-H581)/(G581-$B$4)</f>
        <v>#N/A</v>
      </c>
      <c r="L581" s="98"/>
      <c r="M581" s="98"/>
      <c r="N581" s="98"/>
      <c r="O581" s="98"/>
      <c r="P581" s="96"/>
    </row>
    <row r="582" spans="1:16" ht="16.5" customHeight="1" x14ac:dyDescent="0.25">
      <c r="A582" s="95"/>
      <c r="B582" s="116" t="s">
        <v>224</v>
      </c>
      <c r="C582" s="122" t="e">
        <f>IF(VLOOKUP(B582,'Gebouwgegevens Allacker'!$J$5:$Q$83,2,0)=$B$551,VLOOKUP(B582,'Gebouwgegevens Allacker'!$J$5:$Q$83,2,0),VLOOKUP(B582,'Gebouwgegevens Allacker'!$J$5:$Q$83,3,0))</f>
        <v>#N/A</v>
      </c>
      <c r="D582" s="122" t="e">
        <f>IF(VLOOKUP(B582,'Gebouwgegevens Allacker'!$J$5:$Q$83,2,0)=$B$551,VLOOKUP(B582,'Gebouwgegevens Allacker'!$J$5:$Q$83,3,0),VLOOKUP(B582,'Gebouwgegevens Allacker'!$J$5:$Q$83,2,0))</f>
        <v>#N/A</v>
      </c>
      <c r="E582" s="122" t="e">
        <f>VLOOKUP(B582,'Gebouwgegevens Allacker'!$J$5:$Q$83,4,0)</f>
        <v>#N/A</v>
      </c>
      <c r="F582" s="122" t="e">
        <f>VLOOKUP(B582,'Gebouwgegevens Allacker'!$J$5:$Q$83,5,0)</f>
        <v>#N/A</v>
      </c>
      <c r="G582" s="122" t="e">
        <f>VLOOKUP('Verwarming Tabula 2zone'!C582,'Gebouwgegevens Allacker'!$A$35:$F$46,5,0)</f>
        <v>#N/A</v>
      </c>
      <c r="H582" s="122" t="e">
        <f>VLOOKUP('Verwarming Tabula 2zone'!D582,'Gebouwgegevens Allacker'!$A$35:$F$46,5,0)</f>
        <v>#N/A</v>
      </c>
      <c r="I582" s="122" t="e">
        <f>VLOOKUP(B582,'Gebouwgegevens Allacker'!$J$5:$Q$83,7,0)</f>
        <v>#N/A</v>
      </c>
      <c r="J582" s="118" t="e">
        <f>VLOOKUP(B582,'Gebouwgegevens Allacker'!$J$5:$Q$83,8,0)</f>
        <v>#N/A</v>
      </c>
      <c r="K582" s="118" t="e">
        <f>(G582-H582)/(G582-$B$4)</f>
        <v>#N/A</v>
      </c>
      <c r="L582" s="98"/>
      <c r="M582" s="98"/>
      <c r="N582" s="98"/>
      <c r="O582" s="98"/>
      <c r="P582" s="96"/>
    </row>
    <row r="583" spans="1:16" ht="16.5" customHeight="1" x14ac:dyDescent="0.25">
      <c r="A583" s="95"/>
      <c r="B583" s="116" t="s">
        <v>230</v>
      </c>
      <c r="C583" s="122" t="e">
        <f>IF(VLOOKUP(B583,'Gebouwgegevens Allacker'!$J$5:$Q$83,2,0)=$B$551,VLOOKUP(B583,'Gebouwgegevens Allacker'!$J$5:$Q$83,2,0),VLOOKUP(B583,'Gebouwgegevens Allacker'!$J$5:$Q$83,3,0))</f>
        <v>#N/A</v>
      </c>
      <c r="D583" s="122" t="e">
        <f>IF(VLOOKUP(B583,'Gebouwgegevens Allacker'!$J$5:$Q$83,2,0)=$B$551,VLOOKUP(B583,'Gebouwgegevens Allacker'!$J$5:$Q$83,3,0),VLOOKUP(B583,'Gebouwgegevens Allacker'!$J$5:$Q$83,2,0))</f>
        <v>#N/A</v>
      </c>
      <c r="E583" s="122" t="e">
        <f>VLOOKUP(B583,'Gebouwgegevens Allacker'!$J$5:$Q$83,4,0)</f>
        <v>#N/A</v>
      </c>
      <c r="F583" s="122" t="e">
        <f>VLOOKUP(B583,'Gebouwgegevens Allacker'!$J$5:$Q$83,5,0)</f>
        <v>#N/A</v>
      </c>
      <c r="G583" s="122" t="e">
        <f>VLOOKUP('Verwarming Tabula 2zone'!C583,'Gebouwgegevens Allacker'!$A$35:$F$46,5,0)</f>
        <v>#N/A</v>
      </c>
      <c r="H583" s="122" t="e">
        <f>VLOOKUP('Verwarming Tabula 2zone'!D583,'Gebouwgegevens Allacker'!$A$35:$F$46,5,0)</f>
        <v>#N/A</v>
      </c>
      <c r="I583" s="122" t="e">
        <f>VLOOKUP(B583,'Gebouwgegevens Allacker'!$J$5:$Q$83,7,0)</f>
        <v>#N/A</v>
      </c>
      <c r="J583" s="118" t="e">
        <f>VLOOKUP(B583,'Gebouwgegevens Allacker'!$J$5:$Q$83,8,0)</f>
        <v>#N/A</v>
      </c>
      <c r="K583" s="118" t="e">
        <f>(G583-H583)/(G583-$B$4)</f>
        <v>#N/A</v>
      </c>
      <c r="L583" s="98"/>
      <c r="M583" s="98"/>
      <c r="N583" s="98"/>
      <c r="O583" s="98"/>
      <c r="P583" s="96"/>
    </row>
    <row r="584" spans="1:16" ht="16.5" customHeight="1" x14ac:dyDescent="0.25">
      <c r="A584" s="95"/>
      <c r="B584" s="116"/>
      <c r="C584" s="122"/>
      <c r="D584" s="122"/>
      <c r="E584" s="122"/>
      <c r="F584" s="122"/>
      <c r="G584" s="122"/>
      <c r="H584" s="122"/>
      <c r="I584" s="122"/>
      <c r="J584" s="118"/>
      <c r="K584" s="118"/>
      <c r="L584" s="98"/>
      <c r="M584" s="98"/>
      <c r="N584" s="98"/>
      <c r="O584" s="98"/>
      <c r="P584" s="96"/>
    </row>
    <row r="585" spans="1:16" ht="16.5" customHeight="1" x14ac:dyDescent="0.25">
      <c r="A585" s="95"/>
      <c r="B585" s="145"/>
      <c r="C585" s="122"/>
      <c r="D585" s="122"/>
      <c r="E585" s="122"/>
      <c r="F585" s="122"/>
      <c r="G585" s="122"/>
      <c r="H585" s="122"/>
      <c r="I585" s="122"/>
      <c r="J585" s="118"/>
      <c r="K585" s="118"/>
      <c r="L585" s="98"/>
      <c r="M585" s="98"/>
      <c r="N585" s="98"/>
      <c r="O585" s="98"/>
      <c r="P585" s="96"/>
    </row>
    <row r="586" spans="1:16" ht="16.5" customHeight="1" x14ac:dyDescent="0.25">
      <c r="A586" s="95"/>
      <c r="B586" s="123"/>
      <c r="C586" s="139"/>
      <c r="D586" s="122"/>
      <c r="E586" s="122"/>
      <c r="F586" s="122"/>
      <c r="G586" s="122"/>
      <c r="H586" s="122"/>
      <c r="I586" s="122"/>
      <c r="J586" s="118"/>
      <c r="K586" s="118"/>
      <c r="L586" s="98"/>
      <c r="M586" s="98"/>
      <c r="N586" s="98"/>
      <c r="O586" s="98"/>
      <c r="P586" s="96"/>
    </row>
    <row r="587" spans="1:16" ht="16.5" customHeight="1" x14ac:dyDescent="0.25">
      <c r="A587" s="95"/>
      <c r="B587" s="123"/>
      <c r="C587" s="139"/>
      <c r="D587" s="122"/>
      <c r="E587" s="122"/>
      <c r="F587" s="122"/>
      <c r="G587" s="122"/>
      <c r="H587" s="122"/>
      <c r="I587" s="122"/>
      <c r="J587" s="118"/>
      <c r="K587" s="118"/>
      <c r="L587" s="98"/>
      <c r="M587" s="98"/>
      <c r="N587" s="98"/>
      <c r="O587" s="98"/>
      <c r="P587" s="96"/>
    </row>
    <row r="588" spans="1:16" ht="16.5" customHeight="1" x14ac:dyDescent="0.25">
      <c r="A588" s="95"/>
      <c r="B588" s="123"/>
      <c r="C588" s="139"/>
      <c r="D588" s="122"/>
      <c r="E588" s="122"/>
      <c r="F588" s="122"/>
      <c r="G588" s="122"/>
      <c r="H588" s="122"/>
      <c r="I588" s="122"/>
      <c r="J588" s="118"/>
      <c r="K588" s="118"/>
      <c r="L588" s="98"/>
      <c r="M588" s="98"/>
      <c r="N588" s="98"/>
      <c r="O588" s="98"/>
      <c r="P588" s="96"/>
    </row>
    <row r="589" spans="1:16" ht="16.5" customHeight="1" x14ac:dyDescent="0.25">
      <c r="A589" s="95"/>
      <c r="B589" s="123"/>
      <c r="C589" s="139"/>
      <c r="D589" s="122"/>
      <c r="E589" s="122"/>
      <c r="F589" s="122"/>
      <c r="G589" s="122"/>
      <c r="H589" s="122"/>
      <c r="I589" s="122"/>
      <c r="J589" s="118"/>
      <c r="K589" s="118"/>
      <c r="L589" s="98"/>
      <c r="M589" s="98"/>
      <c r="N589" s="98"/>
      <c r="O589" s="98"/>
      <c r="P589" s="96"/>
    </row>
    <row r="590" spans="1:16" ht="16.5" customHeight="1" x14ac:dyDescent="0.25">
      <c r="A590" s="95"/>
      <c r="B590" s="123"/>
      <c r="C590" s="139"/>
      <c r="D590" s="122"/>
      <c r="E590" s="122"/>
      <c r="F590" s="122"/>
      <c r="G590" s="122"/>
      <c r="H590" s="122"/>
      <c r="I590" s="122"/>
      <c r="J590" s="118"/>
      <c r="K590" s="118"/>
      <c r="L590" s="98"/>
      <c r="M590" s="98"/>
      <c r="N590" s="98"/>
      <c r="O590" s="98"/>
      <c r="P590" s="96"/>
    </row>
    <row r="591" spans="1:16" ht="15.75" customHeight="1" x14ac:dyDescent="0.25">
      <c r="A591" s="95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8"/>
      <c r="M591" s="98"/>
      <c r="N591" s="98"/>
      <c r="O591" s="98"/>
      <c r="P591" s="96"/>
    </row>
    <row r="592" spans="1:16" ht="15" customHeight="1" x14ac:dyDescent="0.25">
      <c r="A592" s="95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6"/>
    </row>
    <row r="593" spans="1:16" ht="15.75" customHeight="1" x14ac:dyDescent="0.25">
      <c r="A593" s="103" t="s">
        <v>192</v>
      </c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6"/>
    </row>
    <row r="594" spans="1:16" ht="16.5" customHeight="1" x14ac:dyDescent="0.25">
      <c r="A594" s="124" t="s">
        <v>193</v>
      </c>
      <c r="B594" s="118" t="e">
        <f>SUMPRODUCT(H557:H568,I557:I568)+SUMPRODUCT(G573:G577,H573:H577)+SUMPRODUCT(J581:J590,K581:K590)</f>
        <v>#N/A</v>
      </c>
      <c r="C594" s="118" t="s">
        <v>107</v>
      </c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6"/>
    </row>
    <row r="595" spans="1:16" ht="16.5" customHeight="1" x14ac:dyDescent="0.25">
      <c r="A595" s="124" t="s">
        <v>167</v>
      </c>
      <c r="B595" s="118" t="e">
        <f>B594*(G581-$B$4)</f>
        <v>#N/A</v>
      </c>
      <c r="C595" s="118" t="s">
        <v>169</v>
      </c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6"/>
    </row>
    <row r="596" spans="1:16" ht="15.75" customHeight="1" x14ac:dyDescent="0.25">
      <c r="A596" s="109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1"/>
    </row>
    <row r="597" spans="1:16" ht="15.75" customHeight="1" x14ac:dyDescent="0.25">
      <c r="A597" s="343" t="s">
        <v>194</v>
      </c>
      <c r="B597" s="343"/>
      <c r="C597" s="343"/>
      <c r="D597" s="125" t="s">
        <v>222</v>
      </c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94"/>
    </row>
    <row r="598" spans="1:16" ht="15" customHeight="1" x14ac:dyDescent="0.25">
      <c r="A598" s="95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6"/>
    </row>
    <row r="599" spans="1:16" ht="15" customHeight="1" x14ac:dyDescent="0.25">
      <c r="A599" s="126" t="s">
        <v>195</v>
      </c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6"/>
    </row>
    <row r="600" spans="1:16" ht="15" customHeight="1" x14ac:dyDescent="0.25">
      <c r="A600" s="127" t="s">
        <v>196</v>
      </c>
      <c r="B600" s="121">
        <v>8</v>
      </c>
      <c r="C600" s="120" t="s">
        <v>197</v>
      </c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6"/>
    </row>
    <row r="601" spans="1:16" ht="15" customHeight="1" x14ac:dyDescent="0.25">
      <c r="A601" s="127" t="s">
        <v>198</v>
      </c>
      <c r="B601" s="121">
        <v>0.03</v>
      </c>
      <c r="C601" s="120" t="s">
        <v>199</v>
      </c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6"/>
    </row>
    <row r="602" spans="1:16" ht="15.75" customHeight="1" x14ac:dyDescent="0.25">
      <c r="A602" s="127" t="s">
        <v>200</v>
      </c>
      <c r="B602" s="121">
        <v>1</v>
      </c>
      <c r="C602" s="120" t="s">
        <v>201</v>
      </c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6"/>
    </row>
    <row r="603" spans="1:16" ht="16.5" customHeight="1" x14ac:dyDescent="0.25">
      <c r="A603" s="124" t="s">
        <v>202</v>
      </c>
      <c r="B603" s="118" t="e">
        <f>2*VLOOKUP(B551,'Gebouwgegevens Allacker'!$A$35:$F$46,6,0)*B600*B601*B602</f>
        <v>#N/A</v>
      </c>
      <c r="C603" s="118" t="s">
        <v>203</v>
      </c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6"/>
    </row>
    <row r="604" spans="1:16" ht="15.75" customHeight="1" x14ac:dyDescent="0.25">
      <c r="A604" s="138"/>
      <c r="B604" s="58"/>
      <c r="C604" s="5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6"/>
    </row>
    <row r="605" spans="1:16" ht="15" customHeight="1" x14ac:dyDescent="0.25">
      <c r="A605" s="146" t="s">
        <v>204</v>
      </c>
      <c r="B605" s="58"/>
      <c r="C605" s="5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6"/>
    </row>
    <row r="606" spans="1:16" ht="15.75" customHeight="1" x14ac:dyDescent="0.25">
      <c r="A606" s="138" t="s">
        <v>180</v>
      </c>
      <c r="B606" s="58" t="e">
        <f>VLOOKUP(B551,'Gebouwgegevens Allacker'!$A$35:$F$46,6,0)</f>
        <v>#N/A</v>
      </c>
      <c r="C606" s="5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6"/>
    </row>
    <row r="607" spans="1:16" ht="16.5" customHeight="1" x14ac:dyDescent="0.25">
      <c r="A607" s="124" t="s">
        <v>205</v>
      </c>
      <c r="B607" s="128" t="e">
        <f>B606*3.6</f>
        <v>#N/A</v>
      </c>
      <c r="C607" s="118" t="s">
        <v>203</v>
      </c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6"/>
    </row>
    <row r="608" spans="1:16" ht="15.75" customHeight="1" x14ac:dyDescent="0.25">
      <c r="A608" s="138"/>
      <c r="B608" s="58"/>
      <c r="C608" s="5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6"/>
    </row>
    <row r="609" spans="1:16" ht="15.75" customHeight="1" x14ac:dyDescent="0.25">
      <c r="A609" s="138"/>
      <c r="B609" s="58"/>
      <c r="C609" s="5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6"/>
    </row>
    <row r="610" spans="1:16" ht="16.5" customHeight="1" x14ac:dyDescent="0.25">
      <c r="A610" s="124" t="s">
        <v>207</v>
      </c>
      <c r="B610" s="118" t="e">
        <f>MAX(B603,B607)</f>
        <v>#N/A</v>
      </c>
      <c r="C610" s="118" t="s">
        <v>203</v>
      </c>
      <c r="D610" s="98"/>
      <c r="E610" s="98"/>
      <c r="F610" s="118" t="s">
        <v>208</v>
      </c>
      <c r="G610" s="118" t="e">
        <f>B610/VLOOKUP(B551,'Gebouwgegevens Allacker'!$A$35:$B$46,2,0)</f>
        <v>#N/A</v>
      </c>
      <c r="H610" s="98"/>
      <c r="I610" s="98"/>
      <c r="J610" s="98"/>
      <c r="K610" s="98"/>
      <c r="L610" s="98"/>
      <c r="M610" s="98"/>
      <c r="N610" s="98"/>
      <c r="O610" s="98"/>
      <c r="P610" s="96"/>
    </row>
    <row r="611" spans="1:16" ht="16.5" customHeight="1" x14ac:dyDescent="0.25">
      <c r="A611" s="138"/>
      <c r="B611" s="58"/>
      <c r="C611" s="5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6"/>
    </row>
    <row r="612" spans="1:16" ht="16.5" customHeight="1" x14ac:dyDescent="0.25">
      <c r="A612" s="124" t="s">
        <v>209</v>
      </c>
      <c r="B612" s="118" t="e">
        <f>0.34*B610</f>
        <v>#N/A</v>
      </c>
      <c r="C612" s="118" t="s">
        <v>107</v>
      </c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6"/>
    </row>
    <row r="613" spans="1:16" ht="16.5" customHeight="1" x14ac:dyDescent="0.25">
      <c r="A613" s="124" t="s">
        <v>167</v>
      </c>
      <c r="B613" s="118" t="e">
        <f>B612*('Gebouwgegevens Allacker'!E573-$B$4)</f>
        <v>#N/A</v>
      </c>
      <c r="C613" s="118" t="s">
        <v>169</v>
      </c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6"/>
    </row>
    <row r="614" spans="1:16" ht="15.75" customHeight="1" x14ac:dyDescent="0.25">
      <c r="A614" s="140"/>
      <c r="B614" s="141"/>
      <c r="C614" s="141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1"/>
    </row>
    <row r="615" spans="1:16" ht="15.75" customHeight="1" x14ac:dyDescent="0.25">
      <c r="A615" s="343" t="s">
        <v>210</v>
      </c>
      <c r="B615" s="343"/>
      <c r="C615" s="343"/>
      <c r="D615" s="343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6"/>
    </row>
    <row r="616" spans="1:16" ht="15" customHeight="1" x14ac:dyDescent="0.25">
      <c r="A616" s="95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6"/>
    </row>
    <row r="617" spans="1:16" ht="15" customHeight="1" x14ac:dyDescent="0.25">
      <c r="A617" s="127" t="s">
        <v>211</v>
      </c>
      <c r="B617" s="121">
        <v>45</v>
      </c>
      <c r="C617" s="58" t="s">
        <v>232</v>
      </c>
      <c r="D617" s="5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6"/>
    </row>
    <row r="618" spans="1:16" ht="15.75" customHeight="1" x14ac:dyDescent="0.25">
      <c r="A618" s="3" t="s">
        <v>113</v>
      </c>
      <c r="B618" s="58" t="e">
        <f>VLOOKUP(B551,'Gebouwgegevens Allacker'!$A$35:$F$46,6,0)</f>
        <v>#N/A</v>
      </c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6"/>
    </row>
    <row r="619" spans="1:16" ht="16.5" customHeight="1" x14ac:dyDescent="0.25">
      <c r="A619" s="124" t="s">
        <v>213</v>
      </c>
      <c r="B619" s="118" t="e">
        <f>B620/('Gebouwgegevens Allacker'!E573-'Verwarming Tabula 2zone'!$B$4)</f>
        <v>#N/A</v>
      </c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6"/>
    </row>
    <row r="620" spans="1:16" ht="16.5" customHeight="1" x14ac:dyDescent="0.25">
      <c r="A620" s="124" t="s">
        <v>167</v>
      </c>
      <c r="B620" s="118" t="e">
        <f>B617*B618</f>
        <v>#N/A</v>
      </c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6"/>
    </row>
    <row r="621" spans="1:16" ht="15.75" customHeight="1" x14ac:dyDescent="0.25">
      <c r="A621" s="95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6"/>
    </row>
    <row r="622" spans="1:16" ht="15.75" customHeight="1" x14ac:dyDescent="0.25">
      <c r="A622" s="95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6"/>
    </row>
    <row r="623" spans="1:16" ht="15.75" customHeight="1" x14ac:dyDescent="0.25">
      <c r="A623" s="129" t="s">
        <v>214</v>
      </c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1"/>
    </row>
    <row r="624" spans="1:16" ht="16.5" customHeight="1" x14ac:dyDescent="0.25">
      <c r="A624" s="124" t="s">
        <v>215</v>
      </c>
      <c r="B624" s="118" t="e">
        <f>SUM(B594,B612,B619)</f>
        <v>#N/A</v>
      </c>
      <c r="C624" s="118" t="s">
        <v>107</v>
      </c>
      <c r="D624" s="132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  <c r="O624" s="132"/>
      <c r="P624" s="133"/>
    </row>
    <row r="625" spans="1:16" ht="16.5" customHeight="1" x14ac:dyDescent="0.25">
      <c r="A625" s="124" t="s">
        <v>167</v>
      </c>
      <c r="B625" s="118" t="e">
        <f>SUM(B595,B613,B620)</f>
        <v>#N/A</v>
      </c>
      <c r="C625" s="118" t="s">
        <v>169</v>
      </c>
      <c r="D625" s="132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  <c r="O625" s="132"/>
      <c r="P625" s="133"/>
    </row>
    <row r="626" spans="1:16" ht="16.5" customHeight="1" x14ac:dyDescent="0.25">
      <c r="A626" s="134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6"/>
    </row>
    <row r="627" spans="1:16" ht="15" customHeight="1" x14ac:dyDescent="0.25">
      <c r="A627" s="137"/>
      <c r="B627" s="137"/>
      <c r="C627" s="137"/>
      <c r="D627" s="137"/>
      <c r="E627" s="137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</row>
    <row r="628" spans="1:16" ht="15.75" customHeight="1" x14ac:dyDescent="0.25">
      <c r="A628" s="137"/>
      <c r="B628" s="137"/>
      <c r="C628" s="137"/>
      <c r="D628" s="137"/>
      <c r="E628" s="137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</row>
    <row r="629" spans="1:16" ht="15" customHeight="1" x14ac:dyDescent="0.25">
      <c r="A629" s="93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94"/>
    </row>
    <row r="630" spans="1:16" ht="17.25" customHeight="1" x14ac:dyDescent="0.3">
      <c r="A630" s="97" t="s">
        <v>166</v>
      </c>
      <c r="B630" s="92">
        <v>9</v>
      </c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6"/>
    </row>
    <row r="631" spans="1:16" ht="15.75" customHeight="1" x14ac:dyDescent="0.25">
      <c r="A631" s="343" t="s">
        <v>168</v>
      </c>
      <c r="B631" s="343"/>
      <c r="C631" s="343"/>
      <c r="D631" s="343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94"/>
    </row>
    <row r="632" spans="1:16" ht="15" customHeight="1" x14ac:dyDescent="0.25">
      <c r="A632" s="95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6"/>
    </row>
    <row r="633" spans="1:16" ht="15" customHeight="1" x14ac:dyDescent="0.25">
      <c r="A633" s="103" t="s">
        <v>170</v>
      </c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6"/>
    </row>
    <row r="634" spans="1:16" ht="15" customHeight="1" x14ac:dyDescent="0.25">
      <c r="A634" s="95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6"/>
    </row>
    <row r="635" spans="1:16" ht="15.75" customHeight="1" x14ac:dyDescent="0.25">
      <c r="A635" s="95"/>
      <c r="B635" s="104" t="s">
        <v>10</v>
      </c>
      <c r="C635" s="104" t="s">
        <v>171</v>
      </c>
      <c r="D635" s="104" t="s">
        <v>172</v>
      </c>
      <c r="E635" s="104" t="s">
        <v>173</v>
      </c>
      <c r="F635" s="104" t="s">
        <v>174</v>
      </c>
      <c r="G635" s="104" t="s">
        <v>16</v>
      </c>
      <c r="H635" s="105" t="s">
        <v>17</v>
      </c>
      <c r="I635" s="105" t="s">
        <v>175</v>
      </c>
      <c r="J635" s="98"/>
      <c r="K635" s="98"/>
      <c r="L635" s="98"/>
      <c r="M635" s="98"/>
      <c r="N635" s="98"/>
      <c r="O635" s="98"/>
      <c r="P635" s="96"/>
    </row>
    <row r="636" spans="1:16" ht="16.5" customHeight="1" x14ac:dyDescent="0.25">
      <c r="A636" s="95"/>
      <c r="B636" s="106" t="s">
        <v>251</v>
      </c>
      <c r="C636" s="107" t="e">
        <f>VLOOKUP(B636,'Gebouwgegevens Allacker'!$J$5:$Q$83,3,0)</f>
        <v>#N/A</v>
      </c>
      <c r="D636" s="107" t="e">
        <f>VLOOKUP(B636,'Gebouwgegevens Allacker'!$J$5:$Q$83,4,0)</f>
        <v>#N/A</v>
      </c>
      <c r="E636" s="107" t="e">
        <f>VLOOKUP(B636,'Gebouwgegevens Allacker'!$J$5:$Q$83,5,0)</f>
        <v>#N/A</v>
      </c>
      <c r="F636" s="107" t="e">
        <f>VLOOKUP(B636,'Gebouwgegevens Allacker'!$J$5:$Q$83,6,0)</f>
        <v>#N/A</v>
      </c>
      <c r="G636" s="107" t="e">
        <f>VLOOKUP(B636,'Gebouwgegevens Allacker'!$J$5:$Q$83,7,0)</f>
        <v>#N/A</v>
      </c>
      <c r="H636" s="108" t="e">
        <f>VLOOKUP(B636,'Gebouwgegevens Allacker'!$J$5:$Q$83,8,0)</f>
        <v>#N/A</v>
      </c>
      <c r="I636" s="108">
        <v>1</v>
      </c>
      <c r="J636" s="98"/>
      <c r="K636" s="98"/>
      <c r="L636" s="98"/>
      <c r="M636" s="98"/>
      <c r="N636" s="98"/>
      <c r="O636" s="98"/>
      <c r="P636" s="96"/>
    </row>
    <row r="637" spans="1:16" ht="16.5" customHeight="1" x14ac:dyDescent="0.25">
      <c r="A637" s="95"/>
      <c r="B637" s="106" t="s">
        <v>252</v>
      </c>
      <c r="C637" s="107" t="e">
        <f>VLOOKUP(B637,'Gebouwgegevens Allacker'!$J$5:$Q$83,3,0)</f>
        <v>#N/A</v>
      </c>
      <c r="D637" s="107" t="e">
        <f>VLOOKUP(B637,'Gebouwgegevens Allacker'!$J$5:$Q$83,4,0)</f>
        <v>#N/A</v>
      </c>
      <c r="E637" s="107" t="e">
        <f>VLOOKUP(B637,'Gebouwgegevens Allacker'!$J$5:$Q$83,5,0)</f>
        <v>#N/A</v>
      </c>
      <c r="F637" s="107" t="e">
        <f>VLOOKUP(B637,'Gebouwgegevens Allacker'!$J$5:$Q$83,6,0)</f>
        <v>#N/A</v>
      </c>
      <c r="G637" s="107" t="e">
        <f>VLOOKUP(B637,'Gebouwgegevens Allacker'!$J$5:$Q$83,7,0)</f>
        <v>#N/A</v>
      </c>
      <c r="H637" s="108" t="e">
        <f>VLOOKUP(B637,'Gebouwgegevens Allacker'!$J$5:$Q$83,8,0)</f>
        <v>#N/A</v>
      </c>
      <c r="I637" s="108">
        <v>1</v>
      </c>
      <c r="J637" s="98"/>
      <c r="K637" s="98"/>
      <c r="L637" s="98"/>
      <c r="M637" s="98"/>
      <c r="N637" s="98"/>
      <c r="O637" s="98"/>
      <c r="P637" s="96"/>
    </row>
    <row r="638" spans="1:16" ht="16.5" customHeight="1" x14ac:dyDescent="0.25">
      <c r="A638" s="95"/>
      <c r="B638" s="106"/>
      <c r="C638" s="107"/>
      <c r="D638" s="107"/>
      <c r="E638" s="107"/>
      <c r="F638" s="107"/>
      <c r="G638" s="107"/>
      <c r="H638" s="108"/>
      <c r="I638" s="108"/>
      <c r="J638" s="98"/>
      <c r="K638" s="98"/>
      <c r="L638" s="98"/>
      <c r="M638" s="98"/>
      <c r="N638" s="98"/>
      <c r="O638" s="98"/>
      <c r="P638" s="96"/>
    </row>
    <row r="639" spans="1:16" ht="16.5" customHeight="1" x14ac:dyDescent="0.25">
      <c r="A639" s="95"/>
      <c r="B639" s="106"/>
      <c r="C639" s="107"/>
      <c r="D639" s="107"/>
      <c r="E639" s="107"/>
      <c r="F639" s="107"/>
      <c r="G639" s="107"/>
      <c r="H639" s="108"/>
      <c r="I639" s="108"/>
      <c r="J639" s="98"/>
      <c r="K639" s="98"/>
      <c r="L639" s="98"/>
      <c r="M639" s="98"/>
      <c r="N639" s="98"/>
      <c r="O639" s="98"/>
      <c r="P639" s="96"/>
    </row>
    <row r="640" spans="1:16" ht="16.5" customHeight="1" x14ac:dyDescent="0.25">
      <c r="A640" s="95"/>
      <c r="B640" s="106"/>
      <c r="C640" s="107"/>
      <c r="D640" s="107"/>
      <c r="E640" s="107"/>
      <c r="F640" s="107"/>
      <c r="G640" s="107"/>
      <c r="H640" s="108"/>
      <c r="I640" s="108"/>
      <c r="J640" s="98"/>
      <c r="K640" s="98"/>
      <c r="L640" s="98"/>
      <c r="M640" s="98"/>
      <c r="N640" s="98"/>
      <c r="O640" s="98"/>
      <c r="P640" s="96"/>
    </row>
    <row r="641" spans="1:16" ht="16.5" customHeight="1" x14ac:dyDescent="0.25">
      <c r="A641" s="95"/>
      <c r="B641" s="106"/>
      <c r="C641" s="107"/>
      <c r="D641" s="107"/>
      <c r="E641" s="107"/>
      <c r="F641" s="107"/>
      <c r="G641" s="107"/>
      <c r="H641" s="108"/>
      <c r="I641" s="108"/>
      <c r="J641" s="98"/>
      <c r="K641" s="98"/>
      <c r="L641" s="98"/>
      <c r="M641" s="98"/>
      <c r="N641" s="98"/>
      <c r="O641" s="98"/>
      <c r="P641" s="96"/>
    </row>
    <row r="642" spans="1:16" ht="16.5" customHeight="1" x14ac:dyDescent="0.25">
      <c r="A642" s="95"/>
      <c r="B642" s="106"/>
      <c r="C642" s="107"/>
      <c r="D642" s="107"/>
      <c r="E642" s="107"/>
      <c r="F642" s="107"/>
      <c r="G642" s="107"/>
      <c r="H642" s="108"/>
      <c r="I642" s="108"/>
      <c r="J642" s="98"/>
      <c r="K642" s="98"/>
      <c r="L642" s="98"/>
      <c r="M642" s="98"/>
      <c r="N642" s="98"/>
      <c r="O642" s="98"/>
      <c r="P642" s="96"/>
    </row>
    <row r="643" spans="1:16" ht="16.5" customHeight="1" x14ac:dyDescent="0.25">
      <c r="A643" s="95"/>
      <c r="B643" s="106"/>
      <c r="C643" s="107"/>
      <c r="D643" s="107"/>
      <c r="E643" s="107"/>
      <c r="F643" s="107"/>
      <c r="G643" s="107"/>
      <c r="H643" s="108"/>
      <c r="I643" s="108"/>
      <c r="J643" s="98"/>
      <c r="K643" s="98"/>
      <c r="L643" s="98"/>
      <c r="M643" s="98"/>
      <c r="N643" s="98"/>
      <c r="O643" s="98"/>
      <c r="P643" s="96"/>
    </row>
    <row r="644" spans="1:16" ht="16.5" customHeight="1" x14ac:dyDescent="0.25">
      <c r="A644" s="95"/>
      <c r="B644" s="106"/>
      <c r="C644" s="107"/>
      <c r="D644" s="107"/>
      <c r="E644" s="107"/>
      <c r="F644" s="107"/>
      <c r="G644" s="107"/>
      <c r="H644" s="108"/>
      <c r="I644" s="108"/>
      <c r="J644" s="98"/>
      <c r="K644" s="98"/>
      <c r="L644" s="98"/>
      <c r="M644" s="98"/>
      <c r="N644" s="98"/>
      <c r="O644" s="98"/>
      <c r="P644" s="96"/>
    </row>
    <row r="645" spans="1:16" ht="16.5" customHeight="1" x14ac:dyDescent="0.25">
      <c r="A645" s="95"/>
      <c r="B645" s="106"/>
      <c r="C645" s="107"/>
      <c r="D645" s="107"/>
      <c r="E645" s="107"/>
      <c r="F645" s="107"/>
      <c r="G645" s="107"/>
      <c r="H645" s="108"/>
      <c r="I645" s="108"/>
      <c r="J645" s="98"/>
      <c r="K645" s="98"/>
      <c r="L645" s="98"/>
      <c r="M645" s="98"/>
      <c r="N645" s="98"/>
      <c r="O645" s="98"/>
      <c r="P645" s="96"/>
    </row>
    <row r="646" spans="1:16" ht="16.5" customHeight="1" x14ac:dyDescent="0.25">
      <c r="A646" s="95"/>
      <c r="B646" s="106"/>
      <c r="C646" s="107"/>
      <c r="D646" s="107"/>
      <c r="E646" s="107"/>
      <c r="F646" s="107"/>
      <c r="G646" s="107"/>
      <c r="H646" s="108"/>
      <c r="I646" s="108"/>
      <c r="J646" s="98"/>
      <c r="K646" s="98"/>
      <c r="L646" s="98"/>
      <c r="M646" s="98"/>
      <c r="N646" s="98"/>
      <c r="O646" s="98"/>
      <c r="P646" s="96"/>
    </row>
    <row r="647" spans="1:16" ht="16.5" customHeight="1" x14ac:dyDescent="0.25">
      <c r="A647" s="95"/>
      <c r="B647" s="106"/>
      <c r="C647" s="107"/>
      <c r="D647" s="107"/>
      <c r="E647" s="107"/>
      <c r="F647" s="107"/>
      <c r="G647" s="107"/>
      <c r="H647" s="108"/>
      <c r="I647" s="108"/>
      <c r="J647" s="98"/>
      <c r="K647" s="98"/>
      <c r="L647" s="98"/>
      <c r="M647" s="98"/>
      <c r="N647" s="98"/>
      <c r="O647" s="98"/>
      <c r="P647" s="96"/>
    </row>
    <row r="648" spans="1:16" ht="15.75" customHeight="1" x14ac:dyDescent="0.25">
      <c r="A648" s="95"/>
      <c r="B648" s="58"/>
      <c r="C648" s="58"/>
      <c r="D648" s="58"/>
      <c r="E648" s="58"/>
      <c r="F648" s="58"/>
      <c r="G648" s="114"/>
      <c r="H648" s="58"/>
      <c r="I648" s="58"/>
      <c r="J648" s="98"/>
      <c r="K648" s="98"/>
      <c r="L648" s="98"/>
      <c r="M648" s="98"/>
      <c r="N648" s="98"/>
      <c r="O648" s="98"/>
      <c r="P648" s="96"/>
    </row>
    <row r="649" spans="1:16" ht="15" customHeight="1" x14ac:dyDescent="0.25">
      <c r="A649" s="95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6"/>
    </row>
    <row r="650" spans="1:16" ht="15" customHeight="1" x14ac:dyDescent="0.25">
      <c r="A650" s="103" t="s">
        <v>177</v>
      </c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6"/>
    </row>
    <row r="651" spans="1:16" ht="15.75" customHeight="1" x14ac:dyDescent="0.25">
      <c r="A651" s="95"/>
      <c r="B651" s="58" t="s">
        <v>10</v>
      </c>
      <c r="C651" s="58" t="s">
        <v>178</v>
      </c>
      <c r="D651" s="58" t="s">
        <v>172</v>
      </c>
      <c r="E651" s="58" t="s">
        <v>179</v>
      </c>
      <c r="F651" s="58" t="s">
        <v>16</v>
      </c>
      <c r="G651" s="114" t="s">
        <v>17</v>
      </c>
      <c r="H651" s="114" t="s">
        <v>175</v>
      </c>
      <c r="I651" s="58" t="s">
        <v>180</v>
      </c>
      <c r="J651" s="58" t="s">
        <v>181</v>
      </c>
      <c r="K651" s="58" t="s">
        <v>182</v>
      </c>
      <c r="L651" s="115" t="s">
        <v>183</v>
      </c>
      <c r="M651" s="115" t="s">
        <v>184</v>
      </c>
      <c r="N651" s="115" t="s">
        <v>185</v>
      </c>
      <c r="O651" s="98"/>
      <c r="P651" s="96"/>
    </row>
    <row r="652" spans="1:16" ht="16.5" customHeight="1" x14ac:dyDescent="0.25">
      <c r="A652" s="95"/>
      <c r="B652" s="116" t="s">
        <v>253</v>
      </c>
      <c r="C652" s="117" t="e">
        <f>VLOOKUP(B652,'Gebouwgegevens Allacker'!$J$5:$Q$83,3,0)</f>
        <v>#N/A</v>
      </c>
      <c r="D652" s="117" t="e">
        <f>VLOOKUP(B652,'Gebouwgegevens Allacker'!$J$5:$Q$83,4,0)</f>
        <v>#N/A</v>
      </c>
      <c r="E652" s="117" t="e">
        <f>VLOOKUP(B652,'Gebouwgegevens Allacker'!$J$5:$Q$83,5,0)</f>
        <v>#N/A</v>
      </c>
      <c r="F652" s="117" t="e">
        <f>VLOOKUP(B652,'Gebouwgegevens Allacker'!$J$5:$Q$83,7,0)</f>
        <v>#N/A</v>
      </c>
      <c r="G652" s="118" t="e">
        <f>VLOOKUP(B652,'Gebouwgegevens Allacker'!$J$5:$Q$83,8,0)</f>
        <v>#N/A</v>
      </c>
      <c r="H652" s="118" t="e">
        <f>N652/F652</f>
        <v>#N/A</v>
      </c>
      <c r="I652" s="117" t="e">
        <f>VLOOKUP(C652,'Gebouwgegevens Allacker'!$A$35:$F$46,6,0)</f>
        <v>#N/A</v>
      </c>
      <c r="J652" s="116">
        <v>6.52</v>
      </c>
      <c r="K652" s="116">
        <v>0.33</v>
      </c>
      <c r="L652" s="119" t="e">
        <f>I652/(0.5*J652)</f>
        <v>#N/A</v>
      </c>
      <c r="M652" s="119" t="e">
        <f>K652+2*(1/F652)</f>
        <v>#N/A</v>
      </c>
      <c r="N652" s="120" t="e">
        <f>IF(M652&lt;L652,2*2/(PI()*L652+M652)*LN(PI()*L652/M652+1),2/(0.457*L652+M652))</f>
        <v>#N/A</v>
      </c>
      <c r="O652" s="98"/>
      <c r="P652" s="96"/>
    </row>
    <row r="653" spans="1:16" ht="16.5" customHeight="1" x14ac:dyDescent="0.25">
      <c r="A653" s="95"/>
      <c r="B653" s="116"/>
      <c r="C653" s="117"/>
      <c r="D653" s="117"/>
      <c r="E653" s="117"/>
      <c r="F653" s="117"/>
      <c r="G653" s="118"/>
      <c r="H653" s="118"/>
      <c r="I653" s="117"/>
      <c r="J653" s="116"/>
      <c r="K653" s="116"/>
      <c r="L653" s="119"/>
      <c r="M653" s="119"/>
      <c r="N653" s="120"/>
      <c r="O653" s="98"/>
      <c r="P653" s="96"/>
    </row>
    <row r="654" spans="1:16" ht="16.5" customHeight="1" x14ac:dyDescent="0.25">
      <c r="A654" s="95"/>
      <c r="B654" s="116"/>
      <c r="C654" s="117"/>
      <c r="D654" s="117"/>
      <c r="E654" s="117"/>
      <c r="F654" s="117"/>
      <c r="G654" s="118"/>
      <c r="H654" s="118"/>
      <c r="I654" s="117"/>
      <c r="J654" s="116"/>
      <c r="K654" s="116"/>
      <c r="L654" s="119"/>
      <c r="M654" s="119"/>
      <c r="N654" s="120"/>
      <c r="O654" s="98"/>
      <c r="P654" s="96"/>
    </row>
    <row r="655" spans="1:16" ht="16.5" customHeight="1" x14ac:dyDescent="0.25">
      <c r="A655" s="95"/>
      <c r="B655" s="116"/>
      <c r="C655" s="117"/>
      <c r="D655" s="117"/>
      <c r="E655" s="117"/>
      <c r="F655" s="117"/>
      <c r="G655" s="118"/>
      <c r="H655" s="118"/>
      <c r="I655" s="117"/>
      <c r="J655" s="116"/>
      <c r="K655" s="116"/>
      <c r="L655" s="119"/>
      <c r="M655" s="119"/>
      <c r="N655" s="120"/>
      <c r="O655" s="98"/>
      <c r="P655" s="96"/>
    </row>
    <row r="656" spans="1:16" ht="16.5" customHeight="1" x14ac:dyDescent="0.25">
      <c r="A656" s="138"/>
      <c r="B656" s="116"/>
      <c r="C656" s="117"/>
      <c r="D656" s="117"/>
      <c r="E656" s="117"/>
      <c r="F656" s="117"/>
      <c r="G656" s="118"/>
      <c r="H656" s="118"/>
      <c r="I656" s="117"/>
      <c r="J656" s="116"/>
      <c r="K656" s="116"/>
      <c r="L656" s="119"/>
      <c r="M656" s="119"/>
      <c r="N656" s="120"/>
      <c r="O656" s="98"/>
      <c r="P656" s="96"/>
    </row>
    <row r="657" spans="1:16" ht="15.75" customHeight="1" x14ac:dyDescent="0.25">
      <c r="A657" s="95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6"/>
    </row>
    <row r="658" spans="1:16" ht="15" customHeight="1" x14ac:dyDescent="0.25">
      <c r="A658" s="103" t="s">
        <v>186</v>
      </c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6"/>
    </row>
    <row r="659" spans="1:16" ht="15.75" customHeight="1" x14ac:dyDescent="0.25">
      <c r="A659" s="95"/>
      <c r="B659" s="58" t="s">
        <v>10</v>
      </c>
      <c r="C659" s="58" t="s">
        <v>187</v>
      </c>
      <c r="D659" s="58" t="s">
        <v>188</v>
      </c>
      <c r="E659" s="58" t="s">
        <v>135</v>
      </c>
      <c r="F659" s="58" t="s">
        <v>189</v>
      </c>
      <c r="G659" s="58" t="s">
        <v>190</v>
      </c>
      <c r="H659" s="58" t="s">
        <v>191</v>
      </c>
      <c r="I659" s="58" t="s">
        <v>16</v>
      </c>
      <c r="J659" s="114" t="s">
        <v>17</v>
      </c>
      <c r="K659" s="114" t="s">
        <v>175</v>
      </c>
      <c r="L659" s="98"/>
      <c r="M659" s="98"/>
      <c r="N659" s="98"/>
      <c r="O659" s="98"/>
      <c r="P659" s="96"/>
    </row>
    <row r="660" spans="1:16" ht="16.5" customHeight="1" x14ac:dyDescent="0.25">
      <c r="A660" s="95"/>
      <c r="B660" s="116" t="s">
        <v>219</v>
      </c>
      <c r="C660" s="122" t="e">
        <f>IF(VLOOKUP(B660,'Gebouwgegevens Allacker'!$J$5:$Q$83,2,0)=$B$630,VLOOKUP(B660,'Gebouwgegevens Allacker'!$J$5:$Q$83,2,0),VLOOKUP(B660,'Gebouwgegevens Allacker'!$J$5:$Q$83,3,0))</f>
        <v>#N/A</v>
      </c>
      <c r="D660" s="122" t="e">
        <f>IF(VLOOKUP(B660,'Gebouwgegevens Allacker'!$J$5:$Q$83,2,0)=$B$630,VLOOKUP(B660,'Gebouwgegevens Allacker'!$J$5:$Q$83,3,0),VLOOKUP(B660,'Gebouwgegevens Allacker'!$J$5:$Q$83,2,0))</f>
        <v>#N/A</v>
      </c>
      <c r="E660" s="122" t="e">
        <f>VLOOKUP(B660,'Gebouwgegevens Allacker'!$J$5:$Q$83,4,0)</f>
        <v>#N/A</v>
      </c>
      <c r="F660" s="122" t="e">
        <f>VLOOKUP(B660,'Gebouwgegevens Allacker'!$J$5:$Q$83,5,0)</f>
        <v>#N/A</v>
      </c>
      <c r="G660" s="122" t="e">
        <f>VLOOKUP('Verwarming Tabula 2zone'!C660,'Gebouwgegevens Allacker'!$A$35:$F$46,5,0)</f>
        <v>#N/A</v>
      </c>
      <c r="H660" s="122" t="e">
        <f>VLOOKUP('Verwarming Tabula 2zone'!D660,'Gebouwgegevens Allacker'!$A$35:$F$46,5,0)</f>
        <v>#N/A</v>
      </c>
      <c r="I660" s="122" t="e">
        <f>VLOOKUP(B660,'Gebouwgegevens Allacker'!$J$5:$Q$83,7,0)</f>
        <v>#N/A</v>
      </c>
      <c r="J660" s="118" t="e">
        <f>VLOOKUP(B660,'Gebouwgegevens Allacker'!$J$5:$Q$83,8,0)</f>
        <v>#N/A</v>
      </c>
      <c r="K660" s="118" t="e">
        <f>(G660-H660)/(G660-$B$4)</f>
        <v>#N/A</v>
      </c>
      <c r="L660" s="98"/>
      <c r="M660" s="98"/>
      <c r="N660" s="98"/>
      <c r="O660" s="98"/>
      <c r="P660" s="96"/>
    </row>
    <row r="661" spans="1:16" ht="16.5" customHeight="1" x14ac:dyDescent="0.25">
      <c r="A661" s="95"/>
      <c r="B661" s="116" t="s">
        <v>254</v>
      </c>
      <c r="C661" s="122" t="e">
        <f>IF(VLOOKUP(B661,'Gebouwgegevens Allacker'!$J$5:$Q$83,2,0)=$B$630,VLOOKUP(B661,'Gebouwgegevens Allacker'!$J$5:$Q$83,2,0),VLOOKUP(B661,'Gebouwgegevens Allacker'!$J$5:$Q$83,3,0))</f>
        <v>#N/A</v>
      </c>
      <c r="D661" s="122" t="e">
        <f>IF(VLOOKUP(B661,'Gebouwgegevens Allacker'!$J$5:$Q$83,2,0)=$B$630,VLOOKUP(B661,'Gebouwgegevens Allacker'!$J$5:$Q$83,3,0),VLOOKUP(B661,'Gebouwgegevens Allacker'!$J$5:$Q$83,2,0))</f>
        <v>#N/A</v>
      </c>
      <c r="E661" s="122" t="e">
        <f>VLOOKUP(B661,'Gebouwgegevens Allacker'!$J$5:$Q$83,4,0)</f>
        <v>#N/A</v>
      </c>
      <c r="F661" s="122" t="e">
        <f>VLOOKUP(B661,'Gebouwgegevens Allacker'!$J$5:$Q$83,5,0)</f>
        <v>#N/A</v>
      </c>
      <c r="G661" s="122" t="e">
        <f>VLOOKUP('Verwarming Tabula 2zone'!C661,'Gebouwgegevens Allacker'!$A$35:$F$46,5,0)</f>
        <v>#N/A</v>
      </c>
      <c r="H661" s="122" t="e">
        <f>VLOOKUP('Verwarming Tabula 2zone'!D661,'Gebouwgegevens Allacker'!$A$35:$F$46,5,0)</f>
        <v>#N/A</v>
      </c>
      <c r="I661" s="122" t="e">
        <f>VLOOKUP(B661,'Gebouwgegevens Allacker'!$J$5:$Q$83,7,0)</f>
        <v>#N/A</v>
      </c>
      <c r="J661" s="118" t="e">
        <f>VLOOKUP(B661,'Gebouwgegevens Allacker'!$J$5:$Q$83,8,0)</f>
        <v>#N/A</v>
      </c>
      <c r="K661" s="118" t="e">
        <f>(G661-H661)/(G661-$B$4)</f>
        <v>#N/A</v>
      </c>
      <c r="L661" s="98"/>
      <c r="M661" s="98"/>
      <c r="N661" s="98"/>
      <c r="O661" s="98"/>
      <c r="P661" s="96"/>
    </row>
    <row r="662" spans="1:16" ht="16.5" customHeight="1" x14ac:dyDescent="0.25">
      <c r="A662" s="95"/>
      <c r="B662" s="116"/>
      <c r="C662" s="122"/>
      <c r="D662" s="122"/>
      <c r="E662" s="122"/>
      <c r="F662" s="122"/>
      <c r="G662" s="122"/>
      <c r="H662" s="122"/>
      <c r="I662" s="122"/>
      <c r="J662" s="118"/>
      <c r="K662" s="118"/>
      <c r="L662" s="98"/>
      <c r="M662" s="98"/>
      <c r="N662" s="98"/>
      <c r="O662" s="98"/>
      <c r="P662" s="96"/>
    </row>
    <row r="663" spans="1:16" ht="16.5" customHeight="1" x14ac:dyDescent="0.25">
      <c r="A663" s="95"/>
      <c r="B663" s="116"/>
      <c r="C663" s="122"/>
      <c r="D663" s="122"/>
      <c r="E663" s="122"/>
      <c r="F663" s="122"/>
      <c r="G663" s="122"/>
      <c r="H663" s="122"/>
      <c r="I663" s="122"/>
      <c r="J663" s="118"/>
      <c r="K663" s="118"/>
      <c r="L663" s="98"/>
      <c r="M663" s="98"/>
      <c r="N663" s="98"/>
      <c r="O663" s="98"/>
      <c r="P663" s="96"/>
    </row>
    <row r="664" spans="1:16" ht="16.5" customHeight="1" x14ac:dyDescent="0.25">
      <c r="A664" s="95"/>
      <c r="B664" s="145"/>
      <c r="C664" s="122"/>
      <c r="D664" s="122"/>
      <c r="E664" s="122"/>
      <c r="F664" s="122"/>
      <c r="G664" s="122"/>
      <c r="H664" s="122"/>
      <c r="I664" s="122"/>
      <c r="J664" s="118"/>
      <c r="K664" s="118"/>
      <c r="L664" s="98"/>
      <c r="M664" s="98"/>
      <c r="N664" s="98"/>
      <c r="O664" s="98"/>
      <c r="P664" s="96"/>
    </row>
    <row r="665" spans="1:16" ht="16.5" customHeight="1" x14ac:dyDescent="0.25">
      <c r="A665" s="95"/>
      <c r="B665" s="123"/>
      <c r="C665" s="139"/>
      <c r="D665" s="122"/>
      <c r="E665" s="122"/>
      <c r="F665" s="122"/>
      <c r="G665" s="122"/>
      <c r="H665" s="122"/>
      <c r="I665" s="122"/>
      <c r="J665" s="118"/>
      <c r="K665" s="118"/>
      <c r="L665" s="98"/>
      <c r="M665" s="98"/>
      <c r="N665" s="98"/>
      <c r="O665" s="98"/>
      <c r="P665" s="96"/>
    </row>
    <row r="666" spans="1:16" ht="16.5" customHeight="1" x14ac:dyDescent="0.25">
      <c r="A666" s="95"/>
      <c r="B666" s="123"/>
      <c r="C666" s="139"/>
      <c r="D666" s="122"/>
      <c r="E666" s="122"/>
      <c r="F666" s="122"/>
      <c r="G666" s="122"/>
      <c r="H666" s="122"/>
      <c r="I666" s="122"/>
      <c r="J666" s="118"/>
      <c r="K666" s="118"/>
      <c r="L666" s="98"/>
      <c r="M666" s="98"/>
      <c r="N666" s="98"/>
      <c r="O666" s="98"/>
      <c r="P666" s="96"/>
    </row>
    <row r="667" spans="1:16" ht="16.5" customHeight="1" x14ac:dyDescent="0.25">
      <c r="A667" s="95"/>
      <c r="B667" s="123"/>
      <c r="C667" s="139"/>
      <c r="D667" s="122"/>
      <c r="E667" s="122"/>
      <c r="F667" s="122"/>
      <c r="G667" s="122"/>
      <c r="H667" s="122"/>
      <c r="I667" s="122"/>
      <c r="J667" s="118"/>
      <c r="K667" s="118"/>
      <c r="L667" s="98"/>
      <c r="M667" s="98"/>
      <c r="N667" s="98"/>
      <c r="O667" s="98"/>
      <c r="P667" s="96"/>
    </row>
    <row r="668" spans="1:16" ht="16.5" customHeight="1" x14ac:dyDescent="0.25">
      <c r="A668" s="95"/>
      <c r="B668" s="123"/>
      <c r="C668" s="139"/>
      <c r="D668" s="122"/>
      <c r="E668" s="122"/>
      <c r="F668" s="122"/>
      <c r="G668" s="122"/>
      <c r="H668" s="122"/>
      <c r="I668" s="122"/>
      <c r="J668" s="118"/>
      <c r="K668" s="118"/>
      <c r="L668" s="98"/>
      <c r="M668" s="98"/>
      <c r="N668" s="98"/>
      <c r="O668" s="98"/>
      <c r="P668" s="96"/>
    </row>
    <row r="669" spans="1:16" ht="16.5" customHeight="1" x14ac:dyDescent="0.25">
      <c r="A669" s="95"/>
      <c r="B669" s="123"/>
      <c r="C669" s="139"/>
      <c r="D669" s="122"/>
      <c r="E669" s="122"/>
      <c r="F669" s="122"/>
      <c r="G669" s="122"/>
      <c r="H669" s="122"/>
      <c r="I669" s="122"/>
      <c r="J669" s="118"/>
      <c r="K669" s="118"/>
      <c r="L669" s="98"/>
      <c r="M669" s="98"/>
      <c r="N669" s="98"/>
      <c r="O669" s="98"/>
      <c r="P669" s="96"/>
    </row>
    <row r="670" spans="1:16" ht="15.75" customHeight="1" x14ac:dyDescent="0.25">
      <c r="A670" s="95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8"/>
      <c r="M670" s="98"/>
      <c r="N670" s="98"/>
      <c r="O670" s="98"/>
      <c r="P670" s="96"/>
    </row>
    <row r="671" spans="1:16" ht="15" customHeight="1" x14ac:dyDescent="0.25">
      <c r="A671" s="95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6"/>
    </row>
    <row r="672" spans="1:16" ht="15.75" customHeight="1" x14ac:dyDescent="0.25">
      <c r="A672" s="103" t="s">
        <v>192</v>
      </c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6"/>
    </row>
    <row r="673" spans="1:16" ht="16.5" customHeight="1" x14ac:dyDescent="0.25">
      <c r="A673" s="124" t="s">
        <v>193</v>
      </c>
      <c r="B673" s="118" t="e">
        <f>SUMPRODUCT(H636:H647,I636:I647)+SUMPRODUCT(G652:G656,H652:H656)+SUMPRODUCT(J660:J669,K660:K669)</f>
        <v>#N/A</v>
      </c>
      <c r="C673" s="118" t="s">
        <v>107</v>
      </c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6"/>
    </row>
    <row r="674" spans="1:16" ht="16.5" customHeight="1" x14ac:dyDescent="0.25">
      <c r="A674" s="124" t="s">
        <v>167</v>
      </c>
      <c r="B674" s="118" t="e">
        <f>B673*(G660-$B$4)</f>
        <v>#N/A</v>
      </c>
      <c r="C674" s="118" t="s">
        <v>169</v>
      </c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6"/>
    </row>
    <row r="675" spans="1:16" ht="15.75" customHeight="1" x14ac:dyDescent="0.25">
      <c r="A675" s="109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1"/>
    </row>
    <row r="676" spans="1:16" ht="15.75" customHeight="1" x14ac:dyDescent="0.25">
      <c r="A676" s="343" t="s">
        <v>194</v>
      </c>
      <c r="B676" s="343"/>
      <c r="C676" s="343"/>
      <c r="D676" s="125" t="s">
        <v>222</v>
      </c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94"/>
    </row>
    <row r="677" spans="1:16" ht="15" customHeight="1" x14ac:dyDescent="0.25">
      <c r="A677" s="95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6"/>
    </row>
    <row r="678" spans="1:16" ht="15" customHeight="1" x14ac:dyDescent="0.25">
      <c r="A678" s="126" t="s">
        <v>195</v>
      </c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6"/>
    </row>
    <row r="679" spans="1:16" ht="15" customHeight="1" x14ac:dyDescent="0.25">
      <c r="A679" s="127" t="s">
        <v>196</v>
      </c>
      <c r="B679" s="121">
        <v>8</v>
      </c>
      <c r="C679" s="120" t="s">
        <v>197</v>
      </c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6"/>
    </row>
    <row r="680" spans="1:16" ht="15" customHeight="1" x14ac:dyDescent="0.25">
      <c r="A680" s="127" t="s">
        <v>198</v>
      </c>
      <c r="B680" s="121">
        <v>0.03</v>
      </c>
      <c r="C680" s="120" t="s">
        <v>199</v>
      </c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6"/>
    </row>
    <row r="681" spans="1:16" ht="15.75" customHeight="1" x14ac:dyDescent="0.25">
      <c r="A681" s="127" t="s">
        <v>200</v>
      </c>
      <c r="B681" s="121">
        <v>1</v>
      </c>
      <c r="C681" s="120" t="s">
        <v>201</v>
      </c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6"/>
    </row>
    <row r="682" spans="1:16" ht="16.5" customHeight="1" x14ac:dyDescent="0.25">
      <c r="A682" s="124" t="s">
        <v>202</v>
      </c>
      <c r="B682" s="118" t="e">
        <f>2*VLOOKUP(B630,'Gebouwgegevens Allacker'!$A$35:$F$46,6,0)*B679*B680*B681</f>
        <v>#N/A</v>
      </c>
      <c r="C682" s="118" t="s">
        <v>203</v>
      </c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6"/>
    </row>
    <row r="683" spans="1:16" ht="15.75" customHeight="1" x14ac:dyDescent="0.25">
      <c r="A683" s="138"/>
      <c r="B683" s="58"/>
      <c r="C683" s="5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6"/>
    </row>
    <row r="684" spans="1:16" ht="15" customHeight="1" x14ac:dyDescent="0.25">
      <c r="A684" s="146" t="s">
        <v>204</v>
      </c>
      <c r="B684" s="58"/>
      <c r="C684" s="5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6"/>
    </row>
    <row r="685" spans="1:16" ht="15.75" customHeight="1" x14ac:dyDescent="0.25">
      <c r="A685" s="138" t="s">
        <v>180</v>
      </c>
      <c r="B685" s="58" t="e">
        <f>VLOOKUP(B630,'Gebouwgegevens Allacker'!$A$35:$F$46,6,0)</f>
        <v>#N/A</v>
      </c>
      <c r="C685" s="5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6"/>
    </row>
    <row r="686" spans="1:16" ht="16.5" customHeight="1" x14ac:dyDescent="0.25">
      <c r="A686" s="124" t="s">
        <v>205</v>
      </c>
      <c r="B686" s="128">
        <v>50</v>
      </c>
      <c r="C686" s="118" t="s">
        <v>203</v>
      </c>
      <c r="D686" s="147" t="s">
        <v>255</v>
      </c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6"/>
    </row>
    <row r="687" spans="1:16" ht="15.75" customHeight="1" x14ac:dyDescent="0.25">
      <c r="A687" s="138"/>
      <c r="B687" s="58"/>
      <c r="C687" s="5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6"/>
    </row>
    <row r="688" spans="1:16" ht="15.75" customHeight="1" x14ac:dyDescent="0.25">
      <c r="A688" s="138"/>
      <c r="B688" s="58"/>
      <c r="C688" s="5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6"/>
    </row>
    <row r="689" spans="1:16" ht="16.5" customHeight="1" x14ac:dyDescent="0.25">
      <c r="A689" s="124" t="s">
        <v>207</v>
      </c>
      <c r="B689" s="118" t="e">
        <f>MAX(B682,B686)</f>
        <v>#N/A</v>
      </c>
      <c r="C689" s="118" t="s">
        <v>203</v>
      </c>
      <c r="D689" s="98"/>
      <c r="E689" s="98"/>
      <c r="F689" s="118" t="s">
        <v>208</v>
      </c>
      <c r="G689" s="118" t="e">
        <f>B689/VLOOKUP(B630,'Gebouwgegevens Allacker'!$A$35:$B$46,2,0)</f>
        <v>#N/A</v>
      </c>
      <c r="H689" s="98"/>
      <c r="I689" s="98"/>
      <c r="J689" s="98"/>
      <c r="K689" s="98"/>
      <c r="L689" s="98"/>
      <c r="M689" s="98"/>
      <c r="N689" s="98"/>
      <c r="O689" s="98"/>
      <c r="P689" s="96"/>
    </row>
    <row r="690" spans="1:16" ht="16.5" customHeight="1" x14ac:dyDescent="0.25">
      <c r="A690" s="138"/>
      <c r="B690" s="58"/>
      <c r="C690" s="5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6"/>
    </row>
    <row r="691" spans="1:16" ht="16.5" customHeight="1" x14ac:dyDescent="0.25">
      <c r="A691" s="124" t="s">
        <v>209</v>
      </c>
      <c r="B691" s="118" t="e">
        <f>0.34*B689</f>
        <v>#N/A</v>
      </c>
      <c r="C691" s="118" t="s">
        <v>107</v>
      </c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6"/>
    </row>
    <row r="692" spans="1:16" ht="16.5" customHeight="1" x14ac:dyDescent="0.25">
      <c r="A692" s="124" t="s">
        <v>167</v>
      </c>
      <c r="B692" s="118" t="e">
        <f>B691*('Gebouwgegevens Allacker'!E652-$B$4)</f>
        <v>#N/A</v>
      </c>
      <c r="C692" s="118" t="s">
        <v>169</v>
      </c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6"/>
    </row>
    <row r="693" spans="1:16" ht="15.75" customHeight="1" x14ac:dyDescent="0.25">
      <c r="A693" s="140"/>
      <c r="B693" s="141"/>
      <c r="C693" s="141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1"/>
    </row>
    <row r="694" spans="1:16" ht="15.75" customHeight="1" x14ac:dyDescent="0.25">
      <c r="A694" s="343" t="s">
        <v>210</v>
      </c>
      <c r="B694" s="343"/>
      <c r="C694" s="343"/>
      <c r="D694" s="343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6"/>
    </row>
    <row r="695" spans="1:16" ht="15" customHeight="1" x14ac:dyDescent="0.25">
      <c r="A695" s="95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6"/>
    </row>
    <row r="696" spans="1:16" ht="15" customHeight="1" x14ac:dyDescent="0.25">
      <c r="A696" s="127" t="s">
        <v>211</v>
      </c>
      <c r="B696" s="121">
        <v>0</v>
      </c>
      <c r="C696" s="58" t="s">
        <v>232</v>
      </c>
      <c r="D696" s="5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6"/>
    </row>
    <row r="697" spans="1:16" ht="15.75" customHeight="1" x14ac:dyDescent="0.25">
      <c r="A697" s="3" t="s">
        <v>113</v>
      </c>
      <c r="B697" s="58" t="e">
        <f>VLOOKUP(B630,'Gebouwgegevens Allacker'!$A$35:$F$46,6,0)</f>
        <v>#N/A</v>
      </c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6"/>
    </row>
    <row r="698" spans="1:16" ht="16.5" customHeight="1" x14ac:dyDescent="0.25">
      <c r="A698" s="124" t="s">
        <v>213</v>
      </c>
      <c r="B698" s="118" t="e">
        <f>B699/('Gebouwgegevens Allacker'!E652-'Verwarming Tabula 2zone'!$B$4)</f>
        <v>#N/A</v>
      </c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6"/>
    </row>
    <row r="699" spans="1:16" ht="16.5" customHeight="1" x14ac:dyDescent="0.25">
      <c r="A699" s="124" t="s">
        <v>167</v>
      </c>
      <c r="B699" s="118" t="e">
        <f>B696*B697</f>
        <v>#N/A</v>
      </c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6"/>
    </row>
    <row r="700" spans="1:16" ht="15.75" customHeight="1" x14ac:dyDescent="0.25">
      <c r="A700" s="95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6"/>
    </row>
    <row r="701" spans="1:16" ht="15.75" customHeight="1" x14ac:dyDescent="0.25">
      <c r="A701" s="95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6"/>
    </row>
    <row r="702" spans="1:16" ht="15.75" customHeight="1" x14ac:dyDescent="0.25">
      <c r="A702" s="129" t="s">
        <v>214</v>
      </c>
      <c r="B702" s="130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1"/>
    </row>
    <row r="703" spans="1:16" ht="16.5" customHeight="1" x14ac:dyDescent="0.25">
      <c r="A703" s="124" t="s">
        <v>215</v>
      </c>
      <c r="B703" s="118" t="e">
        <f>SUM(B673,B691,B698)</f>
        <v>#N/A</v>
      </c>
      <c r="C703" s="118" t="s">
        <v>107</v>
      </c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3"/>
    </row>
    <row r="704" spans="1:16" ht="16.5" customHeight="1" x14ac:dyDescent="0.25">
      <c r="A704" s="124" t="s">
        <v>167</v>
      </c>
      <c r="B704" s="118" t="e">
        <f>SUM(B674,B692,B699)</f>
        <v>#N/A</v>
      </c>
      <c r="C704" s="118" t="s">
        <v>169</v>
      </c>
      <c r="D704" s="132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  <c r="O704" s="132"/>
      <c r="P704" s="133"/>
    </row>
    <row r="705" spans="1:16" ht="16.5" customHeight="1" x14ac:dyDescent="0.25">
      <c r="A705" s="134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6"/>
    </row>
    <row r="706" spans="1:16" ht="15" customHeight="1" x14ac:dyDescent="0.25">
      <c r="A706" s="137"/>
      <c r="B706" s="137"/>
      <c r="C706" s="137"/>
      <c r="D706" s="137"/>
      <c r="E706" s="137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</row>
    <row r="707" spans="1:16" ht="15.75" customHeight="1" x14ac:dyDescent="0.25">
      <c r="A707" s="137"/>
      <c r="B707" s="137"/>
      <c r="C707" s="137"/>
      <c r="D707" s="137"/>
      <c r="E707" s="137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</row>
    <row r="708" spans="1:16" ht="15" customHeight="1" x14ac:dyDescent="0.25">
      <c r="A708" s="93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94"/>
    </row>
    <row r="709" spans="1:16" ht="17.25" customHeight="1" x14ac:dyDescent="0.3">
      <c r="A709" s="97" t="s">
        <v>166</v>
      </c>
      <c r="B709" s="92">
        <v>10</v>
      </c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6"/>
    </row>
    <row r="710" spans="1:16" ht="15.75" customHeight="1" x14ac:dyDescent="0.25">
      <c r="A710" s="343" t="s">
        <v>168</v>
      </c>
      <c r="B710" s="343"/>
      <c r="C710" s="343"/>
      <c r="D710" s="343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94"/>
    </row>
    <row r="711" spans="1:16" ht="15" customHeight="1" x14ac:dyDescent="0.25">
      <c r="A711" s="95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6"/>
    </row>
    <row r="712" spans="1:16" ht="15" customHeight="1" x14ac:dyDescent="0.25">
      <c r="A712" s="103" t="s">
        <v>170</v>
      </c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6"/>
    </row>
    <row r="713" spans="1:16" ht="15" customHeight="1" x14ac:dyDescent="0.25">
      <c r="A713" s="95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6"/>
    </row>
    <row r="714" spans="1:16" ht="15.75" customHeight="1" x14ac:dyDescent="0.25">
      <c r="A714" s="95"/>
      <c r="B714" s="104" t="s">
        <v>10</v>
      </c>
      <c r="C714" s="104" t="s">
        <v>171</v>
      </c>
      <c r="D714" s="104" t="s">
        <v>172</v>
      </c>
      <c r="E714" s="104" t="s">
        <v>173</v>
      </c>
      <c r="F714" s="104" t="s">
        <v>174</v>
      </c>
      <c r="G714" s="104" t="s">
        <v>16</v>
      </c>
      <c r="H714" s="105" t="s">
        <v>17</v>
      </c>
      <c r="I714" s="105" t="s">
        <v>175</v>
      </c>
      <c r="J714" s="98"/>
      <c r="K714" s="98"/>
      <c r="L714" s="98"/>
      <c r="M714" s="98"/>
      <c r="N714" s="98"/>
      <c r="O714" s="98"/>
      <c r="P714" s="96"/>
    </row>
    <row r="715" spans="1:16" ht="16.5" customHeight="1" x14ac:dyDescent="0.25">
      <c r="A715" s="95"/>
      <c r="B715" s="106" t="s">
        <v>256</v>
      </c>
      <c r="C715" s="107" t="e">
        <f>VLOOKUP(B715,'Gebouwgegevens Allacker'!$J$5:$Q$83,3,0)</f>
        <v>#N/A</v>
      </c>
      <c r="D715" s="107" t="e">
        <f>VLOOKUP(B715,'Gebouwgegevens Allacker'!$J$5:$Q$83,4,0)</f>
        <v>#N/A</v>
      </c>
      <c r="E715" s="107" t="e">
        <f>VLOOKUP(B715,'Gebouwgegevens Allacker'!$J$5:$Q$83,5,0)</f>
        <v>#N/A</v>
      </c>
      <c r="F715" s="107" t="e">
        <f>VLOOKUP(B715,'Gebouwgegevens Allacker'!$J$5:$Q$83,6,0)</f>
        <v>#N/A</v>
      </c>
      <c r="G715" s="107" t="e">
        <f>VLOOKUP(B715,'Gebouwgegevens Allacker'!$J$5:$Q$83,7,0)</f>
        <v>#N/A</v>
      </c>
      <c r="H715" s="108" t="e">
        <f>VLOOKUP(B715,'Gebouwgegevens Allacker'!$J$5:$Q$83,8,0)</f>
        <v>#N/A</v>
      </c>
      <c r="I715" s="108">
        <v>1</v>
      </c>
      <c r="J715" s="98"/>
      <c r="K715" s="98"/>
      <c r="L715" s="98"/>
      <c r="M715" s="98"/>
      <c r="N715" s="98"/>
      <c r="O715" s="98"/>
      <c r="P715" s="96"/>
    </row>
    <row r="716" spans="1:16" ht="16.5" customHeight="1" x14ac:dyDescent="0.25">
      <c r="A716" s="95"/>
      <c r="B716" s="106" t="s">
        <v>257</v>
      </c>
      <c r="C716" s="107" t="e">
        <f>VLOOKUP(B716,'Gebouwgegevens Allacker'!$J$5:$Q$83,3,0)</f>
        <v>#N/A</v>
      </c>
      <c r="D716" s="107" t="e">
        <f>VLOOKUP(B716,'Gebouwgegevens Allacker'!$J$5:$Q$83,4,0)</f>
        <v>#N/A</v>
      </c>
      <c r="E716" s="107" t="e">
        <f>VLOOKUP(B716,'Gebouwgegevens Allacker'!$J$5:$Q$83,5,0)</f>
        <v>#N/A</v>
      </c>
      <c r="F716" s="107" t="e">
        <f>VLOOKUP(B716,'Gebouwgegevens Allacker'!$J$5:$Q$83,6,0)</f>
        <v>#N/A</v>
      </c>
      <c r="G716" s="107" t="e">
        <f>VLOOKUP(B716,'Gebouwgegevens Allacker'!$J$5:$Q$83,7,0)</f>
        <v>#N/A</v>
      </c>
      <c r="H716" s="108" t="e">
        <f>VLOOKUP(B716,'Gebouwgegevens Allacker'!$J$5:$Q$83,8,0)</f>
        <v>#N/A</v>
      </c>
      <c r="I716" s="108">
        <v>1</v>
      </c>
      <c r="J716" s="98"/>
      <c r="K716" s="98"/>
      <c r="L716" s="98"/>
      <c r="M716" s="98"/>
      <c r="N716" s="98"/>
      <c r="O716" s="98"/>
      <c r="P716" s="96"/>
    </row>
    <row r="717" spans="1:16" ht="16.5" customHeight="1" x14ac:dyDescent="0.25">
      <c r="A717" s="95"/>
      <c r="B717" s="106" t="s">
        <v>258</v>
      </c>
      <c r="C717" s="107" t="e">
        <f>VLOOKUP(B717,'Gebouwgegevens Allacker'!$J$5:$Q$83,3,0)</f>
        <v>#N/A</v>
      </c>
      <c r="D717" s="107" t="e">
        <f>VLOOKUP(B717,'Gebouwgegevens Allacker'!$J$5:$Q$83,4,0)</f>
        <v>#N/A</v>
      </c>
      <c r="E717" s="107" t="e">
        <f>VLOOKUP(B717,'Gebouwgegevens Allacker'!$J$5:$Q$83,5,0)</f>
        <v>#N/A</v>
      </c>
      <c r="F717" s="107" t="e">
        <f>VLOOKUP(B717,'Gebouwgegevens Allacker'!$J$5:$Q$83,6,0)</f>
        <v>#N/A</v>
      </c>
      <c r="G717" s="107" t="e">
        <f>VLOOKUP(B717,'Gebouwgegevens Allacker'!$J$5:$Q$83,7,0)</f>
        <v>#N/A</v>
      </c>
      <c r="H717" s="108" t="e">
        <f>VLOOKUP(B717,'Gebouwgegevens Allacker'!$J$5:$Q$83,8,0)</f>
        <v>#N/A</v>
      </c>
      <c r="I717" s="108">
        <v>1</v>
      </c>
      <c r="J717" s="98"/>
      <c r="K717" s="98"/>
      <c r="L717" s="98"/>
      <c r="M717" s="98"/>
      <c r="N717" s="98"/>
      <c r="O717" s="98"/>
      <c r="P717" s="96"/>
    </row>
    <row r="718" spans="1:16" ht="16.5" customHeight="1" x14ac:dyDescent="0.25">
      <c r="A718" s="95"/>
      <c r="B718" s="106"/>
      <c r="C718" s="107"/>
      <c r="D718" s="107"/>
      <c r="E718" s="107"/>
      <c r="F718" s="107"/>
      <c r="G718" s="107"/>
      <c r="H718" s="108"/>
      <c r="I718" s="108"/>
      <c r="J718" s="98"/>
      <c r="K718" s="98"/>
      <c r="L718" s="98"/>
      <c r="M718" s="98"/>
      <c r="N718" s="98"/>
      <c r="O718" s="98"/>
      <c r="P718" s="96"/>
    </row>
    <row r="719" spans="1:16" ht="16.5" customHeight="1" x14ac:dyDescent="0.25">
      <c r="A719" s="95"/>
      <c r="B719" s="106"/>
      <c r="C719" s="107"/>
      <c r="D719" s="107"/>
      <c r="E719" s="107"/>
      <c r="F719" s="107"/>
      <c r="G719" s="107"/>
      <c r="H719" s="108"/>
      <c r="I719" s="108"/>
      <c r="J719" s="98"/>
      <c r="K719" s="98"/>
      <c r="L719" s="98"/>
      <c r="M719" s="98"/>
      <c r="N719" s="98"/>
      <c r="O719" s="98"/>
      <c r="P719" s="96"/>
    </row>
    <row r="720" spans="1:16" ht="16.5" customHeight="1" x14ac:dyDescent="0.25">
      <c r="A720" s="95"/>
      <c r="B720" s="106"/>
      <c r="C720" s="107"/>
      <c r="D720" s="107"/>
      <c r="E720" s="107"/>
      <c r="F720" s="107"/>
      <c r="G720" s="107"/>
      <c r="H720" s="108"/>
      <c r="I720" s="108"/>
      <c r="J720" s="98"/>
      <c r="K720" s="98"/>
      <c r="L720" s="98"/>
      <c r="M720" s="98"/>
      <c r="N720" s="98"/>
      <c r="O720" s="98"/>
      <c r="P720" s="96"/>
    </row>
    <row r="721" spans="1:16" ht="16.5" customHeight="1" x14ac:dyDescent="0.25">
      <c r="A721" s="95"/>
      <c r="B721" s="106"/>
      <c r="C721" s="107"/>
      <c r="D721" s="107"/>
      <c r="E721" s="107"/>
      <c r="F721" s="107"/>
      <c r="G721" s="107"/>
      <c r="H721" s="108"/>
      <c r="I721" s="108"/>
      <c r="J721" s="98"/>
      <c r="K721" s="98"/>
      <c r="L721" s="98"/>
      <c r="M721" s="98"/>
      <c r="N721" s="98"/>
      <c r="O721" s="98"/>
      <c r="P721" s="96"/>
    </row>
    <row r="722" spans="1:16" ht="16.5" customHeight="1" x14ac:dyDescent="0.25">
      <c r="A722" s="95"/>
      <c r="B722" s="106"/>
      <c r="C722" s="107"/>
      <c r="D722" s="107"/>
      <c r="E722" s="107"/>
      <c r="F722" s="107"/>
      <c r="G722" s="107"/>
      <c r="H722" s="108"/>
      <c r="I722" s="108"/>
      <c r="J722" s="98"/>
      <c r="K722" s="98"/>
      <c r="L722" s="98"/>
      <c r="M722" s="98"/>
      <c r="N722" s="98"/>
      <c r="O722" s="98"/>
      <c r="P722" s="96"/>
    </row>
    <row r="723" spans="1:16" ht="16.5" customHeight="1" x14ac:dyDescent="0.25">
      <c r="A723" s="95"/>
      <c r="B723" s="106"/>
      <c r="C723" s="107"/>
      <c r="D723" s="107"/>
      <c r="E723" s="107"/>
      <c r="F723" s="107"/>
      <c r="G723" s="107"/>
      <c r="H723" s="108"/>
      <c r="I723" s="108"/>
      <c r="J723" s="98"/>
      <c r="K723" s="98"/>
      <c r="L723" s="98"/>
      <c r="M723" s="98"/>
      <c r="N723" s="98"/>
      <c r="O723" s="98"/>
      <c r="P723" s="96"/>
    </row>
    <row r="724" spans="1:16" ht="16.5" customHeight="1" x14ac:dyDescent="0.25">
      <c r="A724" s="95"/>
      <c r="B724" s="106"/>
      <c r="C724" s="107"/>
      <c r="D724" s="107"/>
      <c r="E724" s="107"/>
      <c r="F724" s="107"/>
      <c r="G724" s="107"/>
      <c r="H724" s="108"/>
      <c r="I724" s="108"/>
      <c r="J724" s="98"/>
      <c r="K724" s="98"/>
      <c r="L724" s="98"/>
      <c r="M724" s="98"/>
      <c r="N724" s="98"/>
      <c r="O724" s="98"/>
      <c r="P724" s="96"/>
    </row>
    <row r="725" spans="1:16" ht="16.5" customHeight="1" x14ac:dyDescent="0.25">
      <c r="A725" s="95"/>
      <c r="B725" s="106"/>
      <c r="C725" s="107"/>
      <c r="D725" s="107"/>
      <c r="E725" s="107"/>
      <c r="F725" s="107"/>
      <c r="G725" s="107"/>
      <c r="H725" s="108"/>
      <c r="I725" s="108"/>
      <c r="J725" s="98"/>
      <c r="K725" s="98"/>
      <c r="L725" s="98"/>
      <c r="M725" s="98"/>
      <c r="N725" s="98"/>
      <c r="O725" s="98"/>
      <c r="P725" s="96"/>
    </row>
    <row r="726" spans="1:16" ht="16.5" customHeight="1" x14ac:dyDescent="0.25">
      <c r="A726" s="95"/>
      <c r="B726" s="106"/>
      <c r="C726" s="107"/>
      <c r="D726" s="107"/>
      <c r="E726" s="107"/>
      <c r="F726" s="107"/>
      <c r="G726" s="107"/>
      <c r="H726" s="108"/>
      <c r="I726" s="108"/>
      <c r="J726" s="98"/>
      <c r="K726" s="98"/>
      <c r="L726" s="98"/>
      <c r="M726" s="98"/>
      <c r="N726" s="98"/>
      <c r="O726" s="98"/>
      <c r="P726" s="96"/>
    </row>
    <row r="727" spans="1:16" ht="15.75" customHeight="1" x14ac:dyDescent="0.25">
      <c r="A727" s="95"/>
      <c r="B727" s="58"/>
      <c r="C727" s="58"/>
      <c r="D727" s="58"/>
      <c r="E727" s="58"/>
      <c r="F727" s="58"/>
      <c r="G727" s="114"/>
      <c r="H727" s="58"/>
      <c r="I727" s="58"/>
      <c r="J727" s="98"/>
      <c r="K727" s="98"/>
      <c r="L727" s="98"/>
      <c r="M727" s="98"/>
      <c r="N727" s="98"/>
      <c r="O727" s="98"/>
      <c r="P727" s="96"/>
    </row>
    <row r="728" spans="1:16" ht="15" customHeight="1" x14ac:dyDescent="0.25">
      <c r="A728" s="95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6"/>
    </row>
    <row r="729" spans="1:16" ht="15" customHeight="1" x14ac:dyDescent="0.25">
      <c r="A729" s="103" t="s">
        <v>177</v>
      </c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6"/>
    </row>
    <row r="730" spans="1:16" ht="15.75" customHeight="1" x14ac:dyDescent="0.25">
      <c r="A730" s="95"/>
      <c r="B730" s="58" t="s">
        <v>10</v>
      </c>
      <c r="C730" s="58" t="s">
        <v>178</v>
      </c>
      <c r="D730" s="58" t="s">
        <v>172</v>
      </c>
      <c r="E730" s="58" t="s">
        <v>179</v>
      </c>
      <c r="F730" s="58" t="s">
        <v>16</v>
      </c>
      <c r="G730" s="114" t="s">
        <v>17</v>
      </c>
      <c r="H730" s="114" t="s">
        <v>175</v>
      </c>
      <c r="I730" s="58" t="s">
        <v>180</v>
      </c>
      <c r="J730" s="58" t="s">
        <v>181</v>
      </c>
      <c r="K730" s="58" t="s">
        <v>182</v>
      </c>
      <c r="L730" s="115" t="s">
        <v>183</v>
      </c>
      <c r="M730" s="115" t="s">
        <v>184</v>
      </c>
      <c r="N730" s="115" t="s">
        <v>185</v>
      </c>
      <c r="O730" s="98"/>
      <c r="P730" s="96"/>
    </row>
    <row r="731" spans="1:16" ht="16.5" customHeight="1" x14ac:dyDescent="0.25">
      <c r="A731" s="95"/>
      <c r="B731" s="116" t="s">
        <v>259</v>
      </c>
      <c r="C731" s="117" t="e">
        <f>VLOOKUP(B731,'Gebouwgegevens Allacker'!$J$5:$Q$83,3,0)</f>
        <v>#N/A</v>
      </c>
      <c r="D731" s="117" t="e">
        <f>VLOOKUP(B731,'Gebouwgegevens Allacker'!$J$5:$Q$83,4,0)</f>
        <v>#N/A</v>
      </c>
      <c r="E731" s="117" t="e">
        <f>VLOOKUP(B731,'Gebouwgegevens Allacker'!$J$5:$Q$83,5,0)</f>
        <v>#N/A</v>
      </c>
      <c r="F731" s="117" t="e">
        <f>VLOOKUP(B731,'Gebouwgegevens Allacker'!$J$5:$Q$83,7,0)</f>
        <v>#N/A</v>
      </c>
      <c r="G731" s="118" t="e">
        <f>VLOOKUP(B731,'Gebouwgegevens Allacker'!$J$5:$Q$83,8,0)</f>
        <v>#N/A</v>
      </c>
      <c r="H731" s="118" t="e">
        <f>N731/F731</f>
        <v>#N/A</v>
      </c>
      <c r="I731" s="117" t="e">
        <f>VLOOKUP(C731,'Gebouwgegevens Allacker'!$A$35:$F$46,6,0)</f>
        <v>#N/A</v>
      </c>
      <c r="J731" s="116">
        <v>4.68</v>
      </c>
      <c r="K731" s="116">
        <v>0.33</v>
      </c>
      <c r="L731" s="119" t="e">
        <f>I731/(0.5*J731)</f>
        <v>#N/A</v>
      </c>
      <c r="M731" s="119" t="e">
        <f>K731+2*(1/F731)</f>
        <v>#N/A</v>
      </c>
      <c r="N731" s="120" t="e">
        <f>IF(M731&lt;L731,2*2/(PI()*L731+M731)*LN(PI()*L731/M731+1),2/(0.457*L731+M731))</f>
        <v>#N/A</v>
      </c>
      <c r="O731" s="98"/>
      <c r="P731" s="96"/>
    </row>
    <row r="732" spans="1:16" ht="16.5" customHeight="1" x14ac:dyDescent="0.25">
      <c r="A732" s="95"/>
      <c r="B732" s="116"/>
      <c r="C732" s="117"/>
      <c r="D732" s="117"/>
      <c r="E732" s="117"/>
      <c r="F732" s="117"/>
      <c r="G732" s="118"/>
      <c r="H732" s="118"/>
      <c r="I732" s="117"/>
      <c r="J732" s="116"/>
      <c r="K732" s="116"/>
      <c r="L732" s="119"/>
      <c r="M732" s="119"/>
      <c r="N732" s="120"/>
      <c r="O732" s="98"/>
      <c r="P732" s="96"/>
    </row>
    <row r="733" spans="1:16" ht="16.5" customHeight="1" x14ac:dyDescent="0.25">
      <c r="A733" s="95"/>
      <c r="B733" s="116"/>
      <c r="C733" s="117"/>
      <c r="D733" s="117"/>
      <c r="E733" s="117"/>
      <c r="F733" s="117"/>
      <c r="G733" s="118"/>
      <c r="H733" s="118"/>
      <c r="I733" s="117"/>
      <c r="J733" s="116"/>
      <c r="K733" s="116"/>
      <c r="L733" s="119"/>
      <c r="M733" s="119"/>
      <c r="N733" s="120"/>
      <c r="O733" s="98"/>
      <c r="P733" s="96"/>
    </row>
    <row r="734" spans="1:16" ht="16.5" customHeight="1" x14ac:dyDescent="0.25">
      <c r="A734" s="95"/>
      <c r="B734" s="116"/>
      <c r="C734" s="117"/>
      <c r="D734" s="117"/>
      <c r="E734" s="117"/>
      <c r="F734" s="117"/>
      <c r="G734" s="118"/>
      <c r="H734" s="118"/>
      <c r="I734" s="117"/>
      <c r="J734" s="116"/>
      <c r="K734" s="116"/>
      <c r="L734" s="119"/>
      <c r="M734" s="119"/>
      <c r="N734" s="120"/>
      <c r="O734" s="98"/>
      <c r="P734" s="96"/>
    </row>
    <row r="735" spans="1:16" ht="16.5" customHeight="1" x14ac:dyDescent="0.25">
      <c r="A735" s="138"/>
      <c r="B735" s="116"/>
      <c r="C735" s="117"/>
      <c r="D735" s="117"/>
      <c r="E735" s="117"/>
      <c r="F735" s="117"/>
      <c r="G735" s="118"/>
      <c r="H735" s="118"/>
      <c r="I735" s="117"/>
      <c r="J735" s="116"/>
      <c r="K735" s="116"/>
      <c r="L735" s="119"/>
      <c r="M735" s="119"/>
      <c r="N735" s="120"/>
      <c r="O735" s="98"/>
      <c r="P735" s="96"/>
    </row>
    <row r="736" spans="1:16" ht="15.75" customHeight="1" x14ac:dyDescent="0.25">
      <c r="A736" s="95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6"/>
    </row>
    <row r="737" spans="1:16" ht="15" customHeight="1" x14ac:dyDescent="0.25">
      <c r="A737" s="103" t="s">
        <v>186</v>
      </c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6"/>
    </row>
    <row r="738" spans="1:16" ht="15.75" customHeight="1" x14ac:dyDescent="0.25">
      <c r="A738" s="95"/>
      <c r="B738" s="58" t="s">
        <v>10</v>
      </c>
      <c r="C738" s="58" t="s">
        <v>187</v>
      </c>
      <c r="D738" s="58" t="s">
        <v>188</v>
      </c>
      <c r="E738" s="58" t="s">
        <v>135</v>
      </c>
      <c r="F738" s="58" t="s">
        <v>189</v>
      </c>
      <c r="G738" s="58" t="s">
        <v>190</v>
      </c>
      <c r="H738" s="58" t="s">
        <v>191</v>
      </c>
      <c r="I738" s="58" t="s">
        <v>16</v>
      </c>
      <c r="J738" s="114" t="s">
        <v>17</v>
      </c>
      <c r="K738" s="114" t="s">
        <v>175</v>
      </c>
      <c r="L738" s="98"/>
      <c r="M738" s="98"/>
      <c r="N738" s="98"/>
      <c r="O738" s="98"/>
      <c r="P738" s="96"/>
    </row>
    <row r="739" spans="1:16" ht="16.5" customHeight="1" x14ac:dyDescent="0.25">
      <c r="A739" s="95"/>
      <c r="B739" s="116" t="s">
        <v>260</v>
      </c>
      <c r="C739" s="122" t="e">
        <f>IF(VLOOKUP(B739,'Gebouwgegevens Allacker'!$J$5:$Q$83,2,0)=$B$709,VLOOKUP(B739,'Gebouwgegevens Allacker'!$J$5:$Q$83,2,0),VLOOKUP(B739,'Gebouwgegevens Allacker'!$J$5:$Q$83,3,0))</f>
        <v>#N/A</v>
      </c>
      <c r="D739" s="122" t="e">
        <f>IF(VLOOKUP(B739,'Gebouwgegevens Allacker'!$J$5:$Q$83,2,0)=$B$709,VLOOKUP(B739,'Gebouwgegevens Allacker'!$J$5:$Q$83,3,0),VLOOKUP(B739,'Gebouwgegevens Allacker'!$J$5:$Q$83,2,0))</f>
        <v>#N/A</v>
      </c>
      <c r="E739" s="122" t="e">
        <f>VLOOKUP(B739,'Gebouwgegevens Allacker'!$J$5:$Q$83,4,0)</f>
        <v>#N/A</v>
      </c>
      <c r="F739" s="122" t="e">
        <f>VLOOKUP(B739,'Gebouwgegevens Allacker'!$J$5:$Q$83,5,0)</f>
        <v>#N/A</v>
      </c>
      <c r="G739" s="122" t="e">
        <f>VLOOKUP('Verwarming Tabula 2zone'!C739,'Gebouwgegevens Allacker'!$A$35:$F$46,5,0)</f>
        <v>#N/A</v>
      </c>
      <c r="H739" s="122" t="e">
        <f>VLOOKUP('Verwarming Tabula 2zone'!D739,'Gebouwgegevens Allacker'!$A$35:$F$46,5,0)</f>
        <v>#N/A</v>
      </c>
      <c r="I739" s="122" t="e">
        <f>VLOOKUP(B739,'Gebouwgegevens Allacker'!$J$5:$Q$83,7,0)</f>
        <v>#N/A</v>
      </c>
      <c r="J739" s="118" t="e">
        <f>VLOOKUP(B739,'Gebouwgegevens Allacker'!$J$5:$Q$83,8,0)</f>
        <v>#N/A</v>
      </c>
      <c r="K739" s="118" t="e">
        <f t="shared" ref="K739:K750" si="0">(G739-H739)/(G739-$B$4)</f>
        <v>#N/A</v>
      </c>
      <c r="L739" s="98"/>
      <c r="M739" s="98"/>
      <c r="N739" s="98"/>
      <c r="O739" s="98"/>
      <c r="P739" s="96"/>
    </row>
    <row r="740" spans="1:16" ht="16.5" customHeight="1" x14ac:dyDescent="0.25">
      <c r="A740" s="95"/>
      <c r="B740" s="116" t="s">
        <v>220</v>
      </c>
      <c r="C740" s="122" t="e">
        <f>IF(VLOOKUP(B740,'Gebouwgegevens Allacker'!$J$5:$Q$83,2,0)=$B$709,VLOOKUP(B740,'Gebouwgegevens Allacker'!$J$5:$Q$83,2,0),VLOOKUP(B740,'Gebouwgegevens Allacker'!$J$5:$Q$83,3,0))</f>
        <v>#N/A</v>
      </c>
      <c r="D740" s="122" t="e">
        <f>IF(VLOOKUP(B740,'Gebouwgegevens Allacker'!$J$5:$Q$83,2,0)=$B$709,VLOOKUP(B740,'Gebouwgegevens Allacker'!$J$5:$Q$83,3,0),VLOOKUP(B740,'Gebouwgegevens Allacker'!$J$5:$Q$83,2,0))</f>
        <v>#N/A</v>
      </c>
      <c r="E740" s="122" t="e">
        <f>VLOOKUP(B740,'Gebouwgegevens Allacker'!$J$5:$Q$83,4,0)</f>
        <v>#N/A</v>
      </c>
      <c r="F740" s="122" t="e">
        <f>VLOOKUP(B740,'Gebouwgegevens Allacker'!$J$5:$Q$83,5,0)</f>
        <v>#N/A</v>
      </c>
      <c r="G740" s="122" t="e">
        <f>VLOOKUP('Verwarming Tabula 2zone'!C740,'Gebouwgegevens Allacker'!$A$35:$F$46,5,0)</f>
        <v>#N/A</v>
      </c>
      <c r="H740" s="122" t="e">
        <f>VLOOKUP('Verwarming Tabula 2zone'!D740,'Gebouwgegevens Allacker'!$A$35:$F$46,5,0)</f>
        <v>#N/A</v>
      </c>
      <c r="I740" s="122" t="e">
        <f>VLOOKUP(B740,'Gebouwgegevens Allacker'!$J$5:$Q$83,7,0)</f>
        <v>#N/A</v>
      </c>
      <c r="J740" s="118" t="e">
        <f>VLOOKUP(B740,'Gebouwgegevens Allacker'!$J$5:$Q$83,8,0)</f>
        <v>#N/A</v>
      </c>
      <c r="K740" s="118" t="e">
        <f t="shared" si="0"/>
        <v>#N/A</v>
      </c>
      <c r="L740" s="98"/>
      <c r="M740" s="98"/>
      <c r="N740" s="98"/>
      <c r="O740" s="98"/>
      <c r="P740" s="96"/>
    </row>
    <row r="741" spans="1:16" ht="16.5" customHeight="1" x14ac:dyDescent="0.25">
      <c r="A741" s="95"/>
      <c r="B741" s="116" t="s">
        <v>225</v>
      </c>
      <c r="C741" s="122" t="e">
        <f>IF(VLOOKUP(B741,'Gebouwgegevens Allacker'!$J$5:$Q$83,2,0)=$B$709,VLOOKUP(B741,'Gebouwgegevens Allacker'!$J$5:$Q$83,2,0),VLOOKUP(B741,'Gebouwgegevens Allacker'!$J$5:$Q$83,3,0))</f>
        <v>#N/A</v>
      </c>
      <c r="D741" s="122" t="e">
        <f>IF(VLOOKUP(B741,'Gebouwgegevens Allacker'!$J$5:$Q$83,2,0)=$B$709,VLOOKUP(B741,'Gebouwgegevens Allacker'!$J$5:$Q$83,3,0),VLOOKUP(B741,'Gebouwgegevens Allacker'!$J$5:$Q$83,2,0))</f>
        <v>#N/A</v>
      </c>
      <c r="E741" s="122" t="e">
        <f>VLOOKUP(B741,'Gebouwgegevens Allacker'!$J$5:$Q$83,4,0)</f>
        <v>#N/A</v>
      </c>
      <c r="F741" s="122" t="e">
        <f>VLOOKUP(B741,'Gebouwgegevens Allacker'!$J$5:$Q$83,5,0)</f>
        <v>#N/A</v>
      </c>
      <c r="G741" s="122" t="e">
        <f>VLOOKUP('Verwarming Tabula 2zone'!C741,'Gebouwgegevens Allacker'!$A$35:$F$46,5,0)</f>
        <v>#N/A</v>
      </c>
      <c r="H741" s="122" t="e">
        <f>VLOOKUP('Verwarming Tabula 2zone'!D741,'Gebouwgegevens Allacker'!$A$35:$F$46,5,0)</f>
        <v>#N/A</v>
      </c>
      <c r="I741" s="122" t="e">
        <f>VLOOKUP(B741,'Gebouwgegevens Allacker'!$J$5:$Q$83,7,0)</f>
        <v>#N/A</v>
      </c>
      <c r="J741" s="118" t="e">
        <f>VLOOKUP(B741,'Gebouwgegevens Allacker'!$J$5:$Q$83,8,0)</f>
        <v>#N/A</v>
      </c>
      <c r="K741" s="118" t="e">
        <f t="shared" si="0"/>
        <v>#N/A</v>
      </c>
      <c r="L741" s="98"/>
      <c r="M741" s="98"/>
      <c r="N741" s="98"/>
      <c r="O741" s="98"/>
      <c r="P741" s="96"/>
    </row>
    <row r="742" spans="1:16" ht="16.5" customHeight="1" x14ac:dyDescent="0.25">
      <c r="A742" s="95"/>
      <c r="B742" s="116" t="s">
        <v>229</v>
      </c>
      <c r="C742" s="122" t="e">
        <f>IF(VLOOKUP(B742,'Gebouwgegevens Allacker'!$J$5:$Q$83,2,0)=$B$709,VLOOKUP(B742,'Gebouwgegevens Allacker'!$J$5:$Q$83,2,0),VLOOKUP(B742,'Gebouwgegevens Allacker'!$J$5:$Q$83,3,0))</f>
        <v>#N/A</v>
      </c>
      <c r="D742" s="122" t="e">
        <f>IF(VLOOKUP(B742,'Gebouwgegevens Allacker'!$J$5:$Q$83,2,0)=$B$709,VLOOKUP(B742,'Gebouwgegevens Allacker'!$J$5:$Q$83,3,0),VLOOKUP(B742,'Gebouwgegevens Allacker'!$J$5:$Q$83,2,0))</f>
        <v>#N/A</v>
      </c>
      <c r="E742" s="122" t="e">
        <f>VLOOKUP(B742,'Gebouwgegevens Allacker'!$J$5:$Q$83,4,0)</f>
        <v>#N/A</v>
      </c>
      <c r="F742" s="122" t="e">
        <f>VLOOKUP(B742,'Gebouwgegevens Allacker'!$J$5:$Q$83,5,0)</f>
        <v>#N/A</v>
      </c>
      <c r="G742" s="122" t="e">
        <f>VLOOKUP('Verwarming Tabula 2zone'!C742,'Gebouwgegevens Allacker'!$A$35:$F$46,5,0)</f>
        <v>#N/A</v>
      </c>
      <c r="H742" s="122" t="e">
        <f>VLOOKUP('Verwarming Tabula 2zone'!D742,'Gebouwgegevens Allacker'!$A$35:$F$46,5,0)</f>
        <v>#N/A</v>
      </c>
      <c r="I742" s="122" t="e">
        <f>VLOOKUP(B742,'Gebouwgegevens Allacker'!$J$5:$Q$83,7,0)</f>
        <v>#N/A</v>
      </c>
      <c r="J742" s="118" t="e">
        <f>VLOOKUP(B742,'Gebouwgegevens Allacker'!$J$5:$Q$83,8,0)</f>
        <v>#N/A</v>
      </c>
      <c r="K742" s="118" t="e">
        <f t="shared" si="0"/>
        <v>#N/A</v>
      </c>
      <c r="L742" s="98"/>
      <c r="M742" s="98"/>
      <c r="N742" s="98"/>
      <c r="O742" s="98"/>
      <c r="P742" s="96"/>
    </row>
    <row r="743" spans="1:16" ht="16.5" customHeight="1" x14ac:dyDescent="0.25">
      <c r="A743" s="95"/>
      <c r="B743" s="145" t="s">
        <v>234</v>
      </c>
      <c r="C743" s="122" t="e">
        <f>IF(VLOOKUP(B743,'Gebouwgegevens Allacker'!$J$5:$Q$83,2,0)=$B$709,VLOOKUP(B743,'Gebouwgegevens Allacker'!$J$5:$Q$83,2,0),VLOOKUP(B743,'Gebouwgegevens Allacker'!$J$5:$Q$83,3,0))</f>
        <v>#N/A</v>
      </c>
      <c r="D743" s="122" t="e">
        <f>IF(VLOOKUP(B743,'Gebouwgegevens Allacker'!$J$5:$Q$83,2,0)=$B$709,VLOOKUP(B743,'Gebouwgegevens Allacker'!$J$5:$Q$83,3,0),VLOOKUP(B743,'Gebouwgegevens Allacker'!$J$5:$Q$83,2,0))</f>
        <v>#N/A</v>
      </c>
      <c r="E743" s="122" t="e">
        <f>VLOOKUP(B743,'Gebouwgegevens Allacker'!$J$5:$Q$83,4,0)</f>
        <v>#N/A</v>
      </c>
      <c r="F743" s="122" t="e">
        <f>VLOOKUP(B743,'Gebouwgegevens Allacker'!$J$5:$Q$83,5,0)</f>
        <v>#N/A</v>
      </c>
      <c r="G743" s="122" t="e">
        <f>VLOOKUP('Verwarming Tabula 2zone'!C743,'Gebouwgegevens Allacker'!$A$35:$F$46,5,0)</f>
        <v>#N/A</v>
      </c>
      <c r="H743" s="122" t="e">
        <f>VLOOKUP('Verwarming Tabula 2zone'!D743,'Gebouwgegevens Allacker'!$A$35:$F$46,5,0)</f>
        <v>#N/A</v>
      </c>
      <c r="I743" s="122" t="e">
        <f>VLOOKUP(B743,'Gebouwgegevens Allacker'!$J$5:$Q$83,7,0)</f>
        <v>#N/A</v>
      </c>
      <c r="J743" s="118" t="e">
        <f>VLOOKUP(B743,'Gebouwgegevens Allacker'!$J$5:$Q$83,8,0)</f>
        <v>#N/A</v>
      </c>
      <c r="K743" s="118" t="e">
        <f t="shared" si="0"/>
        <v>#N/A</v>
      </c>
      <c r="L743" s="98"/>
      <c r="M743" s="98"/>
      <c r="N743" s="98"/>
      <c r="O743" s="98"/>
      <c r="P743" s="96"/>
    </row>
    <row r="744" spans="1:16" ht="16.5" customHeight="1" x14ac:dyDescent="0.25">
      <c r="A744" s="95"/>
      <c r="B744" s="123" t="s">
        <v>238</v>
      </c>
      <c r="C744" s="122" t="e">
        <f>IF(VLOOKUP(B744,'Gebouwgegevens Allacker'!$J$5:$Q$83,2,0)=$B$709,VLOOKUP(B744,'Gebouwgegevens Allacker'!$J$5:$Q$83,2,0),VLOOKUP(B744,'Gebouwgegevens Allacker'!$J$5:$Q$83,3,0))</f>
        <v>#N/A</v>
      </c>
      <c r="D744" s="122" t="e">
        <f>IF(VLOOKUP(B744,'Gebouwgegevens Allacker'!$J$5:$Q$83,2,0)=$B$709,VLOOKUP(B744,'Gebouwgegevens Allacker'!$J$5:$Q$83,3,0),VLOOKUP(B744,'Gebouwgegevens Allacker'!$J$5:$Q$83,2,0))</f>
        <v>#N/A</v>
      </c>
      <c r="E744" s="122" t="e">
        <f>VLOOKUP(B744,'Gebouwgegevens Allacker'!$J$5:$Q$83,4,0)</f>
        <v>#N/A</v>
      </c>
      <c r="F744" s="122" t="e">
        <f>VLOOKUP(B744,'Gebouwgegevens Allacker'!$J$5:$Q$83,5,0)</f>
        <v>#N/A</v>
      </c>
      <c r="G744" s="122" t="e">
        <f>VLOOKUP('Verwarming Tabula 2zone'!C744,'Gebouwgegevens Allacker'!$A$35:$F$46,5,0)</f>
        <v>#N/A</v>
      </c>
      <c r="H744" s="122" t="e">
        <f>VLOOKUP('Verwarming Tabula 2zone'!D744,'Gebouwgegevens Allacker'!$A$35:$F$46,5,0)</f>
        <v>#N/A</v>
      </c>
      <c r="I744" s="122" t="e">
        <f>VLOOKUP(B744,'Gebouwgegevens Allacker'!$J$5:$Q$83,7,0)</f>
        <v>#N/A</v>
      </c>
      <c r="J744" s="118" t="e">
        <f>VLOOKUP(B744,'Gebouwgegevens Allacker'!$J$5:$Q$83,8,0)</f>
        <v>#N/A</v>
      </c>
      <c r="K744" s="118" t="e">
        <f t="shared" si="0"/>
        <v>#N/A</v>
      </c>
      <c r="L744" s="98"/>
      <c r="M744" s="98"/>
      <c r="N744" s="98"/>
      <c r="O744" s="98"/>
      <c r="P744" s="96"/>
    </row>
    <row r="745" spans="1:16" ht="16.5" customHeight="1" x14ac:dyDescent="0.25">
      <c r="A745" s="95"/>
      <c r="B745" s="123" t="s">
        <v>261</v>
      </c>
      <c r="C745" s="122" t="e">
        <f>IF(VLOOKUP(B745,'Gebouwgegevens Allacker'!$J$5:$Q$83,2,0)=$B$709,VLOOKUP(B745,'Gebouwgegevens Allacker'!$J$5:$Q$83,2,0),VLOOKUP(B745,'Gebouwgegevens Allacker'!$J$5:$Q$83,3,0))</f>
        <v>#N/A</v>
      </c>
      <c r="D745" s="122" t="e">
        <f>IF(VLOOKUP(B745,'Gebouwgegevens Allacker'!$J$5:$Q$83,2,0)=$B$709,VLOOKUP(B745,'Gebouwgegevens Allacker'!$J$5:$Q$83,3,0),VLOOKUP(B745,'Gebouwgegevens Allacker'!$J$5:$Q$83,2,0))</f>
        <v>#N/A</v>
      </c>
      <c r="E745" s="122" t="e">
        <f>VLOOKUP(B745,'Gebouwgegevens Allacker'!$J$5:$Q$83,4,0)</f>
        <v>#N/A</v>
      </c>
      <c r="F745" s="122" t="e">
        <f>VLOOKUP(B745,'Gebouwgegevens Allacker'!$J$5:$Q$83,5,0)</f>
        <v>#N/A</v>
      </c>
      <c r="G745" s="122" t="e">
        <f>VLOOKUP('Verwarming Tabula 2zone'!C745,'Gebouwgegevens Allacker'!$A$35:$F$46,5,0)</f>
        <v>#N/A</v>
      </c>
      <c r="H745" s="122" t="e">
        <f>VLOOKUP('Verwarming Tabula 2zone'!D745,'Gebouwgegevens Allacker'!$A$35:$F$46,5,0)</f>
        <v>#N/A</v>
      </c>
      <c r="I745" s="122" t="e">
        <f>VLOOKUP(B745,'Gebouwgegevens Allacker'!$J$5:$Q$83,7,0)</f>
        <v>#N/A</v>
      </c>
      <c r="J745" s="118" t="e">
        <f>VLOOKUP(B745,'Gebouwgegevens Allacker'!$J$5:$Q$83,8,0)</f>
        <v>#N/A</v>
      </c>
      <c r="K745" s="118" t="e">
        <f t="shared" si="0"/>
        <v>#N/A</v>
      </c>
      <c r="L745" s="98"/>
      <c r="M745" s="98"/>
      <c r="N745" s="98"/>
      <c r="O745" s="98"/>
      <c r="P745" s="96"/>
    </row>
    <row r="746" spans="1:16" ht="16.5" customHeight="1" x14ac:dyDescent="0.25">
      <c r="A746" s="95"/>
      <c r="B746" s="123" t="s">
        <v>262</v>
      </c>
      <c r="C746" s="122" t="e">
        <f>IF(VLOOKUP(B746,'Gebouwgegevens Allacker'!$J$5:$Q$83,2,0)=$B$709,VLOOKUP(B746,'Gebouwgegevens Allacker'!$J$5:$Q$83,2,0),VLOOKUP(B746,'Gebouwgegevens Allacker'!$J$5:$Q$83,3,0))</f>
        <v>#N/A</v>
      </c>
      <c r="D746" s="122" t="e">
        <f>IF(VLOOKUP(B746,'Gebouwgegevens Allacker'!$J$5:$Q$83,2,0)=$B$709,VLOOKUP(B746,'Gebouwgegevens Allacker'!$J$5:$Q$83,3,0),VLOOKUP(B746,'Gebouwgegevens Allacker'!$J$5:$Q$83,2,0))</f>
        <v>#N/A</v>
      </c>
      <c r="E746" s="122" t="e">
        <f>VLOOKUP(B746,'Gebouwgegevens Allacker'!$J$5:$Q$83,4,0)</f>
        <v>#N/A</v>
      </c>
      <c r="F746" s="122" t="e">
        <f>VLOOKUP(B746,'Gebouwgegevens Allacker'!$J$5:$Q$83,5,0)</f>
        <v>#N/A</v>
      </c>
      <c r="G746" s="122" t="e">
        <f>VLOOKUP('Verwarming Tabula 2zone'!C746,'Gebouwgegevens Allacker'!$A$35:$F$46,5,0)</f>
        <v>#N/A</v>
      </c>
      <c r="H746" s="122" t="e">
        <f>VLOOKUP('Verwarming Tabula 2zone'!D746,'Gebouwgegevens Allacker'!$A$35:$F$46,5,0)</f>
        <v>#N/A</v>
      </c>
      <c r="I746" s="122" t="e">
        <f>VLOOKUP(B746,'Gebouwgegevens Allacker'!$J$5:$Q$83,7,0)</f>
        <v>#N/A</v>
      </c>
      <c r="J746" s="118" t="e">
        <f>VLOOKUP(B746,'Gebouwgegevens Allacker'!$J$5:$Q$83,8,0)</f>
        <v>#N/A</v>
      </c>
      <c r="K746" s="118" t="e">
        <f t="shared" si="0"/>
        <v>#N/A</v>
      </c>
      <c r="L746" s="98"/>
      <c r="M746" s="98"/>
      <c r="N746" s="98"/>
      <c r="O746" s="98"/>
      <c r="P746" s="96"/>
    </row>
    <row r="747" spans="1:16" ht="16.5" customHeight="1" x14ac:dyDescent="0.25">
      <c r="A747" s="95"/>
      <c r="B747" s="123" t="s">
        <v>263</v>
      </c>
      <c r="C747" s="122" t="e">
        <f>IF(VLOOKUP(B747,'Gebouwgegevens Allacker'!$J$5:$Q$83,2,0)=$B$709,VLOOKUP(B747,'Gebouwgegevens Allacker'!$J$5:$Q$83,2,0),VLOOKUP(B747,'Gebouwgegevens Allacker'!$J$5:$Q$83,3,0))</f>
        <v>#N/A</v>
      </c>
      <c r="D747" s="122" t="e">
        <f>IF(VLOOKUP(B747,'Gebouwgegevens Allacker'!$J$5:$Q$83,2,0)=$B$709,VLOOKUP(B747,'Gebouwgegevens Allacker'!$J$5:$Q$83,3,0),VLOOKUP(B747,'Gebouwgegevens Allacker'!$J$5:$Q$83,2,0))</f>
        <v>#N/A</v>
      </c>
      <c r="E747" s="122" t="e">
        <f>VLOOKUP(B747,'Gebouwgegevens Allacker'!$J$5:$Q$83,4,0)</f>
        <v>#N/A</v>
      </c>
      <c r="F747" s="122" t="e">
        <f>VLOOKUP(B747,'Gebouwgegevens Allacker'!$J$5:$Q$83,5,0)</f>
        <v>#N/A</v>
      </c>
      <c r="G747" s="122" t="e">
        <f>VLOOKUP('Verwarming Tabula 2zone'!C747,'Gebouwgegevens Allacker'!$A$35:$F$46,5,0)</f>
        <v>#N/A</v>
      </c>
      <c r="H747" s="122" t="e">
        <f>VLOOKUP('Verwarming Tabula 2zone'!D747,'Gebouwgegevens Allacker'!$A$35:$F$46,5,0)</f>
        <v>#N/A</v>
      </c>
      <c r="I747" s="122" t="e">
        <f>VLOOKUP(B747,'Gebouwgegevens Allacker'!$J$5:$Q$83,7,0)</f>
        <v>#N/A</v>
      </c>
      <c r="J747" s="118" t="e">
        <f>VLOOKUP(B747,'Gebouwgegevens Allacker'!$J$5:$Q$83,8,0)</f>
        <v>#N/A</v>
      </c>
      <c r="K747" s="118" t="e">
        <f t="shared" si="0"/>
        <v>#N/A</v>
      </c>
      <c r="L747" s="98"/>
      <c r="M747" s="98"/>
      <c r="N747" s="98"/>
      <c r="O747" s="98"/>
      <c r="P747" s="96"/>
    </row>
    <row r="748" spans="1:16" ht="16.5" customHeight="1" x14ac:dyDescent="0.25">
      <c r="A748" s="95"/>
      <c r="B748" s="123" t="s">
        <v>226</v>
      </c>
      <c r="C748" s="122" t="e">
        <f>IF(VLOOKUP(B748,'Gebouwgegevens Allacker'!$J$5:$Q$83,2,0)=$B$709,VLOOKUP(B748,'Gebouwgegevens Allacker'!$J$5:$Q$83,2,0),VLOOKUP(B748,'Gebouwgegevens Allacker'!$J$5:$Q$83,3,0))</f>
        <v>#N/A</v>
      </c>
      <c r="D748" s="122" t="e">
        <f>IF(VLOOKUP(B748,'Gebouwgegevens Allacker'!$J$5:$Q$83,2,0)=$B$709,VLOOKUP(B748,'Gebouwgegevens Allacker'!$J$5:$Q$83,3,0),VLOOKUP(B748,'Gebouwgegevens Allacker'!$J$5:$Q$83,2,0))</f>
        <v>#N/A</v>
      </c>
      <c r="E748" s="122" t="e">
        <f>VLOOKUP(B748,'Gebouwgegevens Allacker'!$J$5:$Q$83,4,0)</f>
        <v>#N/A</v>
      </c>
      <c r="F748" s="122" t="e">
        <f>VLOOKUP(B748,'Gebouwgegevens Allacker'!$J$5:$Q$83,5,0)</f>
        <v>#N/A</v>
      </c>
      <c r="G748" s="122" t="e">
        <f>VLOOKUP('Verwarming Tabula 2zone'!C748,'Gebouwgegevens Allacker'!$A$35:$F$46,5,0)</f>
        <v>#N/A</v>
      </c>
      <c r="H748" s="122" t="e">
        <f>VLOOKUP('Verwarming Tabula 2zone'!D748,'Gebouwgegevens Allacker'!$A$35:$F$46,5,0)</f>
        <v>#N/A</v>
      </c>
      <c r="I748" s="122" t="e">
        <f>VLOOKUP(B748,'Gebouwgegevens Allacker'!$J$5:$Q$83,7,0)</f>
        <v>#N/A</v>
      </c>
      <c r="J748" s="118" t="e">
        <f>VLOOKUP(B748,'Gebouwgegevens Allacker'!$J$5:$Q$83,8,0)</f>
        <v>#N/A</v>
      </c>
      <c r="K748" s="118" t="e">
        <f t="shared" si="0"/>
        <v>#N/A</v>
      </c>
      <c r="L748" s="98"/>
      <c r="M748" s="98"/>
      <c r="N748" s="98"/>
      <c r="O748" s="98"/>
      <c r="P748" s="96"/>
    </row>
    <row r="749" spans="1:16" ht="16.5" customHeight="1" x14ac:dyDescent="0.25">
      <c r="A749" s="95"/>
      <c r="B749" s="123" t="s">
        <v>264</v>
      </c>
      <c r="C749" s="122" t="e">
        <f>IF(VLOOKUP(B749,'Gebouwgegevens Allacker'!$J$5:$Q$83,2,0)=$B$709,VLOOKUP(B749,'Gebouwgegevens Allacker'!$J$5:$Q$83,2,0),VLOOKUP(B749,'Gebouwgegevens Allacker'!$J$5:$Q$83,3,0))</f>
        <v>#N/A</v>
      </c>
      <c r="D749" s="122" t="e">
        <f>IF(VLOOKUP(B749,'Gebouwgegevens Allacker'!$J$5:$Q$83,2,0)=$B$709,VLOOKUP(B749,'Gebouwgegevens Allacker'!$J$5:$Q$83,3,0),VLOOKUP(B749,'Gebouwgegevens Allacker'!$J$5:$Q$83,2,0))</f>
        <v>#N/A</v>
      </c>
      <c r="E749" s="122" t="e">
        <f>VLOOKUP(B749,'Gebouwgegevens Allacker'!$J$5:$Q$83,4,0)</f>
        <v>#N/A</v>
      </c>
      <c r="F749" s="122" t="e">
        <f>VLOOKUP(B749,'Gebouwgegevens Allacker'!$J$5:$Q$83,5,0)</f>
        <v>#N/A</v>
      </c>
      <c r="G749" s="122" t="e">
        <f>VLOOKUP('Verwarming Tabula 2zone'!C749,'Gebouwgegevens Allacker'!$A$35:$F$46,5,0)</f>
        <v>#N/A</v>
      </c>
      <c r="H749" s="122" t="e">
        <f>VLOOKUP('Verwarming Tabula 2zone'!D749,'Gebouwgegevens Allacker'!$A$35:$F$46,5,0)</f>
        <v>#N/A</v>
      </c>
      <c r="I749" s="122" t="e">
        <f>VLOOKUP(B749,'Gebouwgegevens Allacker'!$J$5:$Q$83,7,0)</f>
        <v>#N/A</v>
      </c>
      <c r="J749" s="118" t="e">
        <f>VLOOKUP(B749,'Gebouwgegevens Allacker'!$J$5:$Q$83,8,0)</f>
        <v>#N/A</v>
      </c>
      <c r="K749" s="118" t="e">
        <f t="shared" si="0"/>
        <v>#N/A</v>
      </c>
      <c r="L749" s="98"/>
      <c r="M749" s="98"/>
      <c r="N749" s="98"/>
      <c r="O749" s="98"/>
      <c r="P749" s="96"/>
    </row>
    <row r="750" spans="1:16" ht="16.5" customHeight="1" x14ac:dyDescent="0.25">
      <c r="A750" s="95"/>
      <c r="B750" s="123" t="s">
        <v>265</v>
      </c>
      <c r="C750" s="122" t="e">
        <f>IF(VLOOKUP(B750,'Gebouwgegevens Allacker'!$J$5:$Q$83,2,0)=$B$709,VLOOKUP(B750,'Gebouwgegevens Allacker'!$J$5:$Q$83,2,0),VLOOKUP(B750,'Gebouwgegevens Allacker'!$J$5:$Q$83,3,0))</f>
        <v>#N/A</v>
      </c>
      <c r="D750" s="122" t="e">
        <f>IF(VLOOKUP(B750,'Gebouwgegevens Allacker'!$J$5:$Q$83,2,0)=$B$709,VLOOKUP(B750,'Gebouwgegevens Allacker'!$J$5:$Q$83,3,0),VLOOKUP(B750,'Gebouwgegevens Allacker'!$J$5:$Q$83,2,0))</f>
        <v>#N/A</v>
      </c>
      <c r="E750" s="122" t="e">
        <f>VLOOKUP(B750,'Gebouwgegevens Allacker'!$J$5:$Q$83,4,0)</f>
        <v>#N/A</v>
      </c>
      <c r="F750" s="122" t="e">
        <f>VLOOKUP(B750,'Gebouwgegevens Allacker'!$J$5:$Q$83,5,0)</f>
        <v>#N/A</v>
      </c>
      <c r="G750" s="122" t="e">
        <f>VLOOKUP('Verwarming Tabula 2zone'!C750,'Gebouwgegevens Allacker'!$A$35:$F$46,5,0)</f>
        <v>#N/A</v>
      </c>
      <c r="H750" s="122" t="e">
        <f>VLOOKUP('Verwarming Tabula 2zone'!D750,'Gebouwgegevens Allacker'!$A$35:$F$46,5,0)</f>
        <v>#N/A</v>
      </c>
      <c r="I750" s="122" t="e">
        <f>VLOOKUP(B750,'Gebouwgegevens Allacker'!$J$5:$Q$83,7,0)</f>
        <v>#N/A</v>
      </c>
      <c r="J750" s="118" t="e">
        <f>VLOOKUP(B750,'Gebouwgegevens Allacker'!$J$5:$Q$83,8,0)</f>
        <v>#N/A</v>
      </c>
      <c r="K750" s="118" t="e">
        <f t="shared" si="0"/>
        <v>#N/A</v>
      </c>
      <c r="L750" s="98"/>
      <c r="M750" s="98"/>
      <c r="N750" s="98"/>
      <c r="O750" s="98"/>
      <c r="P750" s="96"/>
    </row>
    <row r="751" spans="1:16" ht="16.5" customHeight="1" x14ac:dyDescent="0.25">
      <c r="A751" s="103" t="s">
        <v>192</v>
      </c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6"/>
    </row>
    <row r="752" spans="1:16" ht="16.5" customHeight="1" x14ac:dyDescent="0.25">
      <c r="A752" s="124" t="s">
        <v>193</v>
      </c>
      <c r="B752" s="118" t="e">
        <f>SUMPRODUCT(H715:H726,I715:I726)+SUMPRODUCT(G731:G735,H731:H735)+SUMPRODUCT(J739:J750,K739:K750)</f>
        <v>#N/A</v>
      </c>
      <c r="C752" s="118" t="s">
        <v>107</v>
      </c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6"/>
    </row>
    <row r="753" spans="1:16" ht="16.5" customHeight="1" x14ac:dyDescent="0.25">
      <c r="A753" s="124" t="s">
        <v>167</v>
      </c>
      <c r="B753" s="118" t="e">
        <f>B752*(G739-$B$4)</f>
        <v>#N/A</v>
      </c>
      <c r="C753" s="118" t="s">
        <v>169</v>
      </c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6"/>
    </row>
    <row r="754" spans="1:16" ht="15.75" customHeight="1" x14ac:dyDescent="0.25">
      <c r="A754" s="109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1"/>
    </row>
    <row r="755" spans="1:16" ht="15.75" customHeight="1" x14ac:dyDescent="0.25">
      <c r="A755" s="343" t="s">
        <v>194</v>
      </c>
      <c r="B755" s="343"/>
      <c r="C755" s="343"/>
      <c r="D755" s="125" t="s">
        <v>222</v>
      </c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94"/>
    </row>
    <row r="756" spans="1:16" ht="15" customHeight="1" x14ac:dyDescent="0.25">
      <c r="A756" s="95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6"/>
    </row>
    <row r="757" spans="1:16" ht="15" customHeight="1" x14ac:dyDescent="0.25">
      <c r="A757" s="126" t="s">
        <v>195</v>
      </c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6"/>
    </row>
    <row r="758" spans="1:16" ht="15" customHeight="1" x14ac:dyDescent="0.25">
      <c r="A758" s="127" t="s">
        <v>196</v>
      </c>
      <c r="B758" s="121">
        <v>8</v>
      </c>
      <c r="C758" s="120" t="s">
        <v>197</v>
      </c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6"/>
    </row>
    <row r="759" spans="1:16" ht="15" customHeight="1" x14ac:dyDescent="0.25">
      <c r="A759" s="127" t="s">
        <v>198</v>
      </c>
      <c r="B759" s="121">
        <v>0.03</v>
      </c>
      <c r="C759" s="120" t="s">
        <v>199</v>
      </c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6"/>
    </row>
    <row r="760" spans="1:16" ht="15.75" customHeight="1" x14ac:dyDescent="0.25">
      <c r="A760" s="127" t="s">
        <v>200</v>
      </c>
      <c r="B760" s="121">
        <v>1</v>
      </c>
      <c r="C760" s="120" t="s">
        <v>201</v>
      </c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6"/>
    </row>
    <row r="761" spans="1:16" ht="16.5" customHeight="1" x14ac:dyDescent="0.25">
      <c r="A761" s="124" t="s">
        <v>202</v>
      </c>
      <c r="B761" s="118" t="e">
        <f>2*VLOOKUP(B709,'Gebouwgegevens Allacker'!$A$35:$F$46,6,0)*B758*B759*B760</f>
        <v>#N/A</v>
      </c>
      <c r="C761" s="118" t="s">
        <v>203</v>
      </c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6"/>
    </row>
    <row r="762" spans="1:16" ht="15.75" customHeight="1" x14ac:dyDescent="0.25">
      <c r="A762" s="138"/>
      <c r="B762" s="58"/>
      <c r="C762" s="5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6"/>
    </row>
    <row r="763" spans="1:16" ht="15" customHeight="1" x14ac:dyDescent="0.25">
      <c r="A763" s="146" t="s">
        <v>204</v>
      </c>
      <c r="B763" s="58"/>
      <c r="C763" s="5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6"/>
    </row>
    <row r="764" spans="1:16" ht="15.75" customHeight="1" x14ac:dyDescent="0.25">
      <c r="A764" s="138" t="s">
        <v>180</v>
      </c>
      <c r="B764" s="58" t="e">
        <f>VLOOKUP(B709,'Gebouwgegevens Allacker'!$A$35:$F$46,6,0)</f>
        <v>#N/A</v>
      </c>
      <c r="C764" s="5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6"/>
    </row>
    <row r="765" spans="1:16" ht="16.5" customHeight="1" x14ac:dyDescent="0.25">
      <c r="A765" s="124" t="s">
        <v>205</v>
      </c>
      <c r="B765" s="118">
        <v>0</v>
      </c>
      <c r="C765" s="118" t="s">
        <v>203</v>
      </c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6"/>
    </row>
    <row r="766" spans="1:16" ht="15.75" customHeight="1" x14ac:dyDescent="0.25">
      <c r="A766" s="138"/>
      <c r="B766" s="58"/>
      <c r="C766" s="5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6"/>
    </row>
    <row r="767" spans="1:16" ht="15.75" customHeight="1" x14ac:dyDescent="0.25">
      <c r="A767" s="138"/>
      <c r="B767" s="58"/>
      <c r="C767" s="5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6"/>
    </row>
    <row r="768" spans="1:16" ht="16.5" customHeight="1" x14ac:dyDescent="0.25">
      <c r="A768" s="124" t="s">
        <v>207</v>
      </c>
      <c r="B768" s="118" t="e">
        <f>MAX(B761,B765)</f>
        <v>#N/A</v>
      </c>
      <c r="C768" s="118" t="s">
        <v>203</v>
      </c>
      <c r="D768" s="98"/>
      <c r="E768" s="98"/>
      <c r="F768" s="118" t="s">
        <v>208</v>
      </c>
      <c r="G768" s="118" t="e">
        <f>B768/VLOOKUP(B709,'Gebouwgegevens Allacker'!$A$35:$B$46,2,0)</f>
        <v>#N/A</v>
      </c>
      <c r="H768" s="98"/>
      <c r="I768" s="98"/>
      <c r="J768" s="98"/>
      <c r="K768" s="98"/>
      <c r="L768" s="98"/>
      <c r="M768" s="98"/>
      <c r="N768" s="98"/>
      <c r="O768" s="98"/>
      <c r="P768" s="96"/>
    </row>
    <row r="769" spans="1:16" ht="16.5" customHeight="1" x14ac:dyDescent="0.25">
      <c r="A769" s="138"/>
      <c r="B769" s="58"/>
      <c r="C769" s="5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6"/>
    </row>
    <row r="770" spans="1:16" ht="16.5" customHeight="1" x14ac:dyDescent="0.25">
      <c r="A770" s="124" t="s">
        <v>209</v>
      </c>
      <c r="B770" s="118" t="e">
        <f>0.34*B768</f>
        <v>#N/A</v>
      </c>
      <c r="C770" s="118" t="s">
        <v>107</v>
      </c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6"/>
    </row>
    <row r="771" spans="1:16" ht="16.5" customHeight="1" x14ac:dyDescent="0.25">
      <c r="A771" s="124" t="s">
        <v>167</v>
      </c>
      <c r="B771" s="118" t="e">
        <f>B770*('Gebouwgegevens Allacker'!E731-$B$4)</f>
        <v>#N/A</v>
      </c>
      <c r="C771" s="118" t="s">
        <v>169</v>
      </c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6"/>
    </row>
    <row r="772" spans="1:16" ht="15.75" customHeight="1" x14ac:dyDescent="0.25">
      <c r="A772" s="140"/>
      <c r="B772" s="141"/>
      <c r="C772" s="141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1"/>
    </row>
    <row r="773" spans="1:16" ht="15.75" customHeight="1" x14ac:dyDescent="0.25">
      <c r="A773" s="343" t="s">
        <v>210</v>
      </c>
      <c r="B773" s="343"/>
      <c r="C773" s="343"/>
      <c r="D773" s="343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6"/>
    </row>
    <row r="774" spans="1:16" ht="15" customHeight="1" x14ac:dyDescent="0.25">
      <c r="A774" s="95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6"/>
    </row>
    <row r="775" spans="1:16" ht="15" customHeight="1" x14ac:dyDescent="0.25">
      <c r="A775" s="127" t="s">
        <v>211</v>
      </c>
      <c r="B775" s="121">
        <v>0</v>
      </c>
      <c r="C775" s="58" t="s">
        <v>232</v>
      </c>
      <c r="D775" s="5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6"/>
    </row>
    <row r="776" spans="1:16" ht="15.75" customHeight="1" x14ac:dyDescent="0.25">
      <c r="A776" s="3" t="s">
        <v>113</v>
      </c>
      <c r="B776" s="58" t="e">
        <f>VLOOKUP(B709,'Gebouwgegevens Allacker'!$A$35:$F$46,6,0)</f>
        <v>#N/A</v>
      </c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6"/>
    </row>
    <row r="777" spans="1:16" ht="16.5" customHeight="1" x14ac:dyDescent="0.25">
      <c r="A777" s="124" t="s">
        <v>213</v>
      </c>
      <c r="B777" s="118" t="e">
        <f>B778/('Gebouwgegevens Allacker'!E731-'Verwarming Tabula 2zone'!$B$4)</f>
        <v>#N/A</v>
      </c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6"/>
    </row>
    <row r="778" spans="1:16" ht="16.5" customHeight="1" x14ac:dyDescent="0.25">
      <c r="A778" s="124" t="s">
        <v>167</v>
      </c>
      <c r="B778" s="118" t="e">
        <f>B775*B776</f>
        <v>#N/A</v>
      </c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6"/>
    </row>
    <row r="779" spans="1:16" ht="15.75" customHeight="1" x14ac:dyDescent="0.25">
      <c r="A779" s="95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6"/>
    </row>
    <row r="780" spans="1:16" ht="15.75" customHeight="1" x14ac:dyDescent="0.25">
      <c r="A780" s="95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6"/>
    </row>
    <row r="781" spans="1:16" ht="15.75" customHeight="1" x14ac:dyDescent="0.25">
      <c r="A781" s="129" t="s">
        <v>214</v>
      </c>
      <c r="B781" s="130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1"/>
    </row>
    <row r="782" spans="1:16" ht="16.5" customHeight="1" x14ac:dyDescent="0.25">
      <c r="A782" s="124" t="s">
        <v>215</v>
      </c>
      <c r="B782" s="118" t="e">
        <f>SUM(B752,B770,B777)</f>
        <v>#N/A</v>
      </c>
      <c r="C782" s="118" t="s">
        <v>107</v>
      </c>
      <c r="D782" s="132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P782" s="133"/>
    </row>
    <row r="783" spans="1:16" ht="16.5" customHeight="1" x14ac:dyDescent="0.25">
      <c r="A783" s="124" t="s">
        <v>167</v>
      </c>
      <c r="B783" s="118" t="e">
        <f>SUM(B753,B771,B778)</f>
        <v>#N/A</v>
      </c>
      <c r="C783" s="118" t="s">
        <v>169</v>
      </c>
      <c r="D783" s="132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  <c r="O783" s="132"/>
      <c r="P783" s="133"/>
    </row>
    <row r="784" spans="1:16" ht="16.5" customHeight="1" x14ac:dyDescent="0.25">
      <c r="A784" s="134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6"/>
    </row>
  </sheetData>
  <mergeCells count="32">
    <mergeCell ref="A755:C755"/>
    <mergeCell ref="A773:D773"/>
    <mergeCell ref="A615:D615"/>
    <mergeCell ref="A631:D631"/>
    <mergeCell ref="A676:C676"/>
    <mergeCell ref="A694:D694"/>
    <mergeCell ref="A710:D710"/>
    <mergeCell ref="A473:D473"/>
    <mergeCell ref="A518:C518"/>
    <mergeCell ref="A536:D536"/>
    <mergeCell ref="A552:D552"/>
    <mergeCell ref="A597:C597"/>
    <mergeCell ref="A362:C362"/>
    <mergeCell ref="A380:D380"/>
    <mergeCell ref="A395:D395"/>
    <mergeCell ref="A440:C440"/>
    <mergeCell ref="A458:D458"/>
    <mergeCell ref="A222:D222"/>
    <mergeCell ref="A238:D238"/>
    <mergeCell ref="A283:C283"/>
    <mergeCell ref="A301:D301"/>
    <mergeCell ref="A317:D317"/>
    <mergeCell ref="A79:D79"/>
    <mergeCell ref="A124:C124"/>
    <mergeCell ref="A142:D142"/>
    <mergeCell ref="A159:D159"/>
    <mergeCell ref="A204:C204"/>
    <mergeCell ref="A1:I1"/>
    <mergeCell ref="V5:X5"/>
    <mergeCell ref="A7:D7"/>
    <mergeCell ref="A45:C45"/>
    <mergeCell ref="A63:D6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zoomScale="70" zoomScaleNormal="70" workbookViewId="0">
      <selection activeCell="AD34" sqref="AD34"/>
    </sheetView>
  </sheetViews>
  <sheetFormatPr defaultRowHeight="15" x14ac:dyDescent="0.25"/>
  <cols>
    <col min="1" max="1025" width="9.140625" style="3"/>
    <col min="1026" max="16384" width="9.140625" style="81"/>
  </cols>
  <sheetData>
    <row r="1" spans="1:26" ht="20.25" customHeight="1" x14ac:dyDescent="0.25">
      <c r="A1" s="341" t="s">
        <v>161</v>
      </c>
      <c r="B1" s="341"/>
      <c r="C1" s="341"/>
      <c r="D1" s="341"/>
      <c r="E1" s="341"/>
      <c r="F1" s="341"/>
      <c r="G1" s="341"/>
      <c r="H1" s="341"/>
      <c r="I1" s="341"/>
      <c r="J1" s="91"/>
      <c r="K1" s="91"/>
      <c r="L1" s="91"/>
      <c r="M1" s="91"/>
      <c r="N1" s="91"/>
      <c r="O1" s="91"/>
      <c r="P1" s="91"/>
    </row>
    <row r="2" spans="1:26" ht="15.75" customHeight="1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26" ht="15.75" customHeight="1" thickBot="1" x14ac:dyDescent="0.3">
      <c r="A3" s="91" t="s">
        <v>162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26" ht="15.75" customHeight="1" thickTop="1" thickBot="1" x14ac:dyDescent="0.3">
      <c r="A4" s="92" t="s">
        <v>163</v>
      </c>
      <c r="B4" s="92">
        <v>-8</v>
      </c>
      <c r="C4" s="92" t="s">
        <v>164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U4" s="93"/>
      <c r="V4" s="299"/>
      <c r="W4" s="299"/>
      <c r="X4" s="299"/>
      <c r="Y4" s="94"/>
    </row>
    <row r="5" spans="1:26" ht="18" customHeight="1" thickTop="1" thickBot="1" x14ac:dyDescent="0.3">
      <c r="A5" s="93"/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94"/>
      <c r="U5" s="95"/>
      <c r="V5" s="338" t="s">
        <v>165</v>
      </c>
      <c r="W5" s="338"/>
      <c r="X5" s="338"/>
      <c r="Y5" s="96"/>
    </row>
    <row r="6" spans="1:26" ht="18.75" customHeight="1" thickTop="1" thickBot="1" x14ac:dyDescent="0.35">
      <c r="A6" s="97" t="s">
        <v>166</v>
      </c>
      <c r="B6" s="92">
        <v>1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6"/>
      <c r="U6" s="95"/>
      <c r="V6" s="99" t="s">
        <v>166</v>
      </c>
      <c r="W6" s="100" t="s">
        <v>167</v>
      </c>
      <c r="X6" s="299"/>
      <c r="Y6" s="96"/>
    </row>
    <row r="7" spans="1:26" ht="16.5" customHeight="1" thickTop="1" x14ac:dyDescent="0.25">
      <c r="A7" s="343" t="s">
        <v>168</v>
      </c>
      <c r="B7" s="343"/>
      <c r="C7" s="343"/>
      <c r="D7" s="343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94"/>
      <c r="U7" s="95"/>
      <c r="V7" s="101">
        <f>B6</f>
        <v>1</v>
      </c>
      <c r="W7" s="102">
        <f>B73</f>
        <v>5174.3875660722188</v>
      </c>
      <c r="X7" s="98" t="s">
        <v>169</v>
      </c>
      <c r="Y7" s="96"/>
      <c r="Z7" s="3">
        <f>0.7*W7</f>
        <v>3622.0712962505527</v>
      </c>
    </row>
    <row r="8" spans="1:26" ht="15" customHeight="1" x14ac:dyDescent="0.25">
      <c r="A8" s="95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6"/>
      <c r="U8" s="95"/>
      <c r="V8" s="101">
        <f>B78</f>
        <v>2</v>
      </c>
      <c r="W8" s="102">
        <f>B152</f>
        <v>3766.16942062302</v>
      </c>
      <c r="X8" s="98" t="s">
        <v>169</v>
      </c>
      <c r="Y8" s="96"/>
      <c r="Z8" s="3">
        <f>0.7*W8</f>
        <v>2636.3185944361139</v>
      </c>
    </row>
    <row r="9" spans="1:26" ht="15" customHeight="1" x14ac:dyDescent="0.25">
      <c r="A9" s="103" t="s">
        <v>170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6"/>
      <c r="U9" s="95"/>
      <c r="V9" s="101">
        <f>B158</f>
        <v>3</v>
      </c>
      <c r="W9" s="102" t="e">
        <f>B232</f>
        <v>#N/A</v>
      </c>
      <c r="X9" s="98" t="s">
        <v>169</v>
      </c>
      <c r="Y9" s="96"/>
    </row>
    <row r="10" spans="1:26" ht="15" customHeight="1" x14ac:dyDescent="0.25">
      <c r="A10" s="95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6"/>
      <c r="U10" s="95"/>
      <c r="V10" s="101">
        <f>B237</f>
        <v>4</v>
      </c>
      <c r="W10" s="102" t="e">
        <f>B311</f>
        <v>#N/A</v>
      </c>
      <c r="X10" s="98" t="s">
        <v>169</v>
      </c>
      <c r="Y10" s="96"/>
    </row>
    <row r="11" spans="1:26" ht="15.75" customHeight="1" thickBot="1" x14ac:dyDescent="0.3">
      <c r="A11" s="95"/>
      <c r="B11" s="104" t="s">
        <v>10</v>
      </c>
      <c r="C11" s="104" t="s">
        <v>171</v>
      </c>
      <c r="D11" s="104" t="s">
        <v>172</v>
      </c>
      <c r="E11" s="104" t="s">
        <v>173</v>
      </c>
      <c r="F11" s="104" t="s">
        <v>174</v>
      </c>
      <c r="G11" s="104" t="s">
        <v>16</v>
      </c>
      <c r="H11" s="105" t="s">
        <v>17</v>
      </c>
      <c r="I11" s="105" t="s">
        <v>175</v>
      </c>
      <c r="J11" s="98"/>
      <c r="K11" s="98"/>
      <c r="L11" s="98"/>
      <c r="M11" s="98"/>
      <c r="N11" s="98"/>
      <c r="O11" s="98"/>
      <c r="P11" s="96"/>
      <c r="U11" s="95"/>
      <c r="V11" s="101">
        <f>B316</f>
        <v>5</v>
      </c>
      <c r="W11" s="102" t="e">
        <f>B390</f>
        <v>#N/A</v>
      </c>
      <c r="X11" s="98" t="s">
        <v>169</v>
      </c>
      <c r="Y11" s="96"/>
    </row>
    <row r="12" spans="1:26" ht="16.5" customHeight="1" thickTop="1" thickBot="1" x14ac:dyDescent="0.3">
      <c r="A12" s="95"/>
      <c r="B12" s="106" t="str">
        <f>'Tabula 2zone Ref 1'!J6</f>
        <v>W1</v>
      </c>
      <c r="C12" s="107">
        <f>VLOOKUP(B12,'Tabula 2zone Ref 1'!$J$5:$Q$83,3,0)</f>
        <v>1</v>
      </c>
      <c r="D12" s="107" t="str">
        <f>VLOOKUP(B12,'Tabula 2zone Ref 1'!$J$5:$Q$83,4,0)</f>
        <v>Wall External</v>
      </c>
      <c r="E12" s="107">
        <f>VLOOKUP(B12,'Tabula 2zone Ref 1'!$J$5:$Q$83,5,0)</f>
        <v>17.590457494591035</v>
      </c>
      <c r="F12" s="107" t="str">
        <f>VLOOKUP(B12,'Tabula 2zone Ref 1'!$J$5:$Q$83,6,0)</f>
        <v>front</v>
      </c>
      <c r="G12" s="107">
        <f>VLOOKUP(B12,'Tabula 2zone Ref 1'!$J$5:$Q$83,7,0)</f>
        <v>0.36462385321100915</v>
      </c>
      <c r="H12" s="108">
        <f>VLOOKUP(B12,'Tabula 2zone Ref 1'!$J$5:$Q$83,8,0)</f>
        <v>6.4139003914222572</v>
      </c>
      <c r="I12" s="108">
        <v>1</v>
      </c>
      <c r="J12" s="98"/>
      <c r="K12" s="98"/>
      <c r="L12" s="98"/>
      <c r="M12" s="98"/>
      <c r="N12" s="98"/>
      <c r="O12" s="98"/>
      <c r="P12" s="96"/>
      <c r="U12" s="95"/>
      <c r="V12" s="101">
        <f>6</f>
        <v>6</v>
      </c>
      <c r="W12" s="102" t="e">
        <f>B468</f>
        <v>#N/A</v>
      </c>
      <c r="X12" s="98" t="s">
        <v>169</v>
      </c>
      <c r="Y12" s="96"/>
    </row>
    <row r="13" spans="1:26" ht="16.5" customHeight="1" thickTop="1" thickBot="1" x14ac:dyDescent="0.3">
      <c r="A13" s="95"/>
      <c r="B13" s="106" t="str">
        <f>'Tabula 2zone Ref 1'!J7</f>
        <v>W2</v>
      </c>
      <c r="C13" s="107">
        <f>VLOOKUP(B13,'Tabula 2zone Ref 1'!$J$5:$Q$83,3,0)</f>
        <v>1</v>
      </c>
      <c r="D13" s="107" t="str">
        <f>VLOOKUP(B13,'Tabula 2zone Ref 1'!$J$5:$Q$83,4,0)</f>
        <v>Wall External</v>
      </c>
      <c r="E13" s="107">
        <f>VLOOKUP(B13,'Tabula 2zone Ref 1'!$J$5:$Q$83,5,0)</f>
        <v>30.921227867960802</v>
      </c>
      <c r="F13" s="107" t="str">
        <f>VLOOKUP(B13,'Tabula 2zone Ref 1'!$J$5:$Q$83,6,0)</f>
        <v>right</v>
      </c>
      <c r="G13" s="107">
        <f>VLOOKUP(B13,'Tabula 2zone Ref 1'!$J$5:$Q$83,7,0)</f>
        <v>0.36462385321100915</v>
      </c>
      <c r="H13" s="108">
        <f>VLOOKUP(B13,'Tabula 2zone Ref 1'!$J$5:$Q$83,8,0)</f>
        <v>11.274617251231504</v>
      </c>
      <c r="I13" s="108">
        <v>1</v>
      </c>
      <c r="J13" s="98"/>
      <c r="K13" s="98"/>
      <c r="L13" s="98"/>
      <c r="M13" s="98"/>
      <c r="N13" s="98"/>
      <c r="O13" s="98"/>
      <c r="P13" s="96"/>
      <c r="U13" s="95"/>
      <c r="V13" s="101">
        <v>7</v>
      </c>
      <c r="W13" s="102" t="e">
        <f>B546</f>
        <v>#N/A</v>
      </c>
      <c r="X13" s="98" t="s">
        <v>169</v>
      </c>
      <c r="Y13" s="96"/>
    </row>
    <row r="14" spans="1:26" ht="16.5" customHeight="1" thickTop="1" thickBot="1" x14ac:dyDescent="0.3">
      <c r="A14" s="95"/>
      <c r="B14" s="106" t="str">
        <f>'Tabula 2zone Ref 1'!J8</f>
        <v>W3</v>
      </c>
      <c r="C14" s="107">
        <f>VLOOKUP(B14,'Tabula 2zone Ref 1'!$J$5:$Q$83,3,0)</f>
        <v>1</v>
      </c>
      <c r="D14" s="107" t="str">
        <f>VLOOKUP(B14,'Tabula 2zone Ref 1'!$J$5:$Q$83,4,0)</f>
        <v>Wall External</v>
      </c>
      <c r="E14" s="107">
        <f>VLOOKUP(B14,'Tabula 2zone Ref 1'!$J$5:$Q$83,5,0)</f>
        <v>17.590457494591035</v>
      </c>
      <c r="F14" s="107" t="str">
        <f>VLOOKUP(B14,'Tabula 2zone Ref 1'!$J$5:$Q$83,6,0)</f>
        <v>back</v>
      </c>
      <c r="G14" s="107">
        <f>VLOOKUP(B14,'Tabula 2zone Ref 1'!$J$5:$Q$83,7,0)</f>
        <v>0.36462385321100915</v>
      </c>
      <c r="H14" s="108">
        <f>VLOOKUP(B14,'Tabula 2zone Ref 1'!$J$5:$Q$83,8,0)</f>
        <v>6.4139003914222572</v>
      </c>
      <c r="I14" s="108">
        <v>1</v>
      </c>
      <c r="J14" s="98"/>
      <c r="K14" s="98"/>
      <c r="L14" s="98"/>
      <c r="M14" s="98"/>
      <c r="N14" s="98"/>
      <c r="O14" s="98"/>
      <c r="P14" s="96"/>
      <c r="U14" s="95"/>
      <c r="V14" s="101">
        <v>8</v>
      </c>
      <c r="W14" s="102" t="e">
        <f>B625</f>
        <v>#N/A</v>
      </c>
      <c r="X14" s="98" t="s">
        <v>169</v>
      </c>
      <c r="Y14" s="96"/>
    </row>
    <row r="15" spans="1:26" ht="16.5" customHeight="1" thickTop="1" thickBot="1" x14ac:dyDescent="0.3">
      <c r="A15" s="95"/>
      <c r="B15" s="106" t="str">
        <f>'Tabula 2zone Ref 1'!J9</f>
        <v>W4</v>
      </c>
      <c r="C15" s="107">
        <f>VLOOKUP(B15,'Tabula 2zone Ref 1'!$J$5:$Q$83,3,0)</f>
        <v>1</v>
      </c>
      <c r="D15" s="107" t="str">
        <f>VLOOKUP(B15,'Tabula 2zone Ref 1'!$J$5:$Q$83,4,0)</f>
        <v>Wall External</v>
      </c>
      <c r="E15" s="107">
        <f>VLOOKUP(B15,'Tabula 2zone Ref 1'!$J$5:$Q$83,5,0)</f>
        <v>0</v>
      </c>
      <c r="F15" s="107" t="str">
        <f>VLOOKUP(B15,'Tabula 2zone Ref 1'!$J$5:$Q$83,6,0)</f>
        <v>left</v>
      </c>
      <c r="G15" s="107">
        <f>VLOOKUP(B15,'Tabula 2zone Ref 1'!$J$5:$Q$83,7,0)</f>
        <v>0.36462385321100915</v>
      </c>
      <c r="H15" s="108">
        <f>VLOOKUP(B15,'Tabula 2zone Ref 1'!$J$5:$Q$83,8,0)</f>
        <v>0</v>
      </c>
      <c r="I15" s="108">
        <v>1</v>
      </c>
      <c r="J15" s="98"/>
      <c r="K15" s="98"/>
      <c r="L15" s="98"/>
      <c r="M15" s="98"/>
      <c r="N15" s="98"/>
      <c r="O15" s="98"/>
      <c r="P15" s="96"/>
      <c r="U15" s="95"/>
      <c r="V15" s="101">
        <v>9</v>
      </c>
      <c r="W15" s="102" t="e">
        <f>B704</f>
        <v>#N/A</v>
      </c>
      <c r="X15" s="98" t="s">
        <v>169</v>
      </c>
      <c r="Y15" s="96"/>
    </row>
    <row r="16" spans="1:26" ht="16.5" customHeight="1" thickTop="1" thickBot="1" x14ac:dyDescent="0.3">
      <c r="A16" s="95"/>
      <c r="B16" s="106" t="str">
        <f>'Tabula 2zone Ref 1'!J10</f>
        <v>W5</v>
      </c>
      <c r="C16" s="107">
        <f>VLOOKUP(B16,'Tabula 2zone Ref 1'!$J$5:$Q$83,3,0)</f>
        <v>1</v>
      </c>
      <c r="D16" s="107" t="str">
        <f>VLOOKUP(B16,'Tabula 2zone Ref 1'!$J$5:$Q$83,4,0)</f>
        <v>Window</v>
      </c>
      <c r="E16" s="107">
        <f>VLOOKUP(B16,'Tabula 2zone Ref 1'!$J$5:$Q$83,5,0)</f>
        <v>4.05</v>
      </c>
      <c r="F16" s="107" t="str">
        <f>VLOOKUP(B16,'Tabula 2zone Ref 1'!$J$5:$Q$83,6,0)</f>
        <v>front</v>
      </c>
      <c r="G16" s="107">
        <f>VLOOKUP(B16,'Tabula 2zone Ref 1'!$J$5:$Q$83,7,0)</f>
        <v>2</v>
      </c>
      <c r="H16" s="108">
        <f>VLOOKUP(B16,'Tabula 2zone Ref 1'!$J$5:$Q$83,8,0)</f>
        <v>8.1</v>
      </c>
      <c r="I16" s="108">
        <v>1</v>
      </c>
      <c r="J16" s="98"/>
      <c r="K16" s="98"/>
      <c r="L16" s="98"/>
      <c r="M16" s="98"/>
      <c r="N16" s="98"/>
      <c r="O16" s="98"/>
      <c r="P16" s="96"/>
      <c r="U16" s="95"/>
      <c r="V16" s="101">
        <v>10</v>
      </c>
      <c r="W16" s="102" t="e">
        <f>B783</f>
        <v>#N/A</v>
      </c>
      <c r="X16" s="98" t="s">
        <v>169</v>
      </c>
      <c r="Y16" s="96"/>
    </row>
    <row r="17" spans="1:25" ht="16.5" customHeight="1" thickTop="1" thickBot="1" x14ac:dyDescent="0.3">
      <c r="A17" s="95"/>
      <c r="B17" s="106" t="str">
        <f>'Tabula 2zone Ref 1'!J11</f>
        <v>W6</v>
      </c>
      <c r="C17" s="107">
        <f>VLOOKUP(B17,'Tabula 2zone Ref 1'!$J$5:$Q$83,3,0)</f>
        <v>1</v>
      </c>
      <c r="D17" s="107" t="str">
        <f>VLOOKUP(B17,'Tabula 2zone Ref 1'!$J$5:$Q$83,4,0)</f>
        <v>Window</v>
      </c>
      <c r="E17" s="107">
        <f>VLOOKUP(B17,'Tabula 2zone Ref 1'!$J$5:$Q$83,5,0)</f>
        <v>3.45</v>
      </c>
      <c r="F17" s="107" t="str">
        <f>VLOOKUP(B17,'Tabula 2zone Ref 1'!$J$5:$Q$83,6,0)</f>
        <v>right</v>
      </c>
      <c r="G17" s="107">
        <f>VLOOKUP(B17,'Tabula 2zone Ref 1'!$J$5:$Q$83,7,0)</f>
        <v>2</v>
      </c>
      <c r="H17" s="108">
        <f>VLOOKUP(B17,'Tabula 2zone Ref 1'!$J$5:$Q$83,8,0)</f>
        <v>6.9</v>
      </c>
      <c r="I17" s="108">
        <v>1</v>
      </c>
      <c r="J17" s="98"/>
      <c r="K17" s="98"/>
      <c r="L17" s="98"/>
      <c r="M17" s="98"/>
      <c r="N17" s="98"/>
      <c r="O17" s="98"/>
      <c r="P17" s="96"/>
      <c r="U17" s="95"/>
      <c r="V17" s="101"/>
      <c r="W17" s="102"/>
      <c r="X17" s="98"/>
      <c r="Y17" s="96"/>
    </row>
    <row r="18" spans="1:25" ht="16.5" customHeight="1" thickTop="1" thickBot="1" x14ac:dyDescent="0.3">
      <c r="A18" s="95"/>
      <c r="B18" s="106" t="str">
        <f>'Tabula 2zone Ref 1'!J12</f>
        <v>W7</v>
      </c>
      <c r="C18" s="107">
        <f>VLOOKUP(B18,'Tabula 2zone Ref 1'!$J$5:$Q$83,3,0)</f>
        <v>1</v>
      </c>
      <c r="D18" s="107" t="str">
        <f>VLOOKUP(B18,'Tabula 2zone Ref 1'!$J$5:$Q$83,4,0)</f>
        <v>Window</v>
      </c>
      <c r="E18" s="107">
        <f>VLOOKUP(B18,'Tabula 2zone Ref 1'!$J$5:$Q$83,5,0)</f>
        <v>4.5</v>
      </c>
      <c r="F18" s="107" t="str">
        <f>VLOOKUP(B18,'Tabula 2zone Ref 1'!$J$5:$Q$83,6,0)</f>
        <v>back</v>
      </c>
      <c r="G18" s="107">
        <f>VLOOKUP(B18,'Tabula 2zone Ref 1'!$J$5:$Q$83,7,0)</f>
        <v>2</v>
      </c>
      <c r="H18" s="108">
        <f>VLOOKUP(B18,'Tabula 2zone Ref 1'!$J$5:$Q$83,8,0)</f>
        <v>9</v>
      </c>
      <c r="I18" s="108">
        <v>1</v>
      </c>
      <c r="J18" s="98"/>
      <c r="K18" s="98"/>
      <c r="L18" s="98"/>
      <c r="M18" s="98"/>
      <c r="N18" s="98"/>
      <c r="O18" s="98"/>
      <c r="P18" s="96"/>
      <c r="U18" s="95"/>
      <c r="V18" s="99" t="s">
        <v>176</v>
      </c>
      <c r="W18" s="100" t="e">
        <f>SUM(W7:W16)</f>
        <v>#N/A</v>
      </c>
      <c r="X18" s="299" t="s">
        <v>169</v>
      </c>
      <c r="Y18" s="96"/>
    </row>
    <row r="19" spans="1:25" ht="16.5" customHeight="1" thickTop="1" thickBot="1" x14ac:dyDescent="0.3">
      <c r="A19" s="95"/>
      <c r="B19" s="106" t="str">
        <f>'Tabula 2zone Ref 1'!J13</f>
        <v>W8</v>
      </c>
      <c r="C19" s="107">
        <f>VLOOKUP(B19,'Tabula 2zone Ref 1'!$J$5:$Q$83,3,0)</f>
        <v>1</v>
      </c>
      <c r="D19" s="107" t="str">
        <f>VLOOKUP(B19,'Tabula 2zone Ref 1'!$J$5:$Q$83,4,0)</f>
        <v>Window</v>
      </c>
      <c r="E19" s="107">
        <f>VLOOKUP(B19,'Tabula 2zone Ref 1'!$J$5:$Q$83,5,0)</f>
        <v>5.05</v>
      </c>
      <c r="F19" s="107" t="str">
        <f>VLOOKUP(B19,'Tabula 2zone Ref 1'!$J$5:$Q$83,6,0)</f>
        <v>left</v>
      </c>
      <c r="G19" s="107">
        <f>VLOOKUP(B19,'Tabula 2zone Ref 1'!$J$5:$Q$83,7,0)</f>
        <v>2</v>
      </c>
      <c r="H19" s="108">
        <f>VLOOKUP(B19,'Tabula 2zone Ref 1'!$J$5:$Q$83,8,0)</f>
        <v>10.1</v>
      </c>
      <c r="I19" s="108">
        <v>1</v>
      </c>
      <c r="J19" s="98"/>
      <c r="K19" s="98"/>
      <c r="L19" s="98"/>
      <c r="M19" s="98"/>
      <c r="N19" s="98"/>
      <c r="O19" s="98"/>
      <c r="P19" s="96"/>
      <c r="U19" s="109"/>
      <c r="V19" s="110"/>
      <c r="W19" s="110"/>
      <c r="X19" s="110"/>
      <c r="Y19" s="111"/>
    </row>
    <row r="20" spans="1:25" ht="16.5" customHeight="1" thickTop="1" thickBot="1" x14ac:dyDescent="0.3">
      <c r="A20" s="95"/>
      <c r="B20" s="106"/>
      <c r="C20" s="107"/>
      <c r="D20" s="107"/>
      <c r="E20" s="107"/>
      <c r="F20" s="107"/>
      <c r="G20" s="107"/>
      <c r="H20" s="108"/>
      <c r="I20" s="108"/>
      <c r="J20" s="98"/>
      <c r="K20" s="98"/>
      <c r="L20" s="98"/>
      <c r="M20" s="98"/>
      <c r="N20" s="98"/>
      <c r="O20" s="98"/>
      <c r="P20" s="96"/>
      <c r="U20" s="98"/>
      <c r="V20" s="98"/>
      <c r="W20" s="98"/>
      <c r="X20" s="98"/>
      <c r="Y20" s="98"/>
    </row>
    <row r="21" spans="1:25" ht="16.5" customHeight="1" thickTop="1" thickBot="1" x14ac:dyDescent="0.3">
      <c r="A21" s="95"/>
      <c r="B21" s="106" t="str">
        <f>'Gebouwgegevens Allacker'!J15</f>
        <v>W10</v>
      </c>
      <c r="C21" s="107">
        <f>VLOOKUP(B21,'Tabula 2zone Ref 1'!$J$5:$Q$83,3,0)</f>
        <v>1</v>
      </c>
      <c r="D21" s="107" t="str">
        <f>VLOOKUP(B21,'Tabula 2zone Ref 1'!$J$5:$Q$83,4,0)</f>
        <v>Roof</v>
      </c>
      <c r="E21" s="107">
        <f>VLOOKUP(B21,'Tabula 2zone Ref 1'!$J$5:$Q$83,5,0)</f>
        <v>0</v>
      </c>
      <c r="F21" s="107">
        <f>VLOOKUP(B21,'Tabula 2zone Ref 1'!$J$5:$Q$83,6,0)</f>
        <v>0</v>
      </c>
      <c r="G21" s="107">
        <f>VLOOKUP(B21,'Tabula 2zone Ref 1'!$J$5:$Q$83,7,0)</f>
        <v>0.27062537995411134</v>
      </c>
      <c r="H21" s="108">
        <f>VLOOKUP(B21,'Tabula 2zone Ref 1'!$J$5:$Q$83,8,0)</f>
        <v>0</v>
      </c>
      <c r="I21" s="108">
        <v>1</v>
      </c>
      <c r="J21" s="98"/>
      <c r="K21" s="98"/>
      <c r="L21" s="98"/>
      <c r="M21" s="98"/>
      <c r="N21" s="98"/>
      <c r="O21" s="98"/>
      <c r="P21" s="96"/>
      <c r="U21" s="98"/>
      <c r="V21" s="98" t="s">
        <v>266</v>
      </c>
      <c r="W21" s="98">
        <f>1.1*W7</f>
        <v>5691.8263226794415</v>
      </c>
      <c r="X21" s="98"/>
      <c r="Y21" s="98"/>
    </row>
    <row r="22" spans="1:25" ht="16.5" customHeight="1" thickTop="1" thickBot="1" x14ac:dyDescent="0.3">
      <c r="A22" s="95"/>
      <c r="B22" s="106" t="s">
        <v>67</v>
      </c>
      <c r="C22" s="107">
        <f>VLOOKUP(B22,'Tabula 2zone Ref 1'!$J$5:$Q$83,3,0)</f>
        <v>1</v>
      </c>
      <c r="D22" s="107" t="str">
        <f>VLOOKUP(B22,'Tabula 2zone Ref 1'!$J$5:$Q$83,4,0)</f>
        <v>Door</v>
      </c>
      <c r="E22" s="107">
        <f>VLOOKUP(B22,'Tabula 2zone Ref 1'!$J$5:$Q$83,5,0)</f>
        <v>9.5</v>
      </c>
      <c r="F22" s="107">
        <f>VLOOKUP(B22,'Tabula 2zone Ref 1'!$J$5:$Q$83,6,0)</f>
        <v>0</v>
      </c>
      <c r="G22" s="107">
        <f>VLOOKUP(B22,'Tabula 2zone Ref 1'!$J$5:$Q$83,7,0)</f>
        <v>3.5</v>
      </c>
      <c r="H22" s="108">
        <f>VLOOKUP(B22,'Tabula 2zone Ref 1'!$J$5:$Q$83,8,0)</f>
        <v>33.25</v>
      </c>
      <c r="I22" s="108">
        <v>1</v>
      </c>
      <c r="J22" s="98"/>
      <c r="K22" s="98"/>
      <c r="L22" s="98"/>
      <c r="M22" s="98"/>
      <c r="N22" s="98"/>
      <c r="O22" s="98"/>
      <c r="P22" s="96"/>
      <c r="U22" s="98"/>
      <c r="V22" s="98"/>
      <c r="W22" s="98"/>
      <c r="X22" s="98"/>
      <c r="Y22" s="98"/>
    </row>
    <row r="23" spans="1:25" ht="16.5" customHeight="1" thickTop="1" thickBot="1" x14ac:dyDescent="0.3">
      <c r="A23" s="95"/>
      <c r="B23" s="106"/>
      <c r="C23" s="107"/>
      <c r="D23" s="107"/>
      <c r="E23" s="107"/>
      <c r="F23" s="107"/>
      <c r="G23" s="107"/>
      <c r="H23" s="108"/>
      <c r="I23" s="108"/>
      <c r="J23" s="98"/>
      <c r="K23" s="98"/>
      <c r="L23" s="98"/>
      <c r="M23" s="98"/>
      <c r="N23" s="98"/>
      <c r="O23" s="98"/>
      <c r="P23" s="96"/>
      <c r="U23" s="98"/>
      <c r="V23" s="98"/>
      <c r="W23" s="98"/>
      <c r="X23" s="98"/>
      <c r="Y23" s="98"/>
    </row>
    <row r="24" spans="1:25" ht="15.75" customHeight="1" thickTop="1" x14ac:dyDescent="0.25">
      <c r="A24" s="95"/>
      <c r="B24" s="112"/>
      <c r="C24" s="113"/>
      <c r="D24" s="113"/>
      <c r="E24" s="113"/>
      <c r="F24" s="113"/>
      <c r="G24" s="113"/>
      <c r="H24" s="108"/>
      <c r="I24" s="108"/>
      <c r="J24" s="98"/>
      <c r="K24" s="98"/>
      <c r="L24" s="98"/>
      <c r="M24" s="98"/>
      <c r="N24" s="98"/>
      <c r="O24" s="98"/>
      <c r="P24" s="96"/>
      <c r="U24" s="98"/>
      <c r="V24" s="98"/>
      <c r="W24" s="98"/>
      <c r="X24" s="98"/>
      <c r="Y24" s="98"/>
    </row>
    <row r="25" spans="1:25" ht="15" customHeight="1" x14ac:dyDescent="0.25">
      <c r="A25" s="95"/>
      <c r="B25" s="112"/>
      <c r="C25" s="113"/>
      <c r="D25" s="113"/>
      <c r="E25" s="113"/>
      <c r="F25" s="113"/>
      <c r="G25" s="113"/>
      <c r="H25" s="108"/>
      <c r="I25" s="108"/>
      <c r="J25" s="98"/>
      <c r="K25" s="98"/>
      <c r="L25" s="98"/>
      <c r="M25" s="98"/>
      <c r="N25" s="98"/>
      <c r="O25" s="98"/>
      <c r="P25" s="96"/>
      <c r="U25" s="98"/>
      <c r="V25" s="98"/>
      <c r="W25" s="98"/>
      <c r="X25" s="98"/>
      <c r="Y25" s="98"/>
    </row>
    <row r="26" spans="1:25" ht="15" customHeight="1" x14ac:dyDescent="0.25">
      <c r="A26" s="103" t="s">
        <v>177</v>
      </c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6"/>
    </row>
    <row r="27" spans="1:25" ht="15.75" customHeight="1" x14ac:dyDescent="0.25">
      <c r="A27" s="95"/>
      <c r="B27" s="58" t="s">
        <v>10</v>
      </c>
      <c r="C27" s="58" t="s">
        <v>178</v>
      </c>
      <c r="D27" s="58" t="s">
        <v>172</v>
      </c>
      <c r="E27" s="58" t="s">
        <v>179</v>
      </c>
      <c r="F27" s="58" t="s">
        <v>16</v>
      </c>
      <c r="G27" s="114" t="s">
        <v>17</v>
      </c>
      <c r="H27" s="114" t="s">
        <v>175</v>
      </c>
      <c r="I27" s="58" t="s">
        <v>180</v>
      </c>
      <c r="J27" s="58" t="s">
        <v>181</v>
      </c>
      <c r="K27" s="58" t="s">
        <v>182</v>
      </c>
      <c r="L27" s="115" t="s">
        <v>183</v>
      </c>
      <c r="M27" s="115" t="s">
        <v>184</v>
      </c>
      <c r="N27" s="115" t="s">
        <v>185</v>
      </c>
      <c r="O27" s="98"/>
      <c r="P27" s="96"/>
    </row>
    <row r="28" spans="1:25" ht="16.5" customHeight="1" thickBot="1" x14ac:dyDescent="0.3">
      <c r="A28" s="95"/>
      <c r="B28" s="116" t="s">
        <v>61</v>
      </c>
      <c r="C28" s="117">
        <f>VLOOKUP(B28,'Tabula 2zone Ref 1'!$J$5:$Q$83,3,0)</f>
        <v>1</v>
      </c>
      <c r="D28" s="117" t="str">
        <f>VLOOKUP(B28,'Tabula 2zone Ref 1'!$J$5:$Q$83,4,0)</f>
        <v>Floor</v>
      </c>
      <c r="E28" s="117">
        <f>VLOOKUP(B28,'Tabula 2zone Ref 1'!$J$5:$Q$83,5,0)</f>
        <v>103.4</v>
      </c>
      <c r="F28" s="117">
        <f>VLOOKUP(B28,'Tabula 2zone Ref 1'!$J$5:$Q$83,7,0)</f>
        <v>0.28445648493057907</v>
      </c>
      <c r="G28" s="118">
        <f>VLOOKUP(B28,'Tabula 2zone Ref 1'!$J$5:$Q$83,8,0)</f>
        <v>29.412800541821877</v>
      </c>
      <c r="H28" s="118">
        <f>N28/F28*1.45*(G34-12)/(G34+8)</f>
        <v>0.33114633035368635</v>
      </c>
      <c r="I28" s="117">
        <f>'Tabula 2zone Ref 1'!N14</f>
        <v>103.4</v>
      </c>
      <c r="J28" s="116">
        <f>SQRT(I28)*4</f>
        <v>40.67431622043572</v>
      </c>
      <c r="K28" s="116">
        <f>SUM('Tabula 2zone Ref 1'!Y17:Y19)</f>
        <v>0.19999999999999998</v>
      </c>
      <c r="L28" s="119">
        <f>I28/(0.5*J28)</f>
        <v>5.0842895275544642</v>
      </c>
      <c r="M28" s="119">
        <f>K28+2*(1/F28)</f>
        <v>7.230952380952381</v>
      </c>
      <c r="N28" s="120">
        <f>IF(M28&lt;L28,2*2/(PI()*L28+M28)*LN(PI()*L28/M28+1),2/(0.457*L28+M28))</f>
        <v>0.20932604695571097</v>
      </c>
      <c r="O28" s="98"/>
      <c r="P28" s="96"/>
    </row>
    <row r="29" spans="1:25" ht="15.75" customHeight="1" thickTop="1" x14ac:dyDescent="0.25">
      <c r="A29" s="95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8"/>
      <c r="P29" s="96"/>
    </row>
    <row r="30" spans="1:25" ht="15" customHeight="1" x14ac:dyDescent="0.25">
      <c r="A30" s="95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6"/>
    </row>
    <row r="31" spans="1:25" ht="15" customHeight="1" x14ac:dyDescent="0.25">
      <c r="A31" s="103" t="s">
        <v>186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6"/>
      <c r="V31" s="3" t="e">
        <f>1.1*W18</f>
        <v>#N/A</v>
      </c>
    </row>
    <row r="32" spans="1:25" ht="15.75" customHeight="1" thickBot="1" x14ac:dyDescent="0.3">
      <c r="A32" s="95"/>
      <c r="B32" s="58" t="s">
        <v>10</v>
      </c>
      <c r="C32" s="58" t="s">
        <v>187</v>
      </c>
      <c r="D32" s="58" t="s">
        <v>188</v>
      </c>
      <c r="E32" s="58" t="s">
        <v>135</v>
      </c>
      <c r="F32" s="58" t="s">
        <v>189</v>
      </c>
      <c r="G32" s="58" t="s">
        <v>190</v>
      </c>
      <c r="H32" s="58" t="s">
        <v>191</v>
      </c>
      <c r="I32" s="58" t="s">
        <v>16</v>
      </c>
      <c r="J32" s="114" t="s">
        <v>17</v>
      </c>
      <c r="K32" s="114" t="s">
        <v>175</v>
      </c>
      <c r="L32" s="98"/>
      <c r="M32" s="98"/>
      <c r="N32" s="98"/>
      <c r="O32" s="98"/>
      <c r="P32" s="96"/>
    </row>
    <row r="33" spans="1:16" ht="16.5" customHeight="1" thickTop="1" thickBot="1" x14ac:dyDescent="0.3">
      <c r="A33" s="95"/>
      <c r="B33" s="121" t="s">
        <v>98</v>
      </c>
      <c r="C33" s="122">
        <f>IF(VLOOKUP(B33,'Tabula 2zone Ref 1'!$J$5:$Q$83,2,0)=B$6,VLOOKUP(B33,'Tabula 2zone Ref 1'!$J$5:$Q$83,2,0),VLOOKUP(B33,'Tabula 2zone Ref 1'!$J$5:$Q$83,3,0))</f>
        <v>1</v>
      </c>
      <c r="D33" s="122">
        <f>IF(VLOOKUP(B33,'Tabula 2zone Ref 1'!$J$5:$Q$83,2,0)=B$6,VLOOKUP(B33,'Tabula 2zone Ref 1'!$J$5:$Q$83,3,0),VLOOKUP(B33,'Tabula 2zone Ref 1'!$J$5:$Q$83,2,0))</f>
        <v>2</v>
      </c>
      <c r="E33" s="122" t="str">
        <f>VLOOKUP(B33,'Tabula 2zone Ref 1'!$J$5:$Q$83,4,0)</f>
        <v>Floor internal</v>
      </c>
      <c r="F33" s="122">
        <f>VLOOKUP(B33,'Tabula 2zone Ref 1'!$J$5:$Q$83,5,0)</f>
        <v>89.300000000000011</v>
      </c>
      <c r="G33" s="122">
        <f>VLOOKUP('Verwarming Tabula 2zone Ref 1'!C33,'Tabula 2zone Ref 1'!$A$34:$F$45,5,0)</f>
        <v>21</v>
      </c>
      <c r="H33" s="122">
        <f>VLOOKUP('Verwarming Tabula 2zone Ref 1'!D33,'Tabula 2zone Ref 1'!$A$34:$F$45,5,0)</f>
        <v>18</v>
      </c>
      <c r="I33" s="122">
        <f>VLOOKUP(B33,'Tabula 2zone Ref 1'!$J$5:$Q$83,7,0)</f>
        <v>1.4549653579676673</v>
      </c>
      <c r="J33" s="118">
        <f>VLOOKUP(B33,'Tabula 2zone Ref 1'!$J$5:$Q$83,8,0)</f>
        <v>129.92840646651271</v>
      </c>
      <c r="K33" s="118">
        <f>(G33-H33)/(G33-$B$4)</f>
        <v>0.10344827586206896</v>
      </c>
      <c r="L33" s="98"/>
      <c r="M33" s="98"/>
      <c r="N33" s="98"/>
      <c r="O33" s="98"/>
      <c r="P33" s="96"/>
    </row>
    <row r="34" spans="1:16" ht="16.5" customHeight="1" thickTop="1" thickBot="1" x14ac:dyDescent="0.3">
      <c r="A34" s="95"/>
      <c r="B34" s="121" t="s">
        <v>101</v>
      </c>
      <c r="C34" s="122">
        <f>IF(VLOOKUP(B34,'Tabula 2zone Ref 1'!$J$5:$Q$83,2,0)=B$6,VLOOKUP(B34,'Tabula 2zone Ref 1'!$J$5:$Q$83,2,0),VLOOKUP(B34,'Tabula 2zone Ref 1'!$J$5:$Q$83,3,0))</f>
        <v>1</v>
      </c>
      <c r="D34" s="122">
        <f>IF(VLOOKUP(B34,'Tabula 2zone Ref 1'!$J$5:$Q$83,2,0)=B$6,VLOOKUP(B34,'Tabula 2zone Ref 1'!$J$5:$Q$83,3,0),VLOOKUP(B34,'Tabula 2zone Ref 1'!$J$5:$Q$83,2,0))</f>
        <v>1</v>
      </c>
      <c r="E34" s="122" t="str">
        <f>VLOOKUP(B34,'Tabula 2zone Ref 1'!$J$5:$Q$83,4,0)</f>
        <v>Wall internal</v>
      </c>
      <c r="F34" s="122">
        <f>VLOOKUP(B34,'Tabula 2zone Ref 1'!$J$5:$Q$83,5,0)</f>
        <v>66.102142857142866</v>
      </c>
      <c r="G34" s="122">
        <f>VLOOKUP('Verwarming Tabula 2zone Ref 1'!C34,'Tabula 2zone Ref 1'!$A$34:$F$45,5,0)</f>
        <v>21</v>
      </c>
      <c r="H34" s="122">
        <f>VLOOKUP('Verwarming Tabula 2zone Ref 1'!D34,'Tabula 2zone Ref 1'!$A$34:$F$45,5,0)</f>
        <v>21</v>
      </c>
      <c r="I34" s="122">
        <f>VLOOKUP(B34,'Tabula 2zone Ref 1'!$J$5:$Q$83,7,0)</f>
        <v>1.7363344051446945</v>
      </c>
      <c r="J34" s="118">
        <f>VLOOKUP(B34,'Tabula 2zone Ref 1'!$J$5:$Q$83,8,0)</f>
        <v>114.77542489664677</v>
      </c>
      <c r="K34" s="118">
        <f>(G34-H34)/(G34-$B$4)</f>
        <v>0</v>
      </c>
      <c r="L34" s="98"/>
      <c r="M34" s="98"/>
      <c r="N34" s="98"/>
      <c r="O34" s="98"/>
      <c r="P34" s="96"/>
    </row>
    <row r="35" spans="1:16" ht="16.5" customHeight="1" thickTop="1" thickBot="1" x14ac:dyDescent="0.3">
      <c r="A35" s="95"/>
      <c r="B35" s="121"/>
      <c r="C35" s="122"/>
      <c r="D35" s="122"/>
      <c r="E35" s="122"/>
      <c r="F35" s="122"/>
      <c r="G35" s="122"/>
      <c r="H35" s="122"/>
      <c r="I35" s="122"/>
      <c r="J35" s="118"/>
      <c r="K35" s="118"/>
      <c r="L35" s="98"/>
      <c r="M35" s="98"/>
      <c r="N35" s="98"/>
      <c r="O35" s="98"/>
      <c r="P35" s="96"/>
    </row>
    <row r="36" spans="1:16" ht="16.5" customHeight="1" thickTop="1" thickBot="1" x14ac:dyDescent="0.3">
      <c r="A36" s="95"/>
      <c r="B36" s="92"/>
      <c r="C36" s="122"/>
      <c r="D36" s="122"/>
      <c r="E36" s="122"/>
      <c r="F36" s="122"/>
      <c r="G36" s="122"/>
      <c r="H36" s="122"/>
      <c r="I36" s="122"/>
      <c r="J36" s="118"/>
      <c r="K36" s="118"/>
      <c r="L36" s="98"/>
      <c r="M36" s="98"/>
      <c r="N36" s="98"/>
      <c r="O36" s="98"/>
      <c r="P36" s="96"/>
    </row>
    <row r="37" spans="1:16" ht="16.5" customHeight="1" thickTop="1" thickBot="1" x14ac:dyDescent="0.3">
      <c r="A37" s="95"/>
      <c r="B37" s="123"/>
      <c r="C37" s="122"/>
      <c r="D37" s="122"/>
      <c r="E37" s="122"/>
      <c r="F37" s="122"/>
      <c r="G37" s="122"/>
      <c r="H37" s="122"/>
      <c r="I37" s="122"/>
      <c r="J37" s="118"/>
      <c r="K37" s="118"/>
      <c r="L37" s="98"/>
      <c r="M37" s="98"/>
      <c r="N37" s="98"/>
      <c r="O37" s="98"/>
      <c r="P37" s="96"/>
    </row>
    <row r="38" spans="1:16" ht="16.5" customHeight="1" thickTop="1" thickBot="1" x14ac:dyDescent="0.3">
      <c r="A38" s="95"/>
      <c r="B38" s="123"/>
      <c r="C38" s="122"/>
      <c r="D38" s="122"/>
      <c r="E38" s="122"/>
      <c r="F38" s="122"/>
      <c r="G38" s="122"/>
      <c r="H38" s="122"/>
      <c r="I38" s="122"/>
      <c r="J38" s="118"/>
      <c r="K38" s="118"/>
      <c r="L38" s="98"/>
      <c r="M38" s="98"/>
      <c r="N38" s="98"/>
      <c r="O38" s="98"/>
      <c r="P38" s="96"/>
    </row>
    <row r="39" spans="1:16" ht="15.75" customHeight="1" thickTop="1" x14ac:dyDescent="0.25">
      <c r="A39" s="95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8"/>
      <c r="M39" s="98"/>
      <c r="N39" s="98"/>
      <c r="O39" s="98"/>
      <c r="P39" s="96"/>
    </row>
    <row r="40" spans="1:16" ht="15" customHeight="1" x14ac:dyDescent="0.25">
      <c r="A40" s="95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6"/>
    </row>
    <row r="41" spans="1:16" ht="15.75" customHeight="1" x14ac:dyDescent="0.25">
      <c r="A41" s="103" t="s">
        <v>192</v>
      </c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6"/>
    </row>
    <row r="42" spans="1:16" ht="16.5" customHeight="1" x14ac:dyDescent="0.25">
      <c r="A42" s="124" t="s">
        <v>193</v>
      </c>
      <c r="B42" s="118">
        <f>SUMPRODUCT(H12:H22,I12:I22)+SUMPRODUCT(G28,H28)+SUMPRODUCT(J33:J38,K33:K38)</f>
        <v>114.63322863339208</v>
      </c>
      <c r="C42" s="118" t="s">
        <v>107</v>
      </c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6"/>
    </row>
    <row r="43" spans="1:16" ht="16.5" customHeight="1" x14ac:dyDescent="0.25">
      <c r="A43" s="124" t="s">
        <v>167</v>
      </c>
      <c r="B43" s="118">
        <f>B42*(G33-$B$4)</f>
        <v>3324.3636303683702</v>
      </c>
      <c r="C43" s="118" t="s">
        <v>169</v>
      </c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6"/>
    </row>
    <row r="44" spans="1:16" ht="15.75" customHeight="1" thickBot="1" x14ac:dyDescent="0.3">
      <c r="A44" s="109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1"/>
    </row>
    <row r="45" spans="1:16" ht="15.75" customHeight="1" thickTop="1" x14ac:dyDescent="0.25">
      <c r="A45" s="343" t="s">
        <v>194</v>
      </c>
      <c r="B45" s="343"/>
      <c r="C45" s="343"/>
      <c r="D45" s="125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299"/>
      <c r="P45" s="94"/>
    </row>
    <row r="46" spans="1:16" ht="15" customHeight="1" x14ac:dyDescent="0.25">
      <c r="A46" s="95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6"/>
    </row>
    <row r="47" spans="1:16" ht="15" customHeight="1" thickBot="1" x14ac:dyDescent="0.3">
      <c r="A47" s="126" t="s">
        <v>195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6"/>
    </row>
    <row r="48" spans="1:16" ht="15" customHeight="1" thickTop="1" thickBot="1" x14ac:dyDescent="0.3">
      <c r="A48" s="127" t="s">
        <v>196</v>
      </c>
      <c r="B48" s="121">
        <f>'Tabula data'!E34</f>
        <v>3.9941548952752073</v>
      </c>
      <c r="C48" s="120" t="s">
        <v>197</v>
      </c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6"/>
    </row>
    <row r="49" spans="1:16" ht="15" customHeight="1" thickTop="1" thickBot="1" x14ac:dyDescent="0.3">
      <c r="A49" s="127" t="s">
        <v>198</v>
      </c>
      <c r="B49" s="121">
        <v>0.03</v>
      </c>
      <c r="C49" s="120" t="s">
        <v>199</v>
      </c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6"/>
    </row>
    <row r="50" spans="1:16" ht="15.75" customHeight="1" thickTop="1" thickBot="1" x14ac:dyDescent="0.3">
      <c r="A50" s="127" t="s">
        <v>200</v>
      </c>
      <c r="B50" s="121">
        <v>1</v>
      </c>
      <c r="C50" s="120" t="s">
        <v>201</v>
      </c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6"/>
    </row>
    <row r="51" spans="1:16" ht="16.5" customHeight="1" thickTop="1" x14ac:dyDescent="0.25">
      <c r="A51" s="124" t="s">
        <v>202</v>
      </c>
      <c r="B51" s="118">
        <f>VLOOKUP(B6,'Tabula 2zone Ref 1'!$A$34:$F$45,2,0)*B48/20</f>
        <v>72.274232830004877</v>
      </c>
      <c r="C51" s="118" t="s">
        <v>203</v>
      </c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6"/>
    </row>
    <row r="52" spans="1:16" ht="15.75" customHeight="1" x14ac:dyDescent="0.25">
      <c r="A52" s="95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6"/>
    </row>
    <row r="53" spans="1:16" ht="15" customHeight="1" x14ac:dyDescent="0.25">
      <c r="A53" s="126" t="s">
        <v>204</v>
      </c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6"/>
    </row>
    <row r="54" spans="1:16" ht="15.75" customHeight="1" x14ac:dyDescent="0.25">
      <c r="A54" s="95" t="s">
        <v>180</v>
      </c>
      <c r="B54" s="98">
        <f>'Tabula 2zone Ref 1'!G34</f>
        <v>103.4</v>
      </c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6"/>
    </row>
    <row r="55" spans="1:16" ht="16.5" customHeight="1" x14ac:dyDescent="0.25">
      <c r="A55" s="124" t="s">
        <v>205</v>
      </c>
      <c r="B55" s="128">
        <v>0</v>
      </c>
      <c r="C55" s="118" t="s">
        <v>203</v>
      </c>
      <c r="D55" s="98"/>
      <c r="E55" s="98" t="s">
        <v>206</v>
      </c>
      <c r="F55" s="98">
        <v>0</v>
      </c>
      <c r="G55" s="98"/>
      <c r="H55" s="98"/>
      <c r="I55" s="98"/>
      <c r="J55" s="98"/>
      <c r="K55" s="98"/>
      <c r="L55" s="98"/>
      <c r="M55" s="98"/>
      <c r="N55" s="98"/>
      <c r="O55" s="98"/>
      <c r="P55" s="96"/>
    </row>
    <row r="56" spans="1:16" ht="15.75" customHeight="1" x14ac:dyDescent="0.25">
      <c r="A56" s="95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6"/>
    </row>
    <row r="57" spans="1:16" ht="15.75" customHeight="1" x14ac:dyDescent="0.25">
      <c r="A57" s="95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6"/>
    </row>
    <row r="58" spans="1:16" ht="16.5" customHeight="1" x14ac:dyDescent="0.25">
      <c r="A58" s="124" t="s">
        <v>207</v>
      </c>
      <c r="B58" s="118">
        <f>B51+B55</f>
        <v>72.274232830004877</v>
      </c>
      <c r="C58" s="118" t="s">
        <v>203</v>
      </c>
      <c r="D58" s="98"/>
      <c r="E58" s="98"/>
      <c r="F58" s="118" t="s">
        <v>208</v>
      </c>
      <c r="G58" s="118">
        <f>B58/VLOOKUP(B6,'Gebouwgegevens Allacker'!$A$35:$B$46,2,0)</f>
        <v>0.34827263051630614</v>
      </c>
      <c r="H58" s="98"/>
      <c r="I58" s="98"/>
      <c r="J58" s="98"/>
      <c r="K58" s="98"/>
      <c r="L58" s="98"/>
      <c r="M58" s="98"/>
      <c r="N58" s="98"/>
      <c r="O58" s="98"/>
      <c r="P58" s="96"/>
    </row>
    <row r="59" spans="1:16" ht="16.5" customHeight="1" x14ac:dyDescent="0.25">
      <c r="A59" s="95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6"/>
    </row>
    <row r="60" spans="1:16" ht="16.5" customHeight="1" x14ac:dyDescent="0.25">
      <c r="A60" s="124" t="s">
        <v>209</v>
      </c>
      <c r="B60" s="118">
        <f>0.34*B58</f>
        <v>24.573239162201659</v>
      </c>
      <c r="C60" s="118" t="s">
        <v>107</v>
      </c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6"/>
    </row>
    <row r="61" spans="1:16" ht="16.5" customHeight="1" x14ac:dyDescent="0.25">
      <c r="A61" s="124" t="s">
        <v>167</v>
      </c>
      <c r="B61" s="118">
        <f>B60*('Gebouwgegevens Tabula'!E35-$B$4)</f>
        <v>712.62393570384813</v>
      </c>
      <c r="C61" s="118" t="s">
        <v>169</v>
      </c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6"/>
    </row>
    <row r="62" spans="1:16" ht="15.75" customHeight="1" thickBot="1" x14ac:dyDescent="0.3">
      <c r="A62" s="109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6" ht="15.75" customHeight="1" thickTop="1" x14ac:dyDescent="0.25">
      <c r="A63" s="343" t="s">
        <v>210</v>
      </c>
      <c r="B63" s="343"/>
      <c r="C63" s="343"/>
      <c r="D63" s="343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6"/>
    </row>
    <row r="64" spans="1:16" ht="15" customHeight="1" thickBot="1" x14ac:dyDescent="0.3">
      <c r="A64" s="95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6"/>
    </row>
    <row r="65" spans="1:16" ht="15" customHeight="1" thickTop="1" thickBot="1" x14ac:dyDescent="0.3">
      <c r="A65" s="127" t="s">
        <v>211</v>
      </c>
      <c r="B65" s="121">
        <v>11</v>
      </c>
      <c r="C65" s="58" t="s">
        <v>212</v>
      </c>
      <c r="D65" s="5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6"/>
    </row>
    <row r="66" spans="1:16" ht="15.75" customHeight="1" thickTop="1" thickBot="1" x14ac:dyDescent="0.3">
      <c r="A66" s="127" t="s">
        <v>113</v>
      </c>
      <c r="B66" s="121">
        <f>'Tabula 2zone Ref 1'!B7</f>
        <v>103.4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6"/>
    </row>
    <row r="67" spans="1:16" ht="16.5" customHeight="1" thickTop="1" x14ac:dyDescent="0.25">
      <c r="A67" s="124" t="s">
        <v>213</v>
      </c>
      <c r="B67" s="118">
        <f>B68/('Gebouwgegevens Tabula'!E35-'Verwarming Tabula 2zone Ref 1'!$B$4)</f>
        <v>39.220689655172414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6"/>
    </row>
    <row r="68" spans="1:16" ht="16.5" customHeight="1" x14ac:dyDescent="0.25">
      <c r="A68" s="124" t="s">
        <v>167</v>
      </c>
      <c r="B68" s="118">
        <f>B65*B66</f>
        <v>1137.4000000000001</v>
      </c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6"/>
    </row>
    <row r="69" spans="1:16" ht="15.75" customHeight="1" x14ac:dyDescent="0.25">
      <c r="A69" s="95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6"/>
    </row>
    <row r="70" spans="1:16" ht="15.75" customHeight="1" thickBot="1" x14ac:dyDescent="0.3">
      <c r="A70" s="95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6"/>
    </row>
    <row r="71" spans="1:16" ht="15.75" customHeight="1" thickTop="1" thickBot="1" x14ac:dyDescent="0.3">
      <c r="A71" s="129" t="s">
        <v>214</v>
      </c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1"/>
    </row>
    <row r="72" spans="1:16" ht="16.5" customHeight="1" thickTop="1" x14ac:dyDescent="0.25">
      <c r="A72" s="124" t="s">
        <v>215</v>
      </c>
      <c r="B72" s="118">
        <f>SUM(B42,B60,B67)</f>
        <v>178.42715745076615</v>
      </c>
      <c r="C72" s="118" t="s">
        <v>107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3"/>
    </row>
    <row r="73" spans="1:16" ht="16.5" customHeight="1" x14ac:dyDescent="0.25">
      <c r="A73" s="124" t="s">
        <v>167</v>
      </c>
      <c r="B73" s="118">
        <f>SUM(B43,B61,B68)</f>
        <v>5174.3875660722188</v>
      </c>
      <c r="C73" s="118" t="s">
        <v>169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3"/>
    </row>
    <row r="74" spans="1:16" ht="16.5" customHeight="1" thickBot="1" x14ac:dyDescent="0.3">
      <c r="A74" s="134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6"/>
    </row>
    <row r="75" spans="1:16" ht="15" customHeight="1" thickTop="1" x14ac:dyDescent="0.25">
      <c r="A75" s="137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</row>
    <row r="76" spans="1:16" ht="15.75" customHeight="1" thickBot="1" x14ac:dyDescent="0.3">
      <c r="A76" s="137"/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</row>
    <row r="77" spans="1:16" ht="15" customHeight="1" thickTop="1" thickBot="1" x14ac:dyDescent="0.3">
      <c r="A77" s="93"/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94"/>
    </row>
    <row r="78" spans="1:16" ht="17.25" customHeight="1" thickTop="1" thickBot="1" x14ac:dyDescent="0.35">
      <c r="A78" s="97" t="s">
        <v>166</v>
      </c>
      <c r="B78" s="92">
        <v>2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6"/>
    </row>
    <row r="79" spans="1:16" ht="15.75" customHeight="1" thickTop="1" x14ac:dyDescent="0.25">
      <c r="A79" s="343" t="s">
        <v>168</v>
      </c>
      <c r="B79" s="343"/>
      <c r="C79" s="343"/>
      <c r="D79" s="343"/>
      <c r="E79" s="299"/>
      <c r="F79" s="299"/>
      <c r="G79" s="299"/>
      <c r="H79" s="299"/>
      <c r="I79" s="299"/>
      <c r="J79" s="299"/>
      <c r="K79" s="299"/>
      <c r="L79" s="299"/>
      <c r="M79" s="299"/>
      <c r="N79" s="299"/>
      <c r="O79" s="299"/>
      <c r="P79" s="94"/>
    </row>
    <row r="80" spans="1:16" ht="15" customHeight="1" x14ac:dyDescent="0.25">
      <c r="A80" s="95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6"/>
    </row>
    <row r="81" spans="1:16" ht="15" customHeight="1" x14ac:dyDescent="0.25">
      <c r="A81" s="103" t="s">
        <v>170</v>
      </c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6"/>
    </row>
    <row r="82" spans="1:16" ht="15" customHeight="1" x14ac:dyDescent="0.25">
      <c r="A82" s="95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6"/>
    </row>
    <row r="83" spans="1:16" ht="15.75" customHeight="1" thickBot="1" x14ac:dyDescent="0.3">
      <c r="A83" s="95"/>
      <c r="B83" s="104" t="s">
        <v>10</v>
      </c>
      <c r="C83" s="104" t="s">
        <v>171</v>
      </c>
      <c r="D83" s="104" t="s">
        <v>172</v>
      </c>
      <c r="E83" s="104" t="s">
        <v>173</v>
      </c>
      <c r="F83" s="104" t="s">
        <v>174</v>
      </c>
      <c r="G83" s="104" t="s">
        <v>16</v>
      </c>
      <c r="H83" s="105" t="s">
        <v>17</v>
      </c>
      <c r="I83" s="105" t="s">
        <v>175</v>
      </c>
      <c r="J83" s="98"/>
      <c r="K83" s="98"/>
      <c r="L83" s="98"/>
      <c r="M83" s="98"/>
      <c r="N83" s="98"/>
      <c r="O83" s="98"/>
      <c r="P83" s="96"/>
    </row>
    <row r="84" spans="1:16" ht="16.5" customHeight="1" thickTop="1" thickBot="1" x14ac:dyDescent="0.3">
      <c r="A84" s="95"/>
      <c r="B84" s="106" t="s">
        <v>71</v>
      </c>
      <c r="C84" s="107">
        <f>VLOOKUP(B84,'Tabula 2zone Ref 1'!$J$5:$Q$83,3,0)</f>
        <v>2</v>
      </c>
      <c r="D84" s="107" t="str">
        <f>VLOOKUP(B84,'Tabula 2zone Ref 1'!$J$5:$Q$83,4,0)</f>
        <v>Wall External</v>
      </c>
      <c r="E84" s="107">
        <f>VLOOKUP(B84,'Tabula 2zone Ref 1'!$J$5:$Q$83,5,0)</f>
        <v>20.516529727733833</v>
      </c>
      <c r="F84" s="107" t="str">
        <f>VLOOKUP(B84,'Tabula 2zone Ref 1'!$J$5:$Q$83,6,0)</f>
        <v>front</v>
      </c>
      <c r="G84" s="107">
        <f>VLOOKUP(B84,'Tabula 2zone Ref 1'!$J$5:$Q$83,7,0)</f>
        <v>0.36462385321100915</v>
      </c>
      <c r="H84" s="108">
        <f>VLOOKUP(B84,'Tabula 2zone Ref 1'!$J$5:$Q$83,8,0)</f>
        <v>7.4808161238445265</v>
      </c>
      <c r="I84" s="108">
        <v>1</v>
      </c>
      <c r="J84" s="98"/>
      <c r="K84" s="98"/>
      <c r="L84" s="98"/>
      <c r="M84" s="98"/>
      <c r="N84" s="98"/>
      <c r="O84" s="98"/>
      <c r="P84" s="96"/>
    </row>
    <row r="85" spans="1:16" ht="16.5" customHeight="1" thickTop="1" thickBot="1" x14ac:dyDescent="0.3">
      <c r="A85" s="95"/>
      <c r="B85" s="106" t="s">
        <v>75</v>
      </c>
      <c r="C85" s="107">
        <f>VLOOKUP(B85,'Tabula 2zone Ref 1'!$J$5:$Q$83,3,0)</f>
        <v>2</v>
      </c>
      <c r="D85" s="107" t="str">
        <f>VLOOKUP(B85,'Tabula 2zone Ref 1'!$J$5:$Q$83,4,0)</f>
        <v>Wall External</v>
      </c>
      <c r="E85" s="107">
        <f>VLOOKUP(B85,'Tabula 2zone Ref 1'!$J$5:$Q$83,5,0)</f>
        <v>36.064797687389479</v>
      </c>
      <c r="F85" s="107" t="str">
        <f>VLOOKUP(B85,'Tabula 2zone Ref 1'!$J$5:$Q$83,6,0)</f>
        <v>right</v>
      </c>
      <c r="G85" s="107">
        <f>VLOOKUP(B85,'Tabula 2zone Ref 1'!$J$5:$Q$83,7,0)</f>
        <v>0.36462385321100915</v>
      </c>
      <c r="H85" s="108">
        <f>VLOOKUP(B85,'Tabula 2zone Ref 1'!$J$5:$Q$83,8,0)</f>
        <v>13.150085498051444</v>
      </c>
      <c r="I85" s="108">
        <v>1</v>
      </c>
      <c r="J85" s="98"/>
      <c r="K85" s="98"/>
      <c r="L85" s="98"/>
      <c r="M85" s="98"/>
      <c r="N85" s="98"/>
      <c r="O85" s="98"/>
      <c r="P85" s="96"/>
    </row>
    <row r="86" spans="1:16" ht="16.5" customHeight="1" thickTop="1" thickBot="1" x14ac:dyDescent="0.3">
      <c r="A86" s="95"/>
      <c r="B86" s="106" t="s">
        <v>79</v>
      </c>
      <c r="C86" s="107">
        <f>VLOOKUP(B86,'Tabula 2zone Ref 1'!$J$5:$Q$83,3,0)</f>
        <v>2</v>
      </c>
      <c r="D86" s="107" t="str">
        <f>VLOOKUP(B86,'Tabula 2zone Ref 1'!$J$5:$Q$83,4,0)</f>
        <v>Wall External</v>
      </c>
      <c r="E86" s="107">
        <f>VLOOKUP(B86,'Tabula 2zone Ref 1'!$J$5:$Q$83,5,0)</f>
        <v>20.516529727733833</v>
      </c>
      <c r="F86" s="107" t="str">
        <f>VLOOKUP(B86,'Tabula 2zone Ref 1'!$J$5:$Q$83,6,0)</f>
        <v>back</v>
      </c>
      <c r="G86" s="107">
        <f>VLOOKUP(B86,'Tabula 2zone Ref 1'!$J$5:$Q$83,7,0)</f>
        <v>0.36462385321100915</v>
      </c>
      <c r="H86" s="108">
        <f>VLOOKUP(B86,'Tabula 2zone Ref 1'!$J$5:$Q$83,8,0)</f>
        <v>7.4808161238445265</v>
      </c>
      <c r="I86" s="108">
        <v>1</v>
      </c>
      <c r="J86" s="98"/>
      <c r="K86" s="98"/>
      <c r="L86" s="98"/>
      <c r="M86" s="98"/>
      <c r="N86" s="98"/>
      <c r="O86" s="98"/>
      <c r="P86" s="96"/>
    </row>
    <row r="87" spans="1:16" ht="16.5" customHeight="1" thickTop="1" thickBot="1" x14ac:dyDescent="0.3">
      <c r="A87" s="95"/>
      <c r="B87" s="106" t="s">
        <v>82</v>
      </c>
      <c r="C87" s="107">
        <f>VLOOKUP(B87,'Tabula 2zone Ref 1'!$J$5:$Q$83,3,0)</f>
        <v>2</v>
      </c>
      <c r="D87" s="107" t="str">
        <f>VLOOKUP(B87,'Tabula 2zone Ref 1'!$J$5:$Q$83,4,0)</f>
        <v>Wall External</v>
      </c>
      <c r="E87" s="107">
        <f>VLOOKUP(B87,'Tabula 2zone Ref 1'!$J$5:$Q$83,5,0)</f>
        <v>0</v>
      </c>
      <c r="F87" s="107" t="str">
        <f>VLOOKUP(B87,'Tabula 2zone Ref 1'!$J$5:$Q$83,6,0)</f>
        <v>left</v>
      </c>
      <c r="G87" s="107">
        <f>VLOOKUP(B87,'Tabula 2zone Ref 1'!$J$5:$Q$83,7,0)</f>
        <v>0.36462385321100915</v>
      </c>
      <c r="H87" s="108">
        <f>VLOOKUP(B87,'Tabula 2zone Ref 1'!$J$5:$Q$83,8,0)</f>
        <v>0</v>
      </c>
      <c r="I87" s="108">
        <v>1</v>
      </c>
      <c r="J87" s="98"/>
      <c r="K87" s="98"/>
      <c r="L87" s="98"/>
      <c r="M87" s="98"/>
      <c r="N87" s="98"/>
      <c r="O87" s="98"/>
      <c r="P87" s="96"/>
    </row>
    <row r="88" spans="1:16" ht="16.5" customHeight="1" thickTop="1" thickBot="1" x14ac:dyDescent="0.3">
      <c r="A88" s="95"/>
      <c r="B88" s="106" t="s">
        <v>84</v>
      </c>
      <c r="C88" s="107">
        <f>VLOOKUP(B88,'Tabula 2zone Ref 1'!$J$5:$Q$83,3,0)</f>
        <v>2</v>
      </c>
      <c r="D88" s="107" t="str">
        <f>VLOOKUP(B88,'Tabula 2zone Ref 1'!$J$5:$Q$83,4,0)</f>
        <v>Window</v>
      </c>
      <c r="E88" s="107">
        <f>VLOOKUP(B88,'Tabula 2zone Ref 1'!$J$5:$Q$83,5,0)</f>
        <v>4.05</v>
      </c>
      <c r="F88" s="107" t="str">
        <f>VLOOKUP(B88,'Tabula 2zone Ref 1'!$J$5:$Q$83,6,0)</f>
        <v>front</v>
      </c>
      <c r="G88" s="107">
        <f>VLOOKUP(B88,'Tabula 2zone Ref 1'!$J$5:$Q$83,7,0)</f>
        <v>2</v>
      </c>
      <c r="H88" s="108">
        <f>VLOOKUP(B88,'Tabula 2zone Ref 1'!$J$5:$Q$83,8,0)</f>
        <v>8.1</v>
      </c>
      <c r="I88" s="108">
        <v>1</v>
      </c>
      <c r="J88" s="98"/>
      <c r="K88" s="98"/>
      <c r="L88" s="98"/>
      <c r="M88" s="98"/>
      <c r="N88" s="98"/>
      <c r="O88" s="98"/>
      <c r="P88" s="96"/>
    </row>
    <row r="89" spans="1:16" ht="16.5" customHeight="1" thickTop="1" thickBot="1" x14ac:dyDescent="0.3">
      <c r="A89" s="95"/>
      <c r="B89" s="106" t="s">
        <v>87</v>
      </c>
      <c r="C89" s="107">
        <f>VLOOKUP(B89,'Tabula 2zone Ref 1'!$J$5:$Q$83,3,0)</f>
        <v>2</v>
      </c>
      <c r="D89" s="107" t="str">
        <f>VLOOKUP(B89,'Tabula 2zone Ref 1'!$J$5:$Q$83,4,0)</f>
        <v>Window</v>
      </c>
      <c r="E89" s="107">
        <f>VLOOKUP(B89,'Tabula 2zone Ref 1'!$J$5:$Q$83,5,0)</f>
        <v>3.45</v>
      </c>
      <c r="F89" s="107" t="str">
        <f>VLOOKUP(B89,'Tabula 2zone Ref 1'!$J$5:$Q$83,6,0)</f>
        <v>right</v>
      </c>
      <c r="G89" s="107">
        <f>VLOOKUP(B89,'Tabula 2zone Ref 1'!$J$5:$Q$83,7,0)</f>
        <v>2</v>
      </c>
      <c r="H89" s="108">
        <f>VLOOKUP(B89,'Tabula 2zone Ref 1'!$J$5:$Q$83,8,0)</f>
        <v>6.9</v>
      </c>
      <c r="I89" s="108">
        <v>1</v>
      </c>
      <c r="J89" s="98"/>
      <c r="K89" s="98"/>
      <c r="L89" s="98"/>
      <c r="M89" s="98"/>
      <c r="N89" s="98"/>
      <c r="O89" s="98"/>
      <c r="P89" s="96"/>
    </row>
    <row r="90" spans="1:16" ht="16.5" customHeight="1" thickTop="1" thickBot="1" x14ac:dyDescent="0.3">
      <c r="A90" s="95"/>
      <c r="B90" s="106" t="s">
        <v>89</v>
      </c>
      <c r="C90" s="107">
        <f>VLOOKUP(B90,'Tabula 2zone Ref 1'!$J$5:$Q$83,3,0)</f>
        <v>2</v>
      </c>
      <c r="D90" s="107" t="str">
        <f>VLOOKUP(B90,'Tabula 2zone Ref 1'!$J$5:$Q$83,4,0)</f>
        <v>Window</v>
      </c>
      <c r="E90" s="107">
        <f>VLOOKUP(B90,'Tabula 2zone Ref 1'!$J$5:$Q$83,5,0)</f>
        <v>4.5</v>
      </c>
      <c r="F90" s="107" t="str">
        <f>VLOOKUP(B90,'Tabula 2zone Ref 1'!$J$5:$Q$83,6,0)</f>
        <v>back</v>
      </c>
      <c r="G90" s="107">
        <f>VLOOKUP(B90,'Tabula 2zone Ref 1'!$J$5:$Q$83,7,0)</f>
        <v>2</v>
      </c>
      <c r="H90" s="108">
        <f>VLOOKUP(B90,'Tabula 2zone Ref 1'!$J$5:$Q$83,8,0)</f>
        <v>9</v>
      </c>
      <c r="I90" s="108">
        <v>1</v>
      </c>
      <c r="J90" s="98"/>
      <c r="K90" s="98"/>
      <c r="L90" s="98"/>
      <c r="M90" s="98"/>
      <c r="N90" s="98"/>
      <c r="O90" s="98"/>
      <c r="P90" s="96"/>
    </row>
    <row r="91" spans="1:16" ht="16.5" customHeight="1" thickTop="1" thickBot="1" x14ac:dyDescent="0.3">
      <c r="A91" s="95"/>
      <c r="B91" s="106" t="s">
        <v>92</v>
      </c>
      <c r="C91" s="107">
        <f>VLOOKUP(B91,'Tabula 2zone Ref 1'!$J$5:$Q$83,3,0)</f>
        <v>2</v>
      </c>
      <c r="D91" s="107" t="str">
        <f>VLOOKUP(B91,'Tabula 2zone Ref 1'!$J$5:$Q$83,4,0)</f>
        <v>Window</v>
      </c>
      <c r="E91" s="107">
        <f>VLOOKUP(B91,'Tabula 2zone Ref 1'!$J$5:$Q$83,5,0)</f>
        <v>5.05</v>
      </c>
      <c r="F91" s="107" t="str">
        <f>VLOOKUP(B91,'Tabula 2zone Ref 1'!$J$5:$Q$83,6,0)</f>
        <v>left</v>
      </c>
      <c r="G91" s="107">
        <f>VLOOKUP(B91,'Tabula 2zone Ref 1'!$J$5:$Q$83,7,0)</f>
        <v>2</v>
      </c>
      <c r="H91" s="108">
        <f>VLOOKUP(B91,'Tabula 2zone Ref 1'!$J$5:$Q$83,8,0)</f>
        <v>10.1</v>
      </c>
      <c r="I91" s="108">
        <v>1</v>
      </c>
      <c r="J91" s="98"/>
      <c r="K91" s="98"/>
      <c r="L91" s="98"/>
      <c r="M91" s="98"/>
      <c r="N91" s="98"/>
      <c r="O91" s="98"/>
      <c r="P91" s="96"/>
    </row>
    <row r="92" spans="1:16" ht="16.5" customHeight="1" thickTop="1" thickBot="1" x14ac:dyDescent="0.3">
      <c r="A92" s="95"/>
      <c r="B92" s="106" t="s">
        <v>96</v>
      </c>
      <c r="C92" s="107">
        <f>VLOOKUP(B92,'Tabula 2zone Ref 1'!$J$5:$Q$83,3,0)</f>
        <v>2</v>
      </c>
      <c r="D92" s="107" t="str">
        <f>VLOOKUP(B92,'Tabula 2zone Ref 1'!$J$5:$Q$83,4,0)</f>
        <v>Roof</v>
      </c>
      <c r="E92" s="107">
        <f>VLOOKUP(B92,'Tabula 2zone Ref 1'!$J$5:$Q$83,5,0)</f>
        <v>108.5</v>
      </c>
      <c r="F92" s="107" t="str">
        <f>VLOOKUP(B92,'Tabula 2zone Ref 1'!$J$5:$Q$83,6,0)</f>
        <v>front/back</v>
      </c>
      <c r="G92" s="107">
        <f>VLOOKUP(B92,'Tabula 2zone Ref 1'!$J$5:$Q$83,7,0)</f>
        <v>0.27062537995411134</v>
      </c>
      <c r="H92" s="108">
        <f>VLOOKUP(B92,'Tabula 2zone Ref 1'!$J$5:$Q$83,8,0)</f>
        <v>29.362853725021083</v>
      </c>
      <c r="I92" s="108">
        <v>1</v>
      </c>
      <c r="J92" s="98"/>
      <c r="K92" s="98"/>
      <c r="L92" s="98"/>
      <c r="M92" s="98"/>
      <c r="N92" s="98"/>
      <c r="O92" s="98"/>
      <c r="P92" s="96"/>
    </row>
    <row r="93" spans="1:16" ht="16.5" customHeight="1" thickTop="1" thickBot="1" x14ac:dyDescent="0.3">
      <c r="A93" s="95"/>
      <c r="B93" s="106"/>
      <c r="C93" s="107"/>
      <c r="D93" s="107"/>
      <c r="E93" s="107"/>
      <c r="F93" s="107"/>
      <c r="G93" s="107"/>
      <c r="H93" s="108"/>
      <c r="I93" s="108"/>
      <c r="J93" s="98"/>
      <c r="K93" s="98"/>
      <c r="L93" s="98"/>
      <c r="M93" s="98"/>
      <c r="N93" s="98"/>
      <c r="O93" s="98"/>
      <c r="P93" s="96"/>
    </row>
    <row r="94" spans="1:16" ht="16.5" customHeight="1" thickTop="1" thickBot="1" x14ac:dyDescent="0.3">
      <c r="A94" s="95"/>
      <c r="B94" s="106"/>
      <c r="C94" s="107"/>
      <c r="D94" s="107"/>
      <c r="E94" s="107"/>
      <c r="F94" s="107"/>
      <c r="G94" s="107"/>
      <c r="H94" s="108"/>
      <c r="I94" s="108"/>
      <c r="J94" s="98"/>
      <c r="K94" s="98"/>
      <c r="L94" s="98"/>
      <c r="M94" s="98"/>
      <c r="N94" s="98"/>
      <c r="O94" s="98"/>
      <c r="P94" s="96"/>
    </row>
    <row r="95" spans="1:16" ht="16.5" customHeight="1" thickTop="1" thickBot="1" x14ac:dyDescent="0.3">
      <c r="A95" s="95"/>
      <c r="B95" s="106"/>
      <c r="C95" s="107"/>
      <c r="D95" s="107"/>
      <c r="E95" s="107"/>
      <c r="F95" s="107"/>
      <c r="G95" s="107"/>
      <c r="H95" s="108"/>
      <c r="I95" s="108"/>
      <c r="J95" s="98"/>
      <c r="K95" s="98"/>
      <c r="L95" s="98"/>
      <c r="M95" s="98"/>
      <c r="N95" s="98"/>
      <c r="O95" s="98"/>
      <c r="P95" s="96"/>
    </row>
    <row r="96" spans="1:16" ht="15.75" customHeight="1" thickTop="1" x14ac:dyDescent="0.25">
      <c r="A96" s="95"/>
      <c r="B96" s="58"/>
      <c r="C96" s="58"/>
      <c r="D96" s="58"/>
      <c r="E96" s="58"/>
      <c r="F96" s="58"/>
      <c r="G96" s="114"/>
      <c r="H96" s="58"/>
      <c r="I96" s="58"/>
      <c r="J96" s="98"/>
      <c r="K96" s="98"/>
      <c r="L96" s="98"/>
      <c r="M96" s="98"/>
      <c r="N96" s="98"/>
      <c r="O96" s="98"/>
      <c r="P96" s="96"/>
    </row>
    <row r="97" spans="1:16" ht="15" customHeight="1" x14ac:dyDescent="0.25">
      <c r="A97" s="95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6"/>
    </row>
    <row r="98" spans="1:16" ht="15" customHeight="1" x14ac:dyDescent="0.25">
      <c r="A98" s="103" t="s">
        <v>177</v>
      </c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6"/>
    </row>
    <row r="99" spans="1:16" ht="15.75" customHeight="1" x14ac:dyDescent="0.25">
      <c r="A99" s="95"/>
      <c r="B99" s="58" t="s">
        <v>10</v>
      </c>
      <c r="C99" s="58" t="s">
        <v>178</v>
      </c>
      <c r="D99" s="58" t="s">
        <v>172</v>
      </c>
      <c r="E99" s="58" t="s">
        <v>179</v>
      </c>
      <c r="F99" s="58" t="s">
        <v>16</v>
      </c>
      <c r="G99" s="114" t="s">
        <v>17</v>
      </c>
      <c r="H99" s="114" t="s">
        <v>175</v>
      </c>
      <c r="I99" s="58" t="s">
        <v>180</v>
      </c>
      <c r="J99" s="58" t="s">
        <v>181</v>
      </c>
      <c r="K99" s="58" t="s">
        <v>182</v>
      </c>
      <c r="L99" s="115" t="s">
        <v>183</v>
      </c>
      <c r="M99" s="115" t="s">
        <v>184</v>
      </c>
      <c r="N99" s="115" t="s">
        <v>185</v>
      </c>
      <c r="O99" s="98"/>
      <c r="P99" s="96"/>
    </row>
    <row r="100" spans="1:16" ht="18.75" customHeight="1" thickBot="1" x14ac:dyDescent="0.3">
      <c r="A100" s="95"/>
      <c r="B100" s="116"/>
      <c r="C100" s="117"/>
      <c r="D100" s="117"/>
      <c r="E100" s="117"/>
      <c r="F100" s="117"/>
      <c r="G100" s="118"/>
      <c r="H100" s="118"/>
      <c r="I100" s="117"/>
      <c r="J100" s="116"/>
      <c r="K100" s="116"/>
      <c r="L100" s="119"/>
      <c r="M100" s="119"/>
      <c r="N100" s="120"/>
      <c r="O100" s="98"/>
      <c r="P100" s="96"/>
    </row>
    <row r="101" spans="1:16" ht="18.75" customHeight="1" thickTop="1" thickBot="1" x14ac:dyDescent="0.3">
      <c r="A101" s="95"/>
      <c r="B101" s="116"/>
      <c r="C101" s="117"/>
      <c r="D101" s="117"/>
      <c r="E101" s="117"/>
      <c r="F101" s="117"/>
      <c r="G101" s="118"/>
      <c r="H101" s="118"/>
      <c r="I101" s="117"/>
      <c r="J101" s="116"/>
      <c r="K101" s="116"/>
      <c r="L101" s="119"/>
      <c r="M101" s="119"/>
      <c r="N101" s="120"/>
      <c r="O101" s="98"/>
      <c r="P101" s="96"/>
    </row>
    <row r="102" spans="1:16" ht="18.75" customHeight="1" thickTop="1" thickBot="1" x14ac:dyDescent="0.3">
      <c r="A102" s="95"/>
      <c r="B102" s="116"/>
      <c r="C102" s="117"/>
      <c r="D102" s="117"/>
      <c r="E102" s="117"/>
      <c r="F102" s="117"/>
      <c r="G102" s="118"/>
      <c r="H102" s="118"/>
      <c r="I102" s="117"/>
      <c r="J102" s="116"/>
      <c r="K102" s="116"/>
      <c r="L102" s="119"/>
      <c r="M102" s="119"/>
      <c r="N102" s="120"/>
      <c r="O102" s="98"/>
      <c r="P102" s="96"/>
    </row>
    <row r="103" spans="1:16" ht="18.75" customHeight="1" thickTop="1" thickBot="1" x14ac:dyDescent="0.3">
      <c r="A103" s="95"/>
      <c r="B103" s="116"/>
      <c r="C103" s="117"/>
      <c r="D103" s="117"/>
      <c r="E103" s="117"/>
      <c r="F103" s="117"/>
      <c r="G103" s="118"/>
      <c r="H103" s="118"/>
      <c r="I103" s="117"/>
      <c r="J103" s="116"/>
      <c r="K103" s="116"/>
      <c r="L103" s="119"/>
      <c r="M103" s="119"/>
      <c r="N103" s="120"/>
      <c r="O103" s="98"/>
      <c r="P103" s="96"/>
    </row>
    <row r="104" spans="1:16" ht="16.5" customHeight="1" thickTop="1" thickBot="1" x14ac:dyDescent="0.3">
      <c r="A104" s="138"/>
      <c r="B104" s="116"/>
      <c r="C104" s="117"/>
      <c r="D104" s="117"/>
      <c r="E104" s="117"/>
      <c r="F104" s="117"/>
      <c r="G104" s="118"/>
      <c r="H104" s="118"/>
      <c r="I104" s="117"/>
      <c r="J104" s="116"/>
      <c r="K104" s="116"/>
      <c r="L104" s="119"/>
      <c r="M104" s="119"/>
      <c r="N104" s="120"/>
      <c r="O104" s="98"/>
      <c r="P104" s="96"/>
    </row>
    <row r="105" spans="1:16" ht="15.75" customHeight="1" thickTop="1" x14ac:dyDescent="0.25">
      <c r="A105" s="95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6"/>
    </row>
    <row r="106" spans="1:16" ht="15" customHeight="1" x14ac:dyDescent="0.25">
      <c r="A106" s="103" t="s">
        <v>186</v>
      </c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6"/>
    </row>
    <row r="107" spans="1:16" ht="15.75" customHeight="1" thickBot="1" x14ac:dyDescent="0.3">
      <c r="A107" s="95"/>
      <c r="B107" s="58" t="s">
        <v>10</v>
      </c>
      <c r="C107" s="58" t="s">
        <v>187</v>
      </c>
      <c r="D107" s="58" t="s">
        <v>188</v>
      </c>
      <c r="E107" s="58" t="s">
        <v>135</v>
      </c>
      <c r="F107" s="58" t="s">
        <v>189</v>
      </c>
      <c r="G107" s="58" t="s">
        <v>190</v>
      </c>
      <c r="H107" s="58" t="s">
        <v>191</v>
      </c>
      <c r="I107" s="58" t="s">
        <v>16</v>
      </c>
      <c r="J107" s="114" t="s">
        <v>17</v>
      </c>
      <c r="K107" s="114" t="s">
        <v>175</v>
      </c>
      <c r="L107" s="98"/>
      <c r="M107" s="98"/>
      <c r="N107" s="98"/>
      <c r="O107" s="98"/>
      <c r="P107" s="96"/>
    </row>
    <row r="108" spans="1:16" ht="16.5" customHeight="1" thickTop="1" thickBot="1" x14ac:dyDescent="0.3">
      <c r="A108" s="95"/>
      <c r="B108" s="121" t="s">
        <v>98</v>
      </c>
      <c r="C108" s="122">
        <f>IF(VLOOKUP(B108,'Tabula 2zone Ref 1'!$J$5:$Q$83,2,0)=$B$78,VLOOKUP(B108,'Tabula 2zone Ref 1'!$J$5:$Q$83,2,0),VLOOKUP(B108,'Tabula 2zone Ref 1'!$J$5:$Q$83,3,0))</f>
        <v>2</v>
      </c>
      <c r="D108" s="122">
        <f>IF(VLOOKUP(B108,'Tabula 2zone Ref 1'!$J$5:$Q$83,2,0)=$B$78,VLOOKUP(B108,'Tabula 2zone Ref 1'!$J$5:$Q$83,3,0),VLOOKUP(B108,'Tabula 2zone Ref 1'!$J$5:$Q$83,2,0))</f>
        <v>1</v>
      </c>
      <c r="E108" s="122" t="str">
        <f>VLOOKUP(B108,'Tabula 2zone Ref 1'!$J$5:$Q$83,4,0)</f>
        <v>Floor internal</v>
      </c>
      <c r="F108" s="122">
        <f>VLOOKUP(B108,'Tabula 2zone Ref 1'!$J$5:$Q$83,5,0)</f>
        <v>89.300000000000011</v>
      </c>
      <c r="G108" s="122">
        <f>VLOOKUP('Verwarming Tabula 2zone Ref 1'!C108,'Tabula 2zone Ref 1'!$A$34:$F$45,5,0)</f>
        <v>18</v>
      </c>
      <c r="H108" s="122">
        <f>VLOOKUP('Verwarming Tabula 2zone Ref 1'!D108,'Tabula 2zone Ref 1'!$A$34:$F$45,5,0)</f>
        <v>21</v>
      </c>
      <c r="I108" s="122">
        <f>VLOOKUP(B108,'Tabula 2zone Ref 1'!$J$5:$Q$83,7,0)</f>
        <v>1.4549653579676673</v>
      </c>
      <c r="J108" s="118">
        <f>VLOOKUP(B108,'Tabula 2zone Ref 1'!$J$5:$Q$83,8,0)</f>
        <v>129.92840646651271</v>
      </c>
      <c r="K108" s="118">
        <f>(G108-H108)/(G108-$B$4)</f>
        <v>-0.11538461538461539</v>
      </c>
      <c r="L108" s="98"/>
      <c r="M108" s="98"/>
      <c r="N108" s="98"/>
      <c r="O108" s="98"/>
      <c r="P108" s="96"/>
    </row>
    <row r="109" spans="1:16" ht="16.5" customHeight="1" thickTop="1" thickBot="1" x14ac:dyDescent="0.3">
      <c r="A109" s="95"/>
      <c r="B109" s="121" t="s">
        <v>102</v>
      </c>
      <c r="C109" s="122">
        <f>IF(VLOOKUP(B109,'Tabula 2zone Ref 1'!$J$5:$Q$83,2,0)=$B$78,VLOOKUP(B109,'Tabula 2zone Ref 1'!$J$5:$Q$83,2,0),VLOOKUP(B109,'Tabula 2zone Ref 1'!$J$5:$Q$83,3,0))</f>
        <v>2</v>
      </c>
      <c r="D109" s="122">
        <f>IF(VLOOKUP(B109,'Tabula 2zone Ref 1'!$J$5:$Q$83,2,0)=$B$78,VLOOKUP(B109,'Tabula 2zone Ref 1'!$J$5:$Q$83,3,0),VLOOKUP(B109,'Tabula 2zone Ref 1'!$J$5:$Q$83,2,0))</f>
        <v>2</v>
      </c>
      <c r="E109" s="122" t="str">
        <f>VLOOKUP(B109,'Tabula 2zone Ref 1'!$J$5:$Q$83,4,0)</f>
        <v>Wall internal</v>
      </c>
      <c r="F109" s="122">
        <f>VLOOKUP(B109,'Tabula 2zone Ref 1'!$J$5:$Q$83,5,0)</f>
        <v>77.097857142857151</v>
      </c>
      <c r="G109" s="122">
        <f>VLOOKUP('Verwarming Tabula 2zone Ref 1'!C109,'Tabula 2zone Ref 1'!$A$34:$F$45,5,0)</f>
        <v>18</v>
      </c>
      <c r="H109" s="122">
        <f>VLOOKUP('Verwarming Tabula 2zone Ref 1'!D109,'Tabula 2zone Ref 1'!$A$34:$F$45,5,0)</f>
        <v>18</v>
      </c>
      <c r="I109" s="122">
        <f>VLOOKUP(B109,'Tabula 2zone Ref 1'!$J$5:$Q$83,7,0)</f>
        <v>1.7363344051446945</v>
      </c>
      <c r="J109" s="118">
        <f>VLOOKUP(B109,'Tabula 2zone Ref 1'!$J$5:$Q$83,8,0)</f>
        <v>133.86766192007352</v>
      </c>
      <c r="K109" s="118">
        <f>(G109-H109)/(G109-$B$4)</f>
        <v>0</v>
      </c>
      <c r="L109" s="98"/>
      <c r="M109" s="98"/>
      <c r="N109" s="98"/>
      <c r="O109" s="98"/>
      <c r="P109" s="96"/>
    </row>
    <row r="110" spans="1:16" ht="16.5" customHeight="1" thickTop="1" thickBot="1" x14ac:dyDescent="0.3">
      <c r="A110" s="95"/>
      <c r="B110" s="121"/>
      <c r="C110" s="122"/>
      <c r="D110" s="122"/>
      <c r="E110" s="122"/>
      <c r="F110" s="122"/>
      <c r="G110" s="122"/>
      <c r="H110" s="122"/>
      <c r="I110" s="122"/>
      <c r="J110" s="118"/>
      <c r="K110" s="118"/>
      <c r="L110" s="98"/>
      <c r="M110" s="98"/>
      <c r="N110" s="98"/>
      <c r="O110" s="98"/>
      <c r="P110" s="96"/>
    </row>
    <row r="111" spans="1:16" ht="16.5" customHeight="1" thickTop="1" thickBot="1" x14ac:dyDescent="0.3">
      <c r="A111" s="95"/>
      <c r="B111" s="92"/>
      <c r="C111" s="122"/>
      <c r="D111" s="122"/>
      <c r="E111" s="122"/>
      <c r="F111" s="122"/>
      <c r="G111" s="122"/>
      <c r="H111" s="122"/>
      <c r="I111" s="122"/>
      <c r="J111" s="118"/>
      <c r="K111" s="118"/>
      <c r="L111" s="98"/>
      <c r="M111" s="98"/>
      <c r="N111" s="98"/>
      <c r="O111" s="98"/>
      <c r="P111" s="96"/>
    </row>
    <row r="112" spans="1:16" ht="16.5" customHeight="1" thickTop="1" thickBot="1" x14ac:dyDescent="0.3">
      <c r="A112" s="95"/>
      <c r="B112" s="123"/>
      <c r="C112" s="139"/>
      <c r="D112" s="122"/>
      <c r="E112" s="122"/>
      <c r="F112" s="122"/>
      <c r="G112" s="122"/>
      <c r="H112" s="122"/>
      <c r="I112" s="122"/>
      <c r="J112" s="118"/>
      <c r="K112" s="118"/>
      <c r="L112" s="98"/>
      <c r="M112" s="98"/>
      <c r="N112" s="98"/>
      <c r="O112" s="98"/>
      <c r="P112" s="96"/>
    </row>
    <row r="113" spans="1:16" ht="16.5" customHeight="1" thickTop="1" thickBot="1" x14ac:dyDescent="0.3">
      <c r="A113" s="95"/>
      <c r="B113" s="123"/>
      <c r="C113" s="139"/>
      <c r="D113" s="122"/>
      <c r="E113" s="122"/>
      <c r="F113" s="122"/>
      <c r="G113" s="122"/>
      <c r="H113" s="122"/>
      <c r="I113" s="122"/>
      <c r="J113" s="118"/>
      <c r="K113" s="118"/>
      <c r="L113" s="98"/>
      <c r="M113" s="98"/>
      <c r="N113" s="98"/>
      <c r="O113" s="98"/>
      <c r="P113" s="96"/>
    </row>
    <row r="114" spans="1:16" ht="16.5" customHeight="1" thickTop="1" thickBot="1" x14ac:dyDescent="0.3">
      <c r="A114" s="95"/>
      <c r="B114" s="123"/>
      <c r="C114" s="139"/>
      <c r="D114" s="122"/>
      <c r="E114" s="122"/>
      <c r="F114" s="122"/>
      <c r="G114" s="122"/>
      <c r="H114" s="122"/>
      <c r="I114" s="122"/>
      <c r="J114" s="118"/>
      <c r="K114" s="118"/>
      <c r="L114" s="98"/>
      <c r="M114" s="98"/>
      <c r="N114" s="98"/>
      <c r="O114" s="98"/>
      <c r="P114" s="96"/>
    </row>
    <row r="115" spans="1:16" ht="16.5" customHeight="1" thickTop="1" thickBot="1" x14ac:dyDescent="0.3">
      <c r="A115" s="95"/>
      <c r="B115" s="123"/>
      <c r="C115" s="139"/>
      <c r="D115" s="122"/>
      <c r="E115" s="122"/>
      <c r="F115" s="122"/>
      <c r="G115" s="122"/>
      <c r="H115" s="122"/>
      <c r="I115" s="122"/>
      <c r="J115" s="118"/>
      <c r="K115" s="118"/>
      <c r="L115" s="98"/>
      <c r="M115" s="98"/>
      <c r="N115" s="98"/>
      <c r="O115" s="98"/>
      <c r="P115" s="96"/>
    </row>
    <row r="116" spans="1:16" ht="16.5" customHeight="1" thickTop="1" thickBot="1" x14ac:dyDescent="0.3">
      <c r="A116" s="95"/>
      <c r="B116" s="123"/>
      <c r="C116" s="139"/>
      <c r="D116" s="122"/>
      <c r="E116" s="122"/>
      <c r="F116" s="122"/>
      <c r="G116" s="122"/>
      <c r="H116" s="122"/>
      <c r="I116" s="122"/>
      <c r="J116" s="118"/>
      <c r="K116" s="118"/>
      <c r="L116" s="98"/>
      <c r="M116" s="98"/>
      <c r="N116" s="98"/>
      <c r="O116" s="98"/>
      <c r="P116" s="96"/>
    </row>
    <row r="117" spans="1:16" ht="16.5" customHeight="1" thickTop="1" thickBot="1" x14ac:dyDescent="0.3">
      <c r="A117" s="95"/>
      <c r="B117" s="123"/>
      <c r="C117" s="139"/>
      <c r="D117" s="122"/>
      <c r="E117" s="122"/>
      <c r="F117" s="122"/>
      <c r="G117" s="122"/>
      <c r="H117" s="122"/>
      <c r="I117" s="122"/>
      <c r="J117" s="118"/>
      <c r="K117" s="118"/>
      <c r="L117" s="98"/>
      <c r="M117" s="98"/>
      <c r="N117" s="98"/>
      <c r="O117" s="98"/>
      <c r="P117" s="96"/>
    </row>
    <row r="118" spans="1:16" ht="15.75" customHeight="1" thickTop="1" x14ac:dyDescent="0.25">
      <c r="A118" s="95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8"/>
      <c r="M118" s="98"/>
      <c r="N118" s="98"/>
      <c r="O118" s="98"/>
      <c r="P118" s="96"/>
    </row>
    <row r="119" spans="1:16" ht="15" customHeight="1" x14ac:dyDescent="0.25">
      <c r="A119" s="95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6"/>
    </row>
    <row r="120" spans="1:16" ht="15.75" customHeight="1" x14ac:dyDescent="0.25">
      <c r="A120" s="103" t="s">
        <v>192</v>
      </c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6"/>
    </row>
    <row r="121" spans="1:16" ht="16.5" customHeight="1" x14ac:dyDescent="0.25">
      <c r="A121" s="124" t="s">
        <v>193</v>
      </c>
      <c r="B121" s="118">
        <f>SUMPRODUCT(H84:H95,I84:I95)+SUMPRODUCT(G100:G104,H100:H104)+SUMPRODUCT(J108:J117,K108:K117)</f>
        <v>76.582832263087042</v>
      </c>
      <c r="C121" s="118" t="s">
        <v>107</v>
      </c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6"/>
    </row>
    <row r="122" spans="1:16" ht="16.5" customHeight="1" x14ac:dyDescent="0.25">
      <c r="A122" s="124" t="s">
        <v>167</v>
      </c>
      <c r="B122" s="118">
        <f>B121*(G109-$B$4)</f>
        <v>1991.1536388402631</v>
      </c>
      <c r="C122" s="118" t="s">
        <v>169</v>
      </c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6"/>
    </row>
    <row r="123" spans="1:16" ht="15.75" customHeight="1" thickBot="1" x14ac:dyDescent="0.3">
      <c r="A123" s="109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1"/>
    </row>
    <row r="124" spans="1:16" ht="15.75" customHeight="1" thickTop="1" x14ac:dyDescent="0.25">
      <c r="A124" s="343" t="s">
        <v>194</v>
      </c>
      <c r="B124" s="343"/>
      <c r="C124" s="343"/>
      <c r="D124" s="125" t="s">
        <v>222</v>
      </c>
      <c r="E124" s="299"/>
      <c r="F124" s="299"/>
      <c r="G124" s="299"/>
      <c r="H124" s="299"/>
      <c r="I124" s="299"/>
      <c r="J124" s="299"/>
      <c r="K124" s="299"/>
      <c r="L124" s="299"/>
      <c r="M124" s="299"/>
      <c r="N124" s="299"/>
      <c r="O124" s="299"/>
      <c r="P124" s="94"/>
    </row>
    <row r="125" spans="1:16" ht="15" customHeight="1" x14ac:dyDescent="0.25">
      <c r="A125" s="95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6"/>
    </row>
    <row r="126" spans="1:16" ht="15" customHeight="1" thickBot="1" x14ac:dyDescent="0.3">
      <c r="A126" s="126" t="s">
        <v>195</v>
      </c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6"/>
    </row>
    <row r="127" spans="1:16" ht="15" customHeight="1" thickTop="1" thickBot="1" x14ac:dyDescent="0.3">
      <c r="A127" s="127" t="s">
        <v>196</v>
      </c>
      <c r="B127" s="121">
        <f>B48</f>
        <v>3.9941548952752073</v>
      </c>
      <c r="C127" s="120" t="s">
        <v>197</v>
      </c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6"/>
    </row>
    <row r="128" spans="1:16" ht="15" customHeight="1" thickTop="1" thickBot="1" x14ac:dyDescent="0.3">
      <c r="A128" s="127" t="s">
        <v>198</v>
      </c>
      <c r="B128" s="121">
        <v>0.03</v>
      </c>
      <c r="C128" s="120" t="s">
        <v>199</v>
      </c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6"/>
    </row>
    <row r="129" spans="1:16" ht="15.75" customHeight="1" thickTop="1" thickBot="1" x14ac:dyDescent="0.3">
      <c r="A129" s="127" t="s">
        <v>200</v>
      </c>
      <c r="B129" s="121">
        <v>1</v>
      </c>
      <c r="C129" s="120" t="s">
        <v>201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6"/>
    </row>
    <row r="130" spans="1:16" ht="16.5" customHeight="1" thickTop="1" x14ac:dyDescent="0.25">
      <c r="A130" s="124" t="s">
        <v>202</v>
      </c>
      <c r="B130" s="118">
        <f>VLOOKUP(B78,'Tabula 2zone Ref 1'!$A$34:$F$45,2,0)*B127/20</f>
        <v>50.725767169995123</v>
      </c>
      <c r="C130" s="118" t="s">
        <v>203</v>
      </c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6"/>
    </row>
    <row r="131" spans="1:16" ht="15.75" customHeight="1" x14ac:dyDescent="0.25">
      <c r="A131" s="95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6"/>
    </row>
    <row r="132" spans="1:16" ht="15" customHeight="1" x14ac:dyDescent="0.25">
      <c r="A132" s="126" t="s">
        <v>204</v>
      </c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6"/>
    </row>
    <row r="133" spans="1:16" ht="15.75" customHeight="1" x14ac:dyDescent="0.25">
      <c r="A133" s="95" t="s">
        <v>180</v>
      </c>
      <c r="B133" s="98">
        <f>'Tabula 2zone Ref 1'!G35</f>
        <v>120.6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6"/>
    </row>
    <row r="134" spans="1:16" ht="16.5" customHeight="1" x14ac:dyDescent="0.25">
      <c r="A134" s="124" t="s">
        <v>205</v>
      </c>
      <c r="B134" s="128">
        <v>0</v>
      </c>
      <c r="C134" s="118" t="s">
        <v>203</v>
      </c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6"/>
    </row>
    <row r="135" spans="1:16" ht="15.75" customHeight="1" x14ac:dyDescent="0.25">
      <c r="A135" s="95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6"/>
    </row>
    <row r="136" spans="1:16" ht="15.75" customHeight="1" x14ac:dyDescent="0.25">
      <c r="A136" s="95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6"/>
    </row>
    <row r="137" spans="1:16" ht="16.5" customHeight="1" x14ac:dyDescent="0.25">
      <c r="A137" s="124" t="s">
        <v>207</v>
      </c>
      <c r="B137" s="118">
        <f>SUM(B130,B134)</f>
        <v>50.725767169995123</v>
      </c>
      <c r="C137" s="118" t="s">
        <v>203</v>
      </c>
      <c r="D137" s="98"/>
      <c r="E137" s="98"/>
      <c r="F137" s="118" t="s">
        <v>208</v>
      </c>
      <c r="G137" s="118">
        <f>B137/VLOOKUP(B78,'Gebouwgegevens Allacker'!$A$35:$B$46,2,0)</f>
        <v>0.31805381702695573</v>
      </c>
      <c r="H137" s="98"/>
      <c r="I137" s="98"/>
      <c r="J137" s="98"/>
      <c r="K137" s="98"/>
      <c r="L137" s="98"/>
      <c r="M137" s="98"/>
      <c r="N137" s="98"/>
      <c r="O137" s="98"/>
      <c r="P137" s="96"/>
    </row>
    <row r="138" spans="1:16" ht="16.5" customHeight="1" x14ac:dyDescent="0.25">
      <c r="A138" s="95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6"/>
    </row>
    <row r="139" spans="1:16" ht="16.5" customHeight="1" x14ac:dyDescent="0.25">
      <c r="A139" s="124" t="s">
        <v>209</v>
      </c>
      <c r="B139" s="118">
        <f>0.34*(B137)</f>
        <v>17.246760837798345</v>
      </c>
      <c r="C139" s="118" t="s">
        <v>107</v>
      </c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6"/>
    </row>
    <row r="140" spans="1:16" ht="16.5" customHeight="1" x14ac:dyDescent="0.25">
      <c r="A140" s="124" t="s">
        <v>167</v>
      </c>
      <c r="B140" s="118">
        <f>B139*(G109-$B$4)</f>
        <v>448.41578178275694</v>
      </c>
      <c r="C140" s="118" t="s">
        <v>169</v>
      </c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6"/>
    </row>
    <row r="141" spans="1:16" ht="15.75" customHeight="1" thickBot="1" x14ac:dyDescent="0.3">
      <c r="A141" s="109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1"/>
    </row>
    <row r="142" spans="1:16" ht="15.75" customHeight="1" thickTop="1" x14ac:dyDescent="0.25">
      <c r="A142" s="343" t="s">
        <v>210</v>
      </c>
      <c r="B142" s="343"/>
      <c r="C142" s="343"/>
      <c r="D142" s="343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6"/>
    </row>
    <row r="143" spans="1:16" ht="15" customHeight="1" thickBot="1" x14ac:dyDescent="0.3">
      <c r="A143" s="95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6"/>
    </row>
    <row r="144" spans="1:16" ht="15" customHeight="1" thickTop="1" thickBot="1" x14ac:dyDescent="0.3">
      <c r="A144" s="127" t="s">
        <v>211</v>
      </c>
      <c r="B144" s="121">
        <v>11</v>
      </c>
      <c r="C144" s="58" t="s">
        <v>212</v>
      </c>
      <c r="D144" s="5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6"/>
    </row>
    <row r="145" spans="1:16" ht="15.75" customHeight="1" thickTop="1" thickBot="1" x14ac:dyDescent="0.3">
      <c r="A145" s="127" t="s">
        <v>113</v>
      </c>
      <c r="B145" s="121">
        <f>B133</f>
        <v>120.6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6"/>
    </row>
    <row r="146" spans="1:16" ht="16.5" customHeight="1" thickTop="1" x14ac:dyDescent="0.25">
      <c r="A146" s="124" t="s">
        <v>213</v>
      </c>
      <c r="B146" s="118">
        <f>B147/('Gebouwgegevens Allacker'!E100-'Verwarming Tabula 2zone Ref 1'!$B$4)</f>
        <v>165.82499999999999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6"/>
    </row>
    <row r="147" spans="1:16" ht="16.5" customHeight="1" x14ac:dyDescent="0.25">
      <c r="A147" s="124" t="s">
        <v>167</v>
      </c>
      <c r="B147" s="118">
        <f>B144*B145</f>
        <v>1326.6</v>
      </c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6"/>
    </row>
    <row r="148" spans="1:16" ht="15.75" customHeight="1" x14ac:dyDescent="0.25">
      <c r="A148" s="95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6"/>
    </row>
    <row r="149" spans="1:16" ht="15.75" customHeight="1" thickBot="1" x14ac:dyDescent="0.3">
      <c r="A149" s="95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6"/>
    </row>
    <row r="150" spans="1:16" ht="15.75" customHeight="1" thickTop="1" thickBot="1" x14ac:dyDescent="0.3">
      <c r="A150" s="129" t="s">
        <v>214</v>
      </c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1"/>
    </row>
    <row r="151" spans="1:16" ht="16.5" customHeight="1" thickTop="1" x14ac:dyDescent="0.25">
      <c r="A151" s="124" t="s">
        <v>215</v>
      </c>
      <c r="B151" s="118">
        <f>SUM(B121,B139,B146)</f>
        <v>259.65459310088539</v>
      </c>
      <c r="C151" s="118" t="s">
        <v>107</v>
      </c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3"/>
    </row>
    <row r="152" spans="1:16" ht="16.5" customHeight="1" x14ac:dyDescent="0.25">
      <c r="A152" s="124" t="s">
        <v>167</v>
      </c>
      <c r="B152" s="118">
        <f>SUM(B122,B140,B147)</f>
        <v>3766.16942062302</v>
      </c>
      <c r="C152" s="118" t="s">
        <v>169</v>
      </c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3"/>
    </row>
    <row r="153" spans="1:16" ht="16.5" customHeight="1" thickBot="1" x14ac:dyDescent="0.3">
      <c r="A153" s="134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6"/>
    </row>
    <row r="154" spans="1:16" ht="15" customHeight="1" thickTop="1" x14ac:dyDescent="0.25">
      <c r="A154" s="137"/>
      <c r="B154" s="137"/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</row>
    <row r="155" spans="1:16" ht="15" customHeight="1" x14ac:dyDescent="0.25">
      <c r="A155" s="137"/>
      <c r="B155" s="137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</row>
    <row r="156" spans="1:16" ht="15.75" customHeight="1" thickBot="1" x14ac:dyDescent="0.3">
      <c r="A156" s="137"/>
      <c r="B156" s="137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</row>
    <row r="157" spans="1:16" ht="15" customHeight="1" thickTop="1" thickBot="1" x14ac:dyDescent="0.3">
      <c r="A157" s="93"/>
      <c r="B157" s="299"/>
      <c r="C157" s="299"/>
      <c r="D157" s="299"/>
      <c r="E157" s="299"/>
      <c r="F157" s="299"/>
      <c r="G157" s="299"/>
      <c r="H157" s="299"/>
      <c r="I157" s="299"/>
      <c r="J157" s="299"/>
      <c r="K157" s="299"/>
      <c r="L157" s="299"/>
      <c r="M157" s="299"/>
      <c r="N157" s="299"/>
      <c r="O157" s="299"/>
      <c r="P157" s="94"/>
    </row>
    <row r="158" spans="1:16" ht="17.25" customHeight="1" thickTop="1" thickBot="1" x14ac:dyDescent="0.35">
      <c r="A158" s="97" t="s">
        <v>166</v>
      </c>
      <c r="B158" s="92">
        <v>3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6"/>
    </row>
    <row r="159" spans="1:16" ht="15.75" customHeight="1" thickTop="1" x14ac:dyDescent="0.25">
      <c r="A159" s="343" t="s">
        <v>168</v>
      </c>
      <c r="B159" s="343"/>
      <c r="C159" s="343"/>
      <c r="D159" s="343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299"/>
      <c r="P159" s="94"/>
    </row>
    <row r="160" spans="1:16" ht="15" customHeight="1" x14ac:dyDescent="0.25">
      <c r="A160" s="95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6"/>
    </row>
    <row r="161" spans="1:16" ht="15" customHeight="1" x14ac:dyDescent="0.25">
      <c r="A161" s="103" t="s">
        <v>170</v>
      </c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6"/>
    </row>
    <row r="162" spans="1:16" ht="15" customHeight="1" x14ac:dyDescent="0.25">
      <c r="A162" s="95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6"/>
    </row>
    <row r="163" spans="1:16" ht="15.75" customHeight="1" thickBot="1" x14ac:dyDescent="0.3">
      <c r="A163" s="95"/>
      <c r="B163" s="104" t="s">
        <v>10</v>
      </c>
      <c r="C163" s="104" t="s">
        <v>171</v>
      </c>
      <c r="D163" s="104" t="s">
        <v>172</v>
      </c>
      <c r="E163" s="104" t="s">
        <v>173</v>
      </c>
      <c r="F163" s="104" t="s">
        <v>174</v>
      </c>
      <c r="G163" s="104" t="s">
        <v>16</v>
      </c>
      <c r="H163" s="105" t="s">
        <v>17</v>
      </c>
      <c r="I163" s="105" t="s">
        <v>175</v>
      </c>
      <c r="J163" s="98"/>
      <c r="K163" s="98"/>
      <c r="L163" s="98"/>
      <c r="M163" s="98"/>
      <c r="N163" s="98"/>
      <c r="O163" s="98"/>
      <c r="P163" s="96"/>
    </row>
    <row r="164" spans="1:16" ht="16.5" customHeight="1" thickTop="1" thickBot="1" x14ac:dyDescent="0.3">
      <c r="A164" s="95"/>
      <c r="B164" s="106" t="s">
        <v>66</v>
      </c>
      <c r="C164" s="107">
        <f>VLOOKUP(B164,'Gebouwgegevens Allacker'!$J$5:$Q$83,3,0)</f>
        <v>1</v>
      </c>
      <c r="D164" s="107" t="str">
        <f>VLOOKUP(B164,'Gebouwgegevens Allacker'!$J$5:$Q$83,4,0)</f>
        <v>Roof</v>
      </c>
      <c r="E164" s="107">
        <f>VLOOKUP(B164,'Gebouwgegevens Allacker'!$J$5:$Q$83,5,0)</f>
        <v>29</v>
      </c>
      <c r="F164" s="107">
        <f>VLOOKUP(B164,'Gebouwgegevens Allacker'!$J$5:$Q$83,6,0)</f>
        <v>0</v>
      </c>
      <c r="G164" s="107">
        <f>VLOOKUP(B164,'Gebouwgegevens Allacker'!$J$5:$Q$83,7,0)</f>
        <v>1.6975498473547073</v>
      </c>
      <c r="H164" s="108">
        <f>VLOOKUP(B164,'Gebouwgegevens Allacker'!$J$5:$Q$83,8,0)</f>
        <v>49.228945573286509</v>
      </c>
      <c r="I164" s="108">
        <v>1</v>
      </c>
      <c r="J164" s="98"/>
      <c r="K164" s="98"/>
      <c r="L164" s="98"/>
      <c r="M164" s="98"/>
      <c r="N164" s="98"/>
      <c r="O164" s="98"/>
      <c r="P164" s="96"/>
    </row>
    <row r="165" spans="1:16" ht="16.5" customHeight="1" thickTop="1" thickBot="1" x14ac:dyDescent="0.3">
      <c r="A165" s="95"/>
      <c r="B165" s="106" t="s">
        <v>67</v>
      </c>
      <c r="C165" s="107">
        <f>VLOOKUP(B165,'Gebouwgegevens Allacker'!$J$5:$Q$83,3,0)</f>
        <v>1</v>
      </c>
      <c r="D165" s="107" t="str">
        <f>VLOOKUP(B165,'Gebouwgegevens Allacker'!$J$5:$Q$83,4,0)</f>
        <v>Door</v>
      </c>
      <c r="E165" s="107">
        <f>VLOOKUP(B165,'Gebouwgegevens Allacker'!$J$5:$Q$83,5,0)</f>
        <v>7.5</v>
      </c>
      <c r="F165" s="107">
        <f>VLOOKUP(B165,'Gebouwgegevens Allacker'!$J$5:$Q$83,6,0)</f>
        <v>0</v>
      </c>
      <c r="G165" s="107">
        <f>VLOOKUP(B165,'Gebouwgegevens Allacker'!$J$5:$Q$83,7,0)</f>
        <v>4</v>
      </c>
      <c r="H165" s="108">
        <f>VLOOKUP(B165,'Gebouwgegevens Allacker'!$J$5:$Q$83,8,0)</f>
        <v>30</v>
      </c>
      <c r="I165" s="108">
        <v>1</v>
      </c>
      <c r="J165" s="98"/>
      <c r="K165" s="98"/>
      <c r="L165" s="98"/>
      <c r="M165" s="98"/>
      <c r="N165" s="98"/>
      <c r="O165" s="98"/>
      <c r="P165" s="96"/>
    </row>
    <row r="166" spans="1:16" ht="16.5" customHeight="1" thickTop="1" thickBot="1" x14ac:dyDescent="0.3">
      <c r="A166" s="95"/>
      <c r="B166" s="106"/>
      <c r="C166" s="107"/>
      <c r="D166" s="107"/>
      <c r="E166" s="107"/>
      <c r="F166" s="107"/>
      <c r="G166" s="107"/>
      <c r="H166" s="108"/>
      <c r="I166" s="108"/>
      <c r="J166" s="98"/>
      <c r="K166" s="98"/>
      <c r="L166" s="98"/>
      <c r="M166" s="98"/>
      <c r="N166" s="98"/>
      <c r="O166" s="98"/>
      <c r="P166" s="96"/>
    </row>
    <row r="167" spans="1:16" ht="16.5" customHeight="1" thickTop="1" thickBot="1" x14ac:dyDescent="0.3">
      <c r="A167" s="95"/>
      <c r="B167" s="106"/>
      <c r="C167" s="107"/>
      <c r="D167" s="107"/>
      <c r="E167" s="107"/>
      <c r="F167" s="107"/>
      <c r="G167" s="107"/>
      <c r="H167" s="108"/>
      <c r="I167" s="108"/>
      <c r="J167" s="98"/>
      <c r="K167" s="98"/>
      <c r="L167" s="98"/>
      <c r="M167" s="98"/>
      <c r="N167" s="98"/>
      <c r="O167" s="98"/>
      <c r="P167" s="96"/>
    </row>
    <row r="168" spans="1:16" ht="16.5" customHeight="1" thickTop="1" thickBot="1" x14ac:dyDescent="0.3">
      <c r="A168" s="95"/>
      <c r="B168" s="106"/>
      <c r="C168" s="107"/>
      <c r="D168" s="107"/>
      <c r="E168" s="107"/>
      <c r="F168" s="107"/>
      <c r="G168" s="107"/>
      <c r="H168" s="108"/>
      <c r="I168" s="108"/>
      <c r="J168" s="98"/>
      <c r="K168" s="98"/>
      <c r="L168" s="98"/>
      <c r="M168" s="98"/>
      <c r="N168" s="98"/>
      <c r="O168" s="98"/>
      <c r="P168" s="96"/>
    </row>
    <row r="169" spans="1:16" ht="16.5" customHeight="1" thickTop="1" thickBot="1" x14ac:dyDescent="0.3">
      <c r="A169" s="95"/>
      <c r="B169" s="106"/>
      <c r="C169" s="107"/>
      <c r="D169" s="107"/>
      <c r="E169" s="107"/>
      <c r="F169" s="107"/>
      <c r="G169" s="107"/>
      <c r="H169" s="108"/>
      <c r="I169" s="108"/>
      <c r="J169" s="98"/>
      <c r="K169" s="98"/>
      <c r="L169" s="98"/>
      <c r="M169" s="98"/>
      <c r="N169" s="98"/>
      <c r="O169" s="98"/>
      <c r="P169" s="96"/>
    </row>
    <row r="170" spans="1:16" ht="16.5" customHeight="1" thickTop="1" thickBot="1" x14ac:dyDescent="0.3">
      <c r="A170" s="95"/>
      <c r="B170" s="106"/>
      <c r="C170" s="107"/>
      <c r="D170" s="107"/>
      <c r="E170" s="107"/>
      <c r="F170" s="107"/>
      <c r="G170" s="107"/>
      <c r="H170" s="108"/>
      <c r="I170" s="108"/>
      <c r="J170" s="98"/>
      <c r="K170" s="98"/>
      <c r="L170" s="98"/>
      <c r="M170" s="98"/>
      <c r="N170" s="98"/>
      <c r="O170" s="98"/>
      <c r="P170" s="96"/>
    </row>
    <row r="171" spans="1:16" ht="16.5" customHeight="1" thickTop="1" thickBot="1" x14ac:dyDescent="0.3">
      <c r="A171" s="95"/>
      <c r="B171" s="106"/>
      <c r="C171" s="107"/>
      <c r="D171" s="107"/>
      <c r="E171" s="107"/>
      <c r="F171" s="107"/>
      <c r="G171" s="107"/>
      <c r="H171" s="108"/>
      <c r="I171" s="108"/>
      <c r="J171" s="98"/>
      <c r="K171" s="98"/>
      <c r="L171" s="98"/>
      <c r="M171" s="98"/>
      <c r="N171" s="98"/>
      <c r="O171" s="98"/>
      <c r="P171" s="96"/>
    </row>
    <row r="172" spans="1:16" ht="16.5" customHeight="1" thickTop="1" thickBot="1" x14ac:dyDescent="0.3">
      <c r="A172" s="95"/>
      <c r="B172" s="106"/>
      <c r="C172" s="107"/>
      <c r="D172" s="107"/>
      <c r="E172" s="107"/>
      <c r="F172" s="107"/>
      <c r="G172" s="107"/>
      <c r="H172" s="108"/>
      <c r="I172" s="108"/>
      <c r="J172" s="98"/>
      <c r="K172" s="98"/>
      <c r="L172" s="98"/>
      <c r="M172" s="98"/>
      <c r="N172" s="98"/>
      <c r="O172" s="98"/>
      <c r="P172" s="96"/>
    </row>
    <row r="173" spans="1:16" ht="16.5" customHeight="1" thickTop="1" thickBot="1" x14ac:dyDescent="0.3">
      <c r="A173" s="95"/>
      <c r="B173" s="106"/>
      <c r="C173" s="107"/>
      <c r="D173" s="107"/>
      <c r="E173" s="107"/>
      <c r="F173" s="107"/>
      <c r="G173" s="107"/>
      <c r="H173" s="108"/>
      <c r="I173" s="108"/>
      <c r="J173" s="98"/>
      <c r="K173" s="98"/>
      <c r="L173" s="98"/>
      <c r="M173" s="98"/>
      <c r="N173" s="98"/>
      <c r="O173" s="98"/>
      <c r="P173" s="96"/>
    </row>
    <row r="174" spans="1:16" ht="16.5" customHeight="1" thickTop="1" thickBot="1" x14ac:dyDescent="0.3">
      <c r="A174" s="95"/>
      <c r="B174" s="106"/>
      <c r="C174" s="107"/>
      <c r="D174" s="107"/>
      <c r="E174" s="107"/>
      <c r="F174" s="107"/>
      <c r="G174" s="107"/>
      <c r="H174" s="108"/>
      <c r="I174" s="108"/>
      <c r="J174" s="98"/>
      <c r="K174" s="98"/>
      <c r="L174" s="98"/>
      <c r="M174" s="98"/>
      <c r="N174" s="98"/>
      <c r="O174" s="98"/>
      <c r="P174" s="96"/>
    </row>
    <row r="175" spans="1:16" ht="16.5" customHeight="1" thickTop="1" thickBot="1" x14ac:dyDescent="0.3">
      <c r="A175" s="95"/>
      <c r="B175" s="106"/>
      <c r="C175" s="107"/>
      <c r="D175" s="107"/>
      <c r="E175" s="107"/>
      <c r="F175" s="107"/>
      <c r="G175" s="107"/>
      <c r="H175" s="108"/>
      <c r="I175" s="108"/>
      <c r="J175" s="98"/>
      <c r="K175" s="98"/>
      <c r="L175" s="98"/>
      <c r="M175" s="98"/>
      <c r="N175" s="98"/>
      <c r="O175" s="98"/>
      <c r="P175" s="96"/>
    </row>
    <row r="176" spans="1:16" ht="15.75" customHeight="1" thickTop="1" x14ac:dyDescent="0.25">
      <c r="A176" s="95"/>
      <c r="B176" s="58"/>
      <c r="C176" s="58"/>
      <c r="D176" s="58"/>
      <c r="E176" s="58"/>
      <c r="F176" s="58"/>
      <c r="G176" s="114"/>
      <c r="H176" s="58"/>
      <c r="I176" s="58"/>
      <c r="J176" s="98"/>
      <c r="K176" s="98"/>
      <c r="L176" s="98"/>
      <c r="M176" s="98"/>
      <c r="N176" s="98"/>
      <c r="O176" s="98"/>
      <c r="P176" s="96"/>
    </row>
    <row r="177" spans="1:16" ht="15" customHeight="1" x14ac:dyDescent="0.25">
      <c r="A177" s="95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6"/>
    </row>
    <row r="178" spans="1:16" ht="15" customHeight="1" x14ac:dyDescent="0.25">
      <c r="A178" s="103" t="s">
        <v>177</v>
      </c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6"/>
    </row>
    <row r="179" spans="1:16" ht="15.75" customHeight="1" x14ac:dyDescent="0.25">
      <c r="A179" s="95"/>
      <c r="B179" s="58" t="s">
        <v>10</v>
      </c>
      <c r="C179" s="58" t="s">
        <v>178</v>
      </c>
      <c r="D179" s="58" t="s">
        <v>172</v>
      </c>
      <c r="E179" s="58" t="s">
        <v>179</v>
      </c>
      <c r="F179" s="58" t="s">
        <v>16</v>
      </c>
      <c r="G179" s="114" t="s">
        <v>17</v>
      </c>
      <c r="H179" s="114" t="s">
        <v>175</v>
      </c>
      <c r="I179" s="58" t="s">
        <v>180</v>
      </c>
      <c r="J179" s="58" t="s">
        <v>181</v>
      </c>
      <c r="K179" s="58" t="s">
        <v>182</v>
      </c>
      <c r="L179" s="115" t="s">
        <v>183</v>
      </c>
      <c r="M179" s="115" t="s">
        <v>184</v>
      </c>
      <c r="N179" s="115" t="s">
        <v>185</v>
      </c>
      <c r="O179" s="98"/>
      <c r="P179" s="96"/>
    </row>
    <row r="180" spans="1:16" ht="16.5" customHeight="1" thickBot="1" x14ac:dyDescent="0.3">
      <c r="A180" s="95"/>
      <c r="B180" s="116" t="s">
        <v>223</v>
      </c>
      <c r="C180" s="117" t="e">
        <f>VLOOKUP(B180,'Gebouwgegevens Allacker'!$J$5:$Q$83,3,0)</f>
        <v>#N/A</v>
      </c>
      <c r="D180" s="117" t="e">
        <f>VLOOKUP(B180,'Gebouwgegevens Allacker'!$J$5:$Q$83,4,0)</f>
        <v>#N/A</v>
      </c>
      <c r="E180" s="117" t="e">
        <f>VLOOKUP(B180,'Gebouwgegevens Allacker'!$J$5:$Q$83,5,0)</f>
        <v>#N/A</v>
      </c>
      <c r="F180" s="117" t="e">
        <f>VLOOKUP(B180,'Gebouwgegevens Allacker'!$J$5:$Q$83,7,0)</f>
        <v>#N/A</v>
      </c>
      <c r="G180" s="118" t="e">
        <f>VLOOKUP(B180,'Gebouwgegevens Allacker'!$J$5:$Q$83,8,0)</f>
        <v>#N/A</v>
      </c>
      <c r="H180" s="118" t="e">
        <f>N180/F180</f>
        <v>#N/A</v>
      </c>
      <c r="I180" s="117" t="e">
        <f>VLOOKUP(C180,'Gebouwgegevens Allacker'!$A$35:$F$46,6,0)</f>
        <v>#N/A</v>
      </c>
      <c r="J180" s="116">
        <v>1.05</v>
      </c>
      <c r="K180" s="116">
        <v>0.33</v>
      </c>
      <c r="L180" s="119" t="e">
        <f>I180/(0.5*J180)</f>
        <v>#N/A</v>
      </c>
      <c r="M180" s="119" t="e">
        <f>K180+2*(1/F180)</f>
        <v>#N/A</v>
      </c>
      <c r="N180" s="120" t="e">
        <f>IF(M180&lt;L180,2*2/(PI()*L180+M180)*LN(PI()*L180/M180+1),2/(0.457*L180+M180))</f>
        <v>#N/A</v>
      </c>
      <c r="O180" s="98"/>
      <c r="P180" s="96"/>
    </row>
    <row r="181" spans="1:16" ht="16.5" customHeight="1" thickTop="1" thickBot="1" x14ac:dyDescent="0.3">
      <c r="A181" s="95"/>
      <c r="B181" s="116"/>
      <c r="C181" s="117"/>
      <c r="D181" s="117"/>
      <c r="E181" s="117"/>
      <c r="F181" s="117"/>
      <c r="G181" s="118"/>
      <c r="H181" s="118"/>
      <c r="I181" s="117"/>
      <c r="J181" s="116"/>
      <c r="K181" s="116"/>
      <c r="L181" s="119"/>
      <c r="M181" s="119"/>
      <c r="N181" s="120"/>
      <c r="O181" s="98"/>
      <c r="P181" s="96"/>
    </row>
    <row r="182" spans="1:16" ht="16.5" customHeight="1" thickTop="1" thickBot="1" x14ac:dyDescent="0.3">
      <c r="A182" s="95"/>
      <c r="B182" s="116"/>
      <c r="C182" s="117"/>
      <c r="D182" s="117"/>
      <c r="E182" s="117"/>
      <c r="F182" s="117"/>
      <c r="G182" s="118"/>
      <c r="H182" s="118"/>
      <c r="I182" s="117"/>
      <c r="J182" s="116"/>
      <c r="K182" s="116"/>
      <c r="L182" s="119"/>
      <c r="M182" s="119"/>
      <c r="N182" s="120"/>
      <c r="O182" s="98"/>
      <c r="P182" s="96"/>
    </row>
    <row r="183" spans="1:16" ht="16.5" customHeight="1" thickTop="1" thickBot="1" x14ac:dyDescent="0.3">
      <c r="A183" s="95"/>
      <c r="B183" s="116"/>
      <c r="C183" s="117"/>
      <c r="D183" s="117"/>
      <c r="E183" s="117"/>
      <c r="F183" s="117"/>
      <c r="G183" s="118"/>
      <c r="H183" s="118"/>
      <c r="I183" s="117"/>
      <c r="J183" s="116"/>
      <c r="K183" s="116"/>
      <c r="L183" s="119"/>
      <c r="M183" s="119"/>
      <c r="N183" s="120"/>
      <c r="O183" s="98"/>
      <c r="P183" s="96"/>
    </row>
    <row r="184" spans="1:16" ht="16.5" customHeight="1" thickTop="1" thickBot="1" x14ac:dyDescent="0.3">
      <c r="A184" s="138"/>
      <c r="B184" s="116"/>
      <c r="C184" s="117"/>
      <c r="D184" s="117"/>
      <c r="E184" s="117"/>
      <c r="F184" s="117"/>
      <c r="G184" s="118"/>
      <c r="H184" s="118"/>
      <c r="I184" s="117"/>
      <c r="J184" s="116"/>
      <c r="K184" s="116"/>
      <c r="L184" s="119"/>
      <c r="M184" s="119"/>
      <c r="N184" s="120"/>
      <c r="O184" s="98"/>
      <c r="P184" s="96"/>
    </row>
    <row r="185" spans="1:16" ht="15.75" customHeight="1" thickTop="1" x14ac:dyDescent="0.25">
      <c r="A185" s="95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6"/>
    </row>
    <row r="186" spans="1:16" ht="15" customHeight="1" x14ac:dyDescent="0.25">
      <c r="A186" s="103" t="s">
        <v>186</v>
      </c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6"/>
    </row>
    <row r="187" spans="1:16" ht="15.75" customHeight="1" thickBot="1" x14ac:dyDescent="0.3">
      <c r="A187" s="95"/>
      <c r="B187" s="58" t="s">
        <v>10</v>
      </c>
      <c r="C187" s="58" t="s">
        <v>187</v>
      </c>
      <c r="D187" s="58" t="s">
        <v>188</v>
      </c>
      <c r="E187" s="58" t="s">
        <v>135</v>
      </c>
      <c r="F187" s="58" t="s">
        <v>189</v>
      </c>
      <c r="G187" s="58" t="s">
        <v>190</v>
      </c>
      <c r="H187" s="58" t="s">
        <v>191</v>
      </c>
      <c r="I187" s="58" t="s">
        <v>16</v>
      </c>
      <c r="J187" s="114" t="s">
        <v>17</v>
      </c>
      <c r="K187" s="114" t="s">
        <v>175</v>
      </c>
      <c r="L187" s="98"/>
      <c r="M187" s="98"/>
      <c r="N187" s="98"/>
      <c r="O187" s="98"/>
      <c r="P187" s="96"/>
    </row>
    <row r="188" spans="1:16" ht="16.5" customHeight="1" thickTop="1" thickBot="1" x14ac:dyDescent="0.3">
      <c r="A188" s="95"/>
      <c r="B188" s="121" t="s">
        <v>224</v>
      </c>
      <c r="C188" s="122" t="e">
        <f>IF(VLOOKUP(B188,'Gebouwgegevens Allacker'!$J$5:$Q$83,2,0)=$B$158,VLOOKUP(B188,'Gebouwgegevens Allacker'!$J$5:$Q$83,2,0),VLOOKUP(B188,'Gebouwgegevens Allacker'!$J$5:$Q$83,3,0))</f>
        <v>#N/A</v>
      </c>
      <c r="D188" s="122" t="e">
        <f>IF(VLOOKUP(B188,'Gebouwgegevens Allacker'!$J$5:$Q$83,2,0)=$B$158,VLOOKUP(B188,'Gebouwgegevens Allacker'!$J$5:$Q$83,3,0),VLOOKUP(B188,'Gebouwgegevens Allacker'!$J$5:$Q$83,2,0))</f>
        <v>#N/A</v>
      </c>
      <c r="E188" s="122" t="e">
        <f>VLOOKUP(B188,'Gebouwgegevens Allacker'!$J$5:$Q$83,4,0)</f>
        <v>#N/A</v>
      </c>
      <c r="F188" s="122" t="e">
        <f>VLOOKUP(B188,'Gebouwgegevens Allacker'!$J$5:$Q$83,5,0)</f>
        <v>#N/A</v>
      </c>
      <c r="G188" s="122" t="e">
        <f>VLOOKUP('Verwarming Tabula 2zone Ref 1'!C188,'Gebouwgegevens Allacker'!$A$35:$F$46,5,0)</f>
        <v>#N/A</v>
      </c>
      <c r="H188" s="122" t="e">
        <f>VLOOKUP('Verwarming Tabula 2zone Ref 1'!D188,'Gebouwgegevens Allacker'!$A$35:$F$46,5,0)</f>
        <v>#N/A</v>
      </c>
      <c r="I188" s="122" t="e">
        <f>VLOOKUP(B188,'Gebouwgegevens Allacker'!$J$5:$Q$83,7,0)</f>
        <v>#N/A</v>
      </c>
      <c r="J188" s="118" t="e">
        <f>VLOOKUP(B188,'Gebouwgegevens Allacker'!$J$5:$Q$83,8,0)</f>
        <v>#N/A</v>
      </c>
      <c r="K188" s="118" t="e">
        <f>(G188-H188)/(G188-$B$4)</f>
        <v>#N/A</v>
      </c>
      <c r="L188" s="98"/>
      <c r="M188" s="98"/>
      <c r="N188" s="98"/>
      <c r="O188" s="98"/>
      <c r="P188" s="96"/>
    </row>
    <row r="189" spans="1:16" ht="16.5" customHeight="1" thickTop="1" thickBot="1" x14ac:dyDescent="0.3">
      <c r="A189" s="95"/>
      <c r="B189" s="121" t="s">
        <v>225</v>
      </c>
      <c r="C189" s="122" t="e">
        <f>IF(VLOOKUP(B189,'Gebouwgegevens Allacker'!$J$5:$Q$83,2,0)=$B$158,VLOOKUP(B189,'Gebouwgegevens Allacker'!$J$5:$Q$83,2,0),VLOOKUP(B189,'Gebouwgegevens Allacker'!$J$5:$Q$83,3,0))</f>
        <v>#N/A</v>
      </c>
      <c r="D189" s="122" t="e">
        <f>IF(VLOOKUP(B189,'Gebouwgegevens Allacker'!$J$5:$Q$83,2,0)=$B$158,VLOOKUP(B189,'Gebouwgegevens Allacker'!$J$5:$Q$83,3,0),VLOOKUP(B189,'Gebouwgegevens Allacker'!$J$5:$Q$83,2,0))</f>
        <v>#N/A</v>
      </c>
      <c r="E189" s="122" t="e">
        <f>VLOOKUP(B189,'Gebouwgegevens Allacker'!$J$5:$Q$83,4,0)</f>
        <v>#N/A</v>
      </c>
      <c r="F189" s="122" t="e">
        <f>VLOOKUP(B189,'Gebouwgegevens Allacker'!$J$5:$Q$83,5,0)</f>
        <v>#N/A</v>
      </c>
      <c r="G189" s="122" t="e">
        <f>VLOOKUP('Verwarming Tabula 2zone Ref 1'!C189,'Gebouwgegevens Allacker'!$A$35:$F$46,5,0)</f>
        <v>#N/A</v>
      </c>
      <c r="H189" s="122" t="e">
        <f>VLOOKUP('Verwarming Tabula 2zone Ref 1'!D189,'Gebouwgegevens Allacker'!$A$35:$F$46,5,0)</f>
        <v>#N/A</v>
      </c>
      <c r="I189" s="122" t="e">
        <f>VLOOKUP(B189,'Gebouwgegevens Allacker'!$J$5:$Q$83,7,0)</f>
        <v>#N/A</v>
      </c>
      <c r="J189" s="118" t="e">
        <f>VLOOKUP(B189,'Gebouwgegevens Allacker'!$J$5:$Q$83,8,0)</f>
        <v>#N/A</v>
      </c>
      <c r="K189" s="118" t="e">
        <f>(G189-H189)/(G189-$B$4)</f>
        <v>#N/A</v>
      </c>
      <c r="L189" s="98"/>
      <c r="M189" s="98"/>
      <c r="N189" s="98"/>
      <c r="O189" s="98"/>
      <c r="P189" s="96"/>
    </row>
    <row r="190" spans="1:16" ht="16.5" customHeight="1" thickTop="1" thickBot="1" x14ac:dyDescent="0.3">
      <c r="A190" s="95"/>
      <c r="B190" s="121" t="s">
        <v>226</v>
      </c>
      <c r="C190" s="122" t="e">
        <f>IF(VLOOKUP(B190,'Gebouwgegevens Allacker'!$J$5:$Q$83,2,0)=$B$158,VLOOKUP(B190,'Gebouwgegevens Allacker'!$J$5:$Q$83,2,0),VLOOKUP(B190,'Gebouwgegevens Allacker'!$J$5:$Q$83,3,0))</f>
        <v>#N/A</v>
      </c>
      <c r="D190" s="122" t="e">
        <f>IF(VLOOKUP(B190,'Gebouwgegevens Allacker'!$J$5:$Q$83,2,0)=$B$158,VLOOKUP(B190,'Gebouwgegevens Allacker'!$J$5:$Q$83,3,0),VLOOKUP(B190,'Gebouwgegevens Allacker'!$J$5:$Q$83,2,0))</f>
        <v>#N/A</v>
      </c>
      <c r="E190" s="122" t="e">
        <f>VLOOKUP(B190,'Gebouwgegevens Allacker'!$J$5:$Q$83,4,0)</f>
        <v>#N/A</v>
      </c>
      <c r="F190" s="122" t="e">
        <f>VLOOKUP(B190,'Gebouwgegevens Allacker'!$J$5:$Q$83,5,0)</f>
        <v>#N/A</v>
      </c>
      <c r="G190" s="122" t="e">
        <f>VLOOKUP('Verwarming Tabula 2zone Ref 1'!C190,'Gebouwgegevens Allacker'!$A$35:$F$46,5,0)</f>
        <v>#N/A</v>
      </c>
      <c r="H190" s="122" t="e">
        <f>VLOOKUP('Verwarming Tabula 2zone Ref 1'!D190,'Gebouwgegevens Allacker'!$A$35:$F$46,5,0)</f>
        <v>#N/A</v>
      </c>
      <c r="I190" s="122" t="e">
        <f>VLOOKUP(B190,'Gebouwgegevens Allacker'!$J$5:$Q$83,7,0)</f>
        <v>#N/A</v>
      </c>
      <c r="J190" s="118" t="e">
        <f>VLOOKUP(B190,'Gebouwgegevens Allacker'!$J$5:$Q$83,8,0)</f>
        <v>#N/A</v>
      </c>
      <c r="K190" s="118" t="e">
        <f>(G190-H190)/(G190-$B$4)</f>
        <v>#N/A</v>
      </c>
      <c r="L190" s="98"/>
      <c r="M190" s="98"/>
      <c r="N190" s="98"/>
      <c r="O190" s="98"/>
      <c r="P190" s="96"/>
    </row>
    <row r="191" spans="1:16" ht="16.5" customHeight="1" thickTop="1" thickBot="1" x14ac:dyDescent="0.3">
      <c r="A191" s="95"/>
      <c r="B191" s="92"/>
      <c r="C191" s="122"/>
      <c r="D191" s="122"/>
      <c r="E191" s="122"/>
      <c r="F191" s="122"/>
      <c r="G191" s="122"/>
      <c r="H191" s="122"/>
      <c r="I191" s="122"/>
      <c r="J191" s="118"/>
      <c r="K191" s="118"/>
      <c r="L191" s="98"/>
      <c r="M191" s="98"/>
      <c r="N191" s="98"/>
      <c r="O191" s="98"/>
      <c r="P191" s="96"/>
    </row>
    <row r="192" spans="1:16" ht="16.5" customHeight="1" thickTop="1" thickBot="1" x14ac:dyDescent="0.3">
      <c r="A192" s="95"/>
      <c r="B192" s="123"/>
      <c r="C192" s="139"/>
      <c r="D192" s="122"/>
      <c r="E192" s="122"/>
      <c r="F192" s="122"/>
      <c r="G192" s="122"/>
      <c r="H192" s="122"/>
      <c r="I192" s="122"/>
      <c r="J192" s="118"/>
      <c r="K192" s="118"/>
      <c r="L192" s="98"/>
      <c r="M192" s="98"/>
      <c r="N192" s="98"/>
      <c r="O192" s="98"/>
      <c r="P192" s="96"/>
    </row>
    <row r="193" spans="1:16" ht="16.5" customHeight="1" thickTop="1" thickBot="1" x14ac:dyDescent="0.3">
      <c r="A193" s="95"/>
      <c r="B193" s="123"/>
      <c r="C193" s="139"/>
      <c r="D193" s="122"/>
      <c r="E193" s="122"/>
      <c r="F193" s="122"/>
      <c r="G193" s="122"/>
      <c r="H193" s="122"/>
      <c r="I193" s="122"/>
      <c r="J193" s="118"/>
      <c r="K193" s="118"/>
      <c r="L193" s="98"/>
      <c r="M193" s="98"/>
      <c r="N193" s="98"/>
      <c r="O193" s="98"/>
      <c r="P193" s="96"/>
    </row>
    <row r="194" spans="1:16" ht="16.5" customHeight="1" thickTop="1" thickBot="1" x14ac:dyDescent="0.3">
      <c r="A194" s="95"/>
      <c r="B194" s="123"/>
      <c r="C194" s="139"/>
      <c r="D194" s="122"/>
      <c r="E194" s="122"/>
      <c r="F194" s="122"/>
      <c r="G194" s="122"/>
      <c r="H194" s="122"/>
      <c r="I194" s="122"/>
      <c r="J194" s="118"/>
      <c r="K194" s="118"/>
      <c r="L194" s="98"/>
      <c r="M194" s="98"/>
      <c r="N194" s="98"/>
      <c r="O194" s="98"/>
      <c r="P194" s="96"/>
    </row>
    <row r="195" spans="1:16" ht="16.5" customHeight="1" thickTop="1" thickBot="1" x14ac:dyDescent="0.3">
      <c r="A195" s="95"/>
      <c r="B195" s="123"/>
      <c r="C195" s="139"/>
      <c r="D195" s="122"/>
      <c r="E195" s="122"/>
      <c r="F195" s="122"/>
      <c r="G195" s="122"/>
      <c r="H195" s="122"/>
      <c r="I195" s="122"/>
      <c r="J195" s="118"/>
      <c r="K195" s="118"/>
      <c r="L195" s="98"/>
      <c r="M195" s="98"/>
      <c r="N195" s="98"/>
      <c r="O195" s="98"/>
      <c r="P195" s="96"/>
    </row>
    <row r="196" spans="1:16" ht="16.5" customHeight="1" thickTop="1" thickBot="1" x14ac:dyDescent="0.3">
      <c r="A196" s="95"/>
      <c r="B196" s="123"/>
      <c r="C196" s="139"/>
      <c r="D196" s="122"/>
      <c r="E196" s="122"/>
      <c r="F196" s="122"/>
      <c r="G196" s="122"/>
      <c r="H196" s="122"/>
      <c r="I196" s="122"/>
      <c r="J196" s="118"/>
      <c r="K196" s="118"/>
      <c r="L196" s="98"/>
      <c r="M196" s="98"/>
      <c r="N196" s="98"/>
      <c r="O196" s="98"/>
      <c r="P196" s="96"/>
    </row>
    <row r="197" spans="1:16" ht="16.5" customHeight="1" thickTop="1" thickBot="1" x14ac:dyDescent="0.3">
      <c r="A197" s="95"/>
      <c r="B197" s="123"/>
      <c r="C197" s="139"/>
      <c r="D197" s="122"/>
      <c r="E197" s="122"/>
      <c r="F197" s="122"/>
      <c r="G197" s="122"/>
      <c r="H197" s="122"/>
      <c r="I197" s="122"/>
      <c r="J197" s="118"/>
      <c r="K197" s="118"/>
      <c r="L197" s="98"/>
      <c r="M197" s="98"/>
      <c r="N197" s="98"/>
      <c r="O197" s="98"/>
      <c r="P197" s="96"/>
    </row>
    <row r="198" spans="1:16" ht="15.75" customHeight="1" thickTop="1" x14ac:dyDescent="0.25">
      <c r="A198" s="95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8"/>
      <c r="M198" s="98"/>
      <c r="N198" s="98"/>
      <c r="O198" s="98"/>
      <c r="P198" s="96"/>
    </row>
    <row r="199" spans="1:16" ht="15" customHeight="1" x14ac:dyDescent="0.25">
      <c r="A199" s="95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6"/>
    </row>
    <row r="200" spans="1:16" ht="15.75" customHeight="1" x14ac:dyDescent="0.25">
      <c r="A200" s="103" t="s">
        <v>192</v>
      </c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6"/>
    </row>
    <row r="201" spans="1:16" ht="16.5" customHeight="1" x14ac:dyDescent="0.25">
      <c r="A201" s="124" t="s">
        <v>193</v>
      </c>
      <c r="B201" s="118" t="e">
        <f>SUMPRODUCT(H164:H175,I164:I175)+SUMPRODUCT(G180:G184,H180:H184)+SUMPRODUCT(J188:J197,K188:K197)</f>
        <v>#N/A</v>
      </c>
      <c r="C201" s="118" t="s">
        <v>107</v>
      </c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6"/>
    </row>
    <row r="202" spans="1:16" ht="16.5" customHeight="1" x14ac:dyDescent="0.25">
      <c r="A202" s="124" t="s">
        <v>167</v>
      </c>
      <c r="B202" s="118" t="e">
        <f>B201*(G188-$B$4)</f>
        <v>#N/A</v>
      </c>
      <c r="C202" s="118" t="s">
        <v>169</v>
      </c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6"/>
    </row>
    <row r="203" spans="1:16" ht="15.75" customHeight="1" thickBot="1" x14ac:dyDescent="0.3">
      <c r="A203" s="109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1"/>
    </row>
    <row r="204" spans="1:16" ht="15.75" customHeight="1" thickTop="1" x14ac:dyDescent="0.25">
      <c r="A204" s="343" t="s">
        <v>194</v>
      </c>
      <c r="B204" s="343"/>
      <c r="C204" s="343"/>
      <c r="D204" s="125" t="s">
        <v>222</v>
      </c>
      <c r="E204" s="299"/>
      <c r="F204" s="299"/>
      <c r="G204" s="299"/>
      <c r="H204" s="299"/>
      <c r="I204" s="299"/>
      <c r="J204" s="299"/>
      <c r="K204" s="299"/>
      <c r="L204" s="299"/>
      <c r="M204" s="299"/>
      <c r="N204" s="299"/>
      <c r="O204" s="299"/>
      <c r="P204" s="94"/>
    </row>
    <row r="205" spans="1:16" ht="15" customHeight="1" x14ac:dyDescent="0.25">
      <c r="A205" s="95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6"/>
    </row>
    <row r="206" spans="1:16" ht="15" customHeight="1" thickBot="1" x14ac:dyDescent="0.3">
      <c r="A206" s="126" t="s">
        <v>195</v>
      </c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6"/>
    </row>
    <row r="207" spans="1:16" ht="15" customHeight="1" thickTop="1" thickBot="1" x14ac:dyDescent="0.3">
      <c r="A207" s="127" t="s">
        <v>196</v>
      </c>
      <c r="B207" s="121">
        <v>8</v>
      </c>
      <c r="C207" s="120" t="s">
        <v>197</v>
      </c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6"/>
    </row>
    <row r="208" spans="1:16" ht="15" customHeight="1" thickTop="1" thickBot="1" x14ac:dyDescent="0.3">
      <c r="A208" s="127" t="s">
        <v>198</v>
      </c>
      <c r="B208" s="121">
        <v>0.03</v>
      </c>
      <c r="C208" s="120" t="s">
        <v>199</v>
      </c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6"/>
    </row>
    <row r="209" spans="1:16" ht="15.75" customHeight="1" thickTop="1" thickBot="1" x14ac:dyDescent="0.3">
      <c r="A209" s="127" t="s">
        <v>200</v>
      </c>
      <c r="B209" s="121">
        <v>1</v>
      </c>
      <c r="C209" s="120" t="s">
        <v>201</v>
      </c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6"/>
    </row>
    <row r="210" spans="1:16" ht="16.5" customHeight="1" thickTop="1" x14ac:dyDescent="0.25">
      <c r="A210" s="124" t="s">
        <v>202</v>
      </c>
      <c r="B210" s="118">
        <f>2*VLOOKUP(B158,'Gebouwgegevens Allacker'!$A$35:$F$46,6,0)*B207*B208*B209</f>
        <v>0</v>
      </c>
      <c r="C210" s="118" t="s">
        <v>203</v>
      </c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6"/>
    </row>
    <row r="211" spans="1:16" ht="15.75" customHeight="1" x14ac:dyDescent="0.25">
      <c r="A211" s="95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6"/>
    </row>
    <row r="212" spans="1:16" ht="15" customHeight="1" x14ac:dyDescent="0.25">
      <c r="A212" s="126" t="s">
        <v>204</v>
      </c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6"/>
    </row>
    <row r="213" spans="1:16" ht="15.75" customHeight="1" x14ac:dyDescent="0.25">
      <c r="A213" s="95" t="s">
        <v>180</v>
      </c>
      <c r="B213" s="98">
        <f>VLOOKUP(B158,'Gebouwgegevens Allacker'!$A$35:$F$46,6,0)</f>
        <v>0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6"/>
    </row>
    <row r="214" spans="1:16" ht="16.5" customHeight="1" x14ac:dyDescent="0.25">
      <c r="A214" s="124" t="s">
        <v>205</v>
      </c>
      <c r="B214" s="128">
        <v>25</v>
      </c>
      <c r="C214" s="118" t="s">
        <v>203</v>
      </c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6"/>
    </row>
    <row r="215" spans="1:16" ht="15.75" customHeight="1" x14ac:dyDescent="0.25">
      <c r="A215" s="95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6"/>
    </row>
    <row r="216" spans="1:16" ht="15.75" customHeight="1" x14ac:dyDescent="0.25">
      <c r="A216" s="95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6"/>
    </row>
    <row r="217" spans="1:16" ht="16.5" customHeight="1" x14ac:dyDescent="0.25">
      <c r="A217" s="124" t="s">
        <v>207</v>
      </c>
      <c r="B217" s="118">
        <f>MAX(B210,B214)</f>
        <v>25</v>
      </c>
      <c r="C217" s="118" t="s">
        <v>203</v>
      </c>
      <c r="D217" s="98"/>
      <c r="E217" s="98"/>
      <c r="F217" s="118" t="s">
        <v>208</v>
      </c>
      <c r="G217" s="118">
        <f>B217/VLOOKUP(B158,'Gebouwgegevens Allacker'!$A$35:$B$46,2,0)</f>
        <v>0.16407644649795233</v>
      </c>
      <c r="H217" s="98"/>
      <c r="I217" s="98"/>
      <c r="J217" s="98"/>
      <c r="K217" s="98"/>
      <c r="L217" s="98"/>
      <c r="M217" s="98"/>
      <c r="N217" s="98"/>
      <c r="O217" s="98"/>
      <c r="P217" s="96"/>
    </row>
    <row r="218" spans="1:16" ht="16.5" customHeight="1" x14ac:dyDescent="0.25">
      <c r="A218" s="95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6"/>
    </row>
    <row r="219" spans="1:16" ht="16.5" customHeight="1" x14ac:dyDescent="0.25">
      <c r="A219" s="124" t="s">
        <v>209</v>
      </c>
      <c r="B219" s="118">
        <f>0.34*B217</f>
        <v>8.5</v>
      </c>
      <c r="C219" s="118" t="s">
        <v>107</v>
      </c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6"/>
    </row>
    <row r="220" spans="1:16" ht="16.5" customHeight="1" x14ac:dyDescent="0.25">
      <c r="A220" s="124" t="s">
        <v>167</v>
      </c>
      <c r="B220" s="118">
        <f>B219*('Gebouwgegevens Allacker'!E180-$B$4)</f>
        <v>68</v>
      </c>
      <c r="C220" s="118" t="s">
        <v>169</v>
      </c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6"/>
    </row>
    <row r="221" spans="1:16" ht="15.75" customHeight="1" thickBot="1" x14ac:dyDescent="0.3">
      <c r="A221" s="140"/>
      <c r="B221" s="141"/>
      <c r="C221" s="141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1"/>
    </row>
    <row r="222" spans="1:16" ht="15.75" customHeight="1" thickTop="1" x14ac:dyDescent="0.25">
      <c r="A222" s="343" t="s">
        <v>210</v>
      </c>
      <c r="B222" s="343"/>
      <c r="C222" s="343"/>
      <c r="D222" s="343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6"/>
    </row>
    <row r="223" spans="1:16" ht="15" customHeight="1" thickBot="1" x14ac:dyDescent="0.3">
      <c r="A223" s="95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6"/>
    </row>
    <row r="224" spans="1:16" ht="15" customHeight="1" thickTop="1" thickBot="1" x14ac:dyDescent="0.3">
      <c r="A224" s="127" t="s">
        <v>211</v>
      </c>
      <c r="B224" s="121">
        <v>0</v>
      </c>
      <c r="C224" s="58" t="s">
        <v>227</v>
      </c>
      <c r="D224" s="5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6"/>
    </row>
    <row r="225" spans="1:16" ht="15.75" customHeight="1" thickTop="1" x14ac:dyDescent="0.25">
      <c r="A225" s="3" t="s">
        <v>113</v>
      </c>
      <c r="B225" s="58">
        <f>VLOOKUP(B158,'Gebouwgegevens Allacker'!$A$35:$F$46,6,0)</f>
        <v>0</v>
      </c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6"/>
    </row>
    <row r="226" spans="1:16" ht="16.5" customHeight="1" x14ac:dyDescent="0.25">
      <c r="A226" s="124" t="s">
        <v>213</v>
      </c>
      <c r="B226" s="118">
        <f>B227/('Gebouwgegevens Allacker'!E180-'Verwarming Tabula 2zone Ref 1'!$B$4)</f>
        <v>0</v>
      </c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6"/>
    </row>
    <row r="227" spans="1:16" ht="16.5" customHeight="1" x14ac:dyDescent="0.25">
      <c r="A227" s="124" t="s">
        <v>167</v>
      </c>
      <c r="B227" s="118">
        <f>B224*B225</f>
        <v>0</v>
      </c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6"/>
    </row>
    <row r="228" spans="1:16" ht="15.75" customHeight="1" x14ac:dyDescent="0.25">
      <c r="A228" s="95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6"/>
    </row>
    <row r="229" spans="1:16" ht="15.75" customHeight="1" thickBot="1" x14ac:dyDescent="0.3">
      <c r="A229" s="95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6"/>
    </row>
    <row r="230" spans="1:16" ht="15.75" customHeight="1" thickTop="1" thickBot="1" x14ac:dyDescent="0.3">
      <c r="A230" s="129" t="s">
        <v>214</v>
      </c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1"/>
    </row>
    <row r="231" spans="1:16" ht="16.5" customHeight="1" thickTop="1" x14ac:dyDescent="0.25">
      <c r="A231" s="124" t="s">
        <v>215</v>
      </c>
      <c r="B231" s="118" t="e">
        <f>SUM(B201,B219,B226)</f>
        <v>#N/A</v>
      </c>
      <c r="C231" s="118" t="s">
        <v>107</v>
      </c>
      <c r="D231" s="132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3"/>
    </row>
    <row r="232" spans="1:16" ht="16.5" customHeight="1" x14ac:dyDescent="0.25">
      <c r="A232" s="124" t="s">
        <v>167</v>
      </c>
      <c r="B232" s="118" t="e">
        <f>SUM(B202,B220,B227)</f>
        <v>#N/A</v>
      </c>
      <c r="C232" s="118" t="s">
        <v>169</v>
      </c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3"/>
    </row>
    <row r="233" spans="1:16" ht="16.5" customHeight="1" thickBot="1" x14ac:dyDescent="0.3">
      <c r="A233" s="134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6"/>
    </row>
    <row r="234" spans="1:16" ht="15" customHeight="1" thickTop="1" x14ac:dyDescent="0.25">
      <c r="A234" s="137"/>
      <c r="B234" s="137"/>
      <c r="C234" s="137"/>
      <c r="D234" s="137"/>
      <c r="E234" s="137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</row>
    <row r="235" spans="1:16" ht="15.75" customHeight="1" thickBot="1" x14ac:dyDescent="0.3">
      <c r="A235" s="137"/>
      <c r="B235" s="137"/>
      <c r="C235" s="137"/>
      <c r="D235" s="137"/>
      <c r="E235" s="137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</row>
    <row r="236" spans="1:16" ht="15" customHeight="1" thickTop="1" thickBot="1" x14ac:dyDescent="0.3">
      <c r="A236" s="93"/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299"/>
      <c r="P236" s="94"/>
    </row>
    <row r="237" spans="1:16" ht="17.25" customHeight="1" thickTop="1" thickBot="1" x14ac:dyDescent="0.35">
      <c r="A237" s="97" t="s">
        <v>166</v>
      </c>
      <c r="B237" s="92">
        <v>4</v>
      </c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6"/>
    </row>
    <row r="238" spans="1:16" ht="15.75" customHeight="1" thickTop="1" x14ac:dyDescent="0.25">
      <c r="A238" s="343" t="s">
        <v>168</v>
      </c>
      <c r="B238" s="343"/>
      <c r="C238" s="343"/>
      <c r="D238" s="343"/>
      <c r="E238" s="299"/>
      <c r="F238" s="299"/>
      <c r="G238" s="299"/>
      <c r="H238" s="299"/>
      <c r="I238" s="299"/>
      <c r="J238" s="299"/>
      <c r="K238" s="299"/>
      <c r="L238" s="299"/>
      <c r="M238" s="299"/>
      <c r="N238" s="299"/>
      <c r="O238" s="299"/>
      <c r="P238" s="94"/>
    </row>
    <row r="239" spans="1:16" ht="15" customHeight="1" x14ac:dyDescent="0.25">
      <c r="A239" s="95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6"/>
    </row>
    <row r="240" spans="1:16" ht="15" customHeight="1" x14ac:dyDescent="0.25">
      <c r="A240" s="103" t="s">
        <v>170</v>
      </c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6"/>
    </row>
    <row r="241" spans="1:16" ht="15" customHeight="1" x14ac:dyDescent="0.25">
      <c r="A241" s="95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6"/>
    </row>
    <row r="242" spans="1:16" ht="15.75" customHeight="1" thickBot="1" x14ac:dyDescent="0.3">
      <c r="A242" s="95"/>
      <c r="B242" s="104" t="s">
        <v>10</v>
      </c>
      <c r="C242" s="104" t="s">
        <v>171</v>
      </c>
      <c r="D242" s="104" t="s">
        <v>172</v>
      </c>
      <c r="E242" s="104" t="s">
        <v>173</v>
      </c>
      <c r="F242" s="104" t="s">
        <v>174</v>
      </c>
      <c r="G242" s="104" t="s">
        <v>16</v>
      </c>
      <c r="H242" s="105" t="s">
        <v>17</v>
      </c>
      <c r="I242" s="105" t="s">
        <v>175</v>
      </c>
      <c r="J242" s="98"/>
      <c r="K242" s="98"/>
      <c r="L242" s="98"/>
      <c r="M242" s="98"/>
      <c r="N242" s="98"/>
      <c r="O242" s="98"/>
      <c r="P242" s="96"/>
    </row>
    <row r="243" spans="1:16" ht="16.5" customHeight="1" thickTop="1" thickBot="1" x14ac:dyDescent="0.3">
      <c r="A243" s="95"/>
      <c r="B243" s="106" t="s">
        <v>71</v>
      </c>
      <c r="C243" s="107">
        <f>VLOOKUP(B243,'Gebouwgegevens Allacker'!$J$5:$Q$83,3,0)</f>
        <v>3</v>
      </c>
      <c r="D243" s="107" t="str">
        <f>VLOOKUP(B243,'Gebouwgegevens Allacker'!$J$5:$Q$83,4,0)</f>
        <v>Wall External</v>
      </c>
      <c r="E243" s="107">
        <f>VLOOKUP(B243,'Gebouwgegevens Allacker'!$J$5:$Q$83,5,0)</f>
        <v>0</v>
      </c>
      <c r="F243" s="107" t="str">
        <f>VLOOKUP(B243,'Gebouwgegevens Allacker'!$J$5:$Q$83,6,0)</f>
        <v>front</v>
      </c>
      <c r="G243" s="107">
        <f>VLOOKUP(B243,'Gebouwgegevens Allacker'!$J$5:$Q$83,7,0)</f>
        <v>2.2022341505875525</v>
      </c>
      <c r="H243" s="108">
        <f>VLOOKUP(B243,'Gebouwgegevens Allacker'!$J$5:$Q$83,8,0)</f>
        <v>0</v>
      </c>
      <c r="I243" s="108">
        <v>1</v>
      </c>
      <c r="J243" s="98"/>
      <c r="K243" s="98"/>
      <c r="L243" s="98"/>
      <c r="M243" s="98"/>
      <c r="N243" s="98"/>
      <c r="O243" s="98"/>
      <c r="P243" s="96"/>
    </row>
    <row r="244" spans="1:16" ht="16.5" customHeight="1" thickTop="1" thickBot="1" x14ac:dyDescent="0.3">
      <c r="A244" s="95"/>
      <c r="B244" s="106" t="s">
        <v>75</v>
      </c>
      <c r="C244" s="107">
        <f>VLOOKUP(B244,'Gebouwgegevens Allacker'!$J$5:$Q$83,3,0)</f>
        <v>3</v>
      </c>
      <c r="D244" s="107" t="str">
        <f>VLOOKUP(B244,'Gebouwgegevens Allacker'!$J$5:$Q$83,4,0)</f>
        <v>Wall External</v>
      </c>
      <c r="E244" s="107">
        <f>VLOOKUP(B244,'Gebouwgegevens Allacker'!$J$5:$Q$83,5,0)</f>
        <v>14.24</v>
      </c>
      <c r="F244" s="107" t="str">
        <f>VLOOKUP(B244,'Gebouwgegevens Allacker'!$J$5:$Q$83,6,0)</f>
        <v>right</v>
      </c>
      <c r="G244" s="107">
        <f>VLOOKUP(B244,'Gebouwgegevens Allacker'!$J$5:$Q$83,7,0)</f>
        <v>2.2022341505875525</v>
      </c>
      <c r="H244" s="108">
        <f>VLOOKUP(B244,'Gebouwgegevens Allacker'!$J$5:$Q$83,8,0)</f>
        <v>31.359814304366747</v>
      </c>
      <c r="I244" s="108">
        <v>1</v>
      </c>
      <c r="J244" s="98"/>
      <c r="K244" s="98"/>
      <c r="L244" s="98"/>
      <c r="M244" s="98"/>
      <c r="N244" s="98"/>
      <c r="O244" s="98"/>
      <c r="P244" s="96"/>
    </row>
    <row r="245" spans="1:16" ht="16.5" customHeight="1" thickTop="1" thickBot="1" x14ac:dyDescent="0.3">
      <c r="A245" s="95"/>
      <c r="B245" s="106" t="s">
        <v>79</v>
      </c>
      <c r="C245" s="107">
        <f>VLOOKUP(B245,'Gebouwgegevens Allacker'!$J$5:$Q$83,3,0)</f>
        <v>3</v>
      </c>
      <c r="D245" s="107" t="str">
        <f>VLOOKUP(B245,'Gebouwgegevens Allacker'!$J$5:$Q$83,4,0)</f>
        <v>Wall External</v>
      </c>
      <c r="E245" s="107">
        <f>VLOOKUP(B245,'Gebouwgegevens Allacker'!$J$5:$Q$83,5,0)</f>
        <v>0</v>
      </c>
      <c r="F245" s="107" t="str">
        <f>VLOOKUP(B245,'Gebouwgegevens Allacker'!$J$5:$Q$83,6,0)</f>
        <v>back</v>
      </c>
      <c r="G245" s="107">
        <f>VLOOKUP(B245,'Gebouwgegevens Allacker'!$J$5:$Q$83,7,0)</f>
        <v>2.2022341505875525</v>
      </c>
      <c r="H245" s="108">
        <f>VLOOKUP(B245,'Gebouwgegevens Allacker'!$J$5:$Q$83,8,0)</f>
        <v>0</v>
      </c>
      <c r="I245" s="108">
        <v>1</v>
      </c>
      <c r="J245" s="98"/>
      <c r="K245" s="98"/>
      <c r="L245" s="98"/>
      <c r="M245" s="98"/>
      <c r="N245" s="98"/>
      <c r="O245" s="98"/>
      <c r="P245" s="96"/>
    </row>
    <row r="246" spans="1:16" ht="16.5" customHeight="1" thickTop="1" thickBot="1" x14ac:dyDescent="0.3">
      <c r="A246" s="95"/>
      <c r="B246" s="142" t="s">
        <v>82</v>
      </c>
      <c r="C246" s="107">
        <f>VLOOKUP(B246,'Gebouwgegevens Allacker'!$J$5:$Q$83,3,0)</f>
        <v>3</v>
      </c>
      <c r="D246" s="107" t="str">
        <f>VLOOKUP(B246,'Gebouwgegevens Allacker'!$J$5:$Q$83,4,0)</f>
        <v>Wall External</v>
      </c>
      <c r="E246" s="107">
        <f>VLOOKUP(B246,'Gebouwgegevens Allacker'!$J$5:$Q$83,5,0)</f>
        <v>14.24</v>
      </c>
      <c r="F246" s="107" t="str">
        <f>VLOOKUP(B246,'Gebouwgegevens Allacker'!$J$5:$Q$83,6,0)</f>
        <v>left</v>
      </c>
      <c r="G246" s="107">
        <f>VLOOKUP(B246,'Gebouwgegevens Allacker'!$J$5:$Q$83,7,0)</f>
        <v>2.2022341505875525</v>
      </c>
      <c r="H246" s="108">
        <f>VLOOKUP(B246,'Gebouwgegevens Allacker'!$J$5:$Q$83,8,0)</f>
        <v>31.359814304366747</v>
      </c>
      <c r="I246" s="108">
        <v>1</v>
      </c>
      <c r="J246" s="98"/>
      <c r="K246" s="98"/>
      <c r="L246" s="98"/>
      <c r="M246" s="98"/>
      <c r="N246" s="98"/>
      <c r="O246" s="98"/>
      <c r="P246" s="96"/>
    </row>
    <row r="247" spans="1:16" ht="16.5" customHeight="1" thickTop="1" thickBot="1" x14ac:dyDescent="0.3">
      <c r="A247" s="95"/>
      <c r="B247" s="143"/>
      <c r="C247" s="144"/>
      <c r="D247" s="107"/>
      <c r="E247" s="107"/>
      <c r="F247" s="107"/>
      <c r="G247" s="107"/>
      <c r="H247" s="108"/>
      <c r="I247" s="108"/>
      <c r="J247" s="98"/>
      <c r="K247" s="98"/>
      <c r="L247" s="98"/>
      <c r="M247" s="98"/>
      <c r="N247" s="98"/>
      <c r="O247" s="98"/>
      <c r="P247" s="96"/>
    </row>
    <row r="248" spans="1:16" ht="16.5" customHeight="1" thickTop="1" thickBot="1" x14ac:dyDescent="0.3">
      <c r="A248" s="95"/>
      <c r="B248" s="143"/>
      <c r="C248" s="144"/>
      <c r="D248" s="107"/>
      <c r="E248" s="107"/>
      <c r="F248" s="107"/>
      <c r="G248" s="107"/>
      <c r="H248" s="108"/>
      <c r="I248" s="108"/>
      <c r="J248" s="98"/>
      <c r="K248" s="98"/>
      <c r="L248" s="98"/>
      <c r="M248" s="98"/>
      <c r="N248" s="98"/>
      <c r="O248" s="98"/>
      <c r="P248" s="96"/>
    </row>
    <row r="249" spans="1:16" ht="16.5" customHeight="1" thickTop="1" thickBot="1" x14ac:dyDescent="0.3">
      <c r="A249" s="95"/>
      <c r="B249" s="143"/>
      <c r="C249" s="144"/>
      <c r="D249" s="107"/>
      <c r="E249" s="107"/>
      <c r="F249" s="107"/>
      <c r="G249" s="107"/>
      <c r="H249" s="108"/>
      <c r="I249" s="108"/>
      <c r="J249" s="98"/>
      <c r="K249" s="98"/>
      <c r="L249" s="98"/>
      <c r="M249" s="98"/>
      <c r="N249" s="98"/>
      <c r="O249" s="98"/>
      <c r="P249" s="96"/>
    </row>
    <row r="250" spans="1:16" ht="16.5" customHeight="1" thickTop="1" thickBot="1" x14ac:dyDescent="0.3">
      <c r="A250" s="95"/>
      <c r="B250" s="143"/>
      <c r="C250" s="144"/>
      <c r="D250" s="107"/>
      <c r="E250" s="107"/>
      <c r="F250" s="107"/>
      <c r="G250" s="107"/>
      <c r="H250" s="108"/>
      <c r="I250" s="108"/>
      <c r="J250" s="98"/>
      <c r="K250" s="98"/>
      <c r="L250" s="98"/>
      <c r="M250" s="98"/>
      <c r="N250" s="98"/>
      <c r="O250" s="98"/>
      <c r="P250" s="96"/>
    </row>
    <row r="251" spans="1:16" ht="16.5" customHeight="1" thickTop="1" thickBot="1" x14ac:dyDescent="0.3">
      <c r="A251" s="95"/>
      <c r="B251" s="143"/>
      <c r="C251" s="144"/>
      <c r="D251" s="107"/>
      <c r="E251" s="107"/>
      <c r="F251" s="107"/>
      <c r="G251" s="107"/>
      <c r="H251" s="108"/>
      <c r="I251" s="108"/>
      <c r="J251" s="98"/>
      <c r="K251" s="98"/>
      <c r="L251" s="98"/>
      <c r="M251" s="98"/>
      <c r="N251" s="98"/>
      <c r="O251" s="98"/>
      <c r="P251" s="96"/>
    </row>
    <row r="252" spans="1:16" ht="16.5" customHeight="1" thickTop="1" thickBot="1" x14ac:dyDescent="0.3">
      <c r="A252" s="95"/>
      <c r="B252" s="143"/>
      <c r="C252" s="144"/>
      <c r="D252" s="107"/>
      <c r="E252" s="107"/>
      <c r="F252" s="107"/>
      <c r="G252" s="107"/>
      <c r="H252" s="108"/>
      <c r="I252" s="108"/>
      <c r="J252" s="98"/>
      <c r="K252" s="98"/>
      <c r="L252" s="98"/>
      <c r="M252" s="98"/>
      <c r="N252" s="98"/>
      <c r="O252" s="98"/>
      <c r="P252" s="96"/>
    </row>
    <row r="253" spans="1:16" ht="16.5" customHeight="1" thickTop="1" thickBot="1" x14ac:dyDescent="0.3">
      <c r="A253" s="95"/>
      <c r="B253" s="143"/>
      <c r="C253" s="144"/>
      <c r="D253" s="107"/>
      <c r="E253" s="107"/>
      <c r="F253" s="107"/>
      <c r="G253" s="107"/>
      <c r="H253" s="108"/>
      <c r="I253" s="108"/>
      <c r="J253" s="98"/>
      <c r="K253" s="98"/>
      <c r="L253" s="98"/>
      <c r="M253" s="98"/>
      <c r="N253" s="98"/>
      <c r="O253" s="98"/>
      <c r="P253" s="96"/>
    </row>
    <row r="254" spans="1:16" ht="16.5" customHeight="1" thickTop="1" thickBot="1" x14ac:dyDescent="0.3">
      <c r="A254" s="95"/>
      <c r="B254" s="143"/>
      <c r="C254" s="144"/>
      <c r="D254" s="107"/>
      <c r="E254" s="107"/>
      <c r="F254" s="107"/>
      <c r="G254" s="107"/>
      <c r="H254" s="108"/>
      <c r="I254" s="108"/>
      <c r="J254" s="98"/>
      <c r="K254" s="98"/>
      <c r="L254" s="98"/>
      <c r="M254" s="98"/>
      <c r="N254" s="98"/>
      <c r="O254" s="98"/>
      <c r="P254" s="96"/>
    </row>
    <row r="255" spans="1:16" ht="15.75" customHeight="1" thickTop="1" x14ac:dyDescent="0.25">
      <c r="A255" s="95"/>
      <c r="B255" s="58"/>
      <c r="C255" s="58"/>
      <c r="D255" s="58"/>
      <c r="E255" s="58"/>
      <c r="F255" s="58"/>
      <c r="G255" s="114"/>
      <c r="H255" s="58"/>
      <c r="I255" s="58"/>
      <c r="J255" s="98"/>
      <c r="K255" s="98"/>
      <c r="L255" s="98"/>
      <c r="M255" s="98"/>
      <c r="N255" s="98"/>
      <c r="O255" s="98"/>
      <c r="P255" s="96"/>
    </row>
    <row r="256" spans="1:16" ht="15" customHeight="1" x14ac:dyDescent="0.25">
      <c r="A256" s="95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6"/>
    </row>
    <row r="257" spans="1:16" ht="15" customHeight="1" x14ac:dyDescent="0.25">
      <c r="A257" s="103" t="s">
        <v>177</v>
      </c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6"/>
    </row>
    <row r="258" spans="1:16" ht="15.75" customHeight="1" x14ac:dyDescent="0.25">
      <c r="A258" s="95"/>
      <c r="B258" s="58" t="s">
        <v>10</v>
      </c>
      <c r="C258" s="58" t="s">
        <v>178</v>
      </c>
      <c r="D258" s="58" t="s">
        <v>172</v>
      </c>
      <c r="E258" s="58" t="s">
        <v>179</v>
      </c>
      <c r="F258" s="58" t="s">
        <v>16</v>
      </c>
      <c r="G258" s="114" t="s">
        <v>17</v>
      </c>
      <c r="H258" s="114" t="s">
        <v>175</v>
      </c>
      <c r="I258" s="58" t="s">
        <v>180</v>
      </c>
      <c r="J258" s="58" t="s">
        <v>181</v>
      </c>
      <c r="K258" s="58" t="s">
        <v>182</v>
      </c>
      <c r="L258" s="115" t="s">
        <v>183</v>
      </c>
      <c r="M258" s="115" t="s">
        <v>184</v>
      </c>
      <c r="N258" s="115" t="s">
        <v>185</v>
      </c>
      <c r="O258" s="98"/>
      <c r="P258" s="96"/>
    </row>
    <row r="259" spans="1:16" ht="16.5" customHeight="1" thickBot="1" x14ac:dyDescent="0.3">
      <c r="A259" s="95"/>
      <c r="B259" s="116"/>
      <c r="C259" s="117"/>
      <c r="D259" s="117"/>
      <c r="E259" s="117"/>
      <c r="F259" s="117"/>
      <c r="G259" s="118"/>
      <c r="H259" s="118"/>
      <c r="I259" s="117"/>
      <c r="J259" s="116"/>
      <c r="K259" s="116"/>
      <c r="L259" s="119"/>
      <c r="M259" s="119"/>
      <c r="N259" s="120"/>
      <c r="O259" s="98"/>
      <c r="P259" s="96"/>
    </row>
    <row r="260" spans="1:16" ht="16.5" customHeight="1" thickTop="1" thickBot="1" x14ac:dyDescent="0.3">
      <c r="A260" s="95"/>
      <c r="B260" s="116"/>
      <c r="C260" s="117"/>
      <c r="D260" s="117"/>
      <c r="E260" s="117"/>
      <c r="F260" s="117"/>
      <c r="G260" s="118"/>
      <c r="H260" s="118"/>
      <c r="I260" s="117"/>
      <c r="J260" s="116"/>
      <c r="K260" s="116"/>
      <c r="L260" s="119"/>
      <c r="M260" s="119"/>
      <c r="N260" s="120"/>
      <c r="O260" s="98"/>
      <c r="P260" s="96"/>
    </row>
    <row r="261" spans="1:16" ht="16.5" customHeight="1" thickTop="1" thickBot="1" x14ac:dyDescent="0.3">
      <c r="A261" s="95"/>
      <c r="B261" s="116"/>
      <c r="C261" s="117"/>
      <c r="D261" s="117"/>
      <c r="E261" s="117"/>
      <c r="F261" s="117"/>
      <c r="G261" s="118"/>
      <c r="H261" s="118"/>
      <c r="I261" s="117"/>
      <c r="J261" s="116"/>
      <c r="K261" s="116"/>
      <c r="L261" s="119"/>
      <c r="M261" s="119"/>
      <c r="N261" s="120"/>
      <c r="O261" s="98"/>
      <c r="P261" s="96"/>
    </row>
    <row r="262" spans="1:16" ht="16.5" customHeight="1" thickTop="1" thickBot="1" x14ac:dyDescent="0.3">
      <c r="A262" s="95"/>
      <c r="B262" s="116"/>
      <c r="C262" s="117"/>
      <c r="D262" s="117"/>
      <c r="E262" s="117"/>
      <c r="F262" s="117"/>
      <c r="G262" s="118"/>
      <c r="H262" s="118"/>
      <c r="I262" s="117"/>
      <c r="J262" s="116"/>
      <c r="K262" s="116"/>
      <c r="L262" s="119"/>
      <c r="M262" s="119"/>
      <c r="N262" s="120"/>
      <c r="O262" s="98"/>
      <c r="P262" s="96"/>
    </row>
    <row r="263" spans="1:16" ht="16.5" customHeight="1" thickTop="1" thickBot="1" x14ac:dyDescent="0.3">
      <c r="A263" s="138"/>
      <c r="B263" s="116"/>
      <c r="C263" s="117"/>
      <c r="D263" s="117"/>
      <c r="E263" s="117"/>
      <c r="F263" s="117"/>
      <c r="G263" s="118"/>
      <c r="H263" s="118"/>
      <c r="I263" s="117"/>
      <c r="J263" s="116"/>
      <c r="K263" s="116"/>
      <c r="L263" s="119"/>
      <c r="M263" s="119"/>
      <c r="N263" s="120"/>
      <c r="O263" s="98"/>
      <c r="P263" s="96"/>
    </row>
    <row r="264" spans="1:16" ht="15.75" customHeight="1" thickTop="1" x14ac:dyDescent="0.25">
      <c r="A264" s="95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6"/>
    </row>
    <row r="265" spans="1:16" ht="15" customHeight="1" x14ac:dyDescent="0.25">
      <c r="A265" s="103" t="s">
        <v>186</v>
      </c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6"/>
    </row>
    <row r="266" spans="1:16" ht="15.75" customHeight="1" thickBot="1" x14ac:dyDescent="0.3">
      <c r="A266" s="95"/>
      <c r="B266" s="58" t="s">
        <v>10</v>
      </c>
      <c r="C266" s="58" t="s">
        <v>187</v>
      </c>
      <c r="D266" s="58" t="s">
        <v>188</v>
      </c>
      <c r="E266" s="58" t="s">
        <v>135</v>
      </c>
      <c r="F266" s="58" t="s">
        <v>189</v>
      </c>
      <c r="G266" s="58" t="s">
        <v>190</v>
      </c>
      <c r="H266" s="58" t="s">
        <v>191</v>
      </c>
      <c r="I266" s="58" t="s">
        <v>16</v>
      </c>
      <c r="J266" s="114" t="s">
        <v>17</v>
      </c>
      <c r="K266" s="114" t="s">
        <v>175</v>
      </c>
      <c r="L266" s="98"/>
      <c r="M266" s="98"/>
      <c r="N266" s="98"/>
      <c r="O266" s="98"/>
      <c r="P266" s="96"/>
    </row>
    <row r="267" spans="1:16" ht="16.5" customHeight="1" thickTop="1" thickBot="1" x14ac:dyDescent="0.3">
      <c r="A267" s="95"/>
      <c r="B267" s="121" t="s">
        <v>228</v>
      </c>
      <c r="C267" s="122" t="e">
        <f>IF(VLOOKUP(B267,'Gebouwgegevens Allacker'!$J$5:$Q$83,2,0)=$B$237,VLOOKUP(B267,'Gebouwgegevens Allacker'!$J$5:$Q$83,2,0),VLOOKUP(B267,'Gebouwgegevens Allacker'!$J$5:$Q$83,3,0))</f>
        <v>#N/A</v>
      </c>
      <c r="D267" s="122" t="e">
        <f>IF(VLOOKUP(B267,'Gebouwgegevens Allacker'!$J$5:$Q$83,2,0)=$B$237,VLOOKUP(B267,'Gebouwgegevens Allacker'!$J$5:$Q$83,3,0),VLOOKUP(B267,'Gebouwgegevens Allacker'!$J$5:$Q$83,2,0))</f>
        <v>#N/A</v>
      </c>
      <c r="E267" s="122" t="e">
        <f>VLOOKUP(B267,'Gebouwgegevens Allacker'!$J$5:$Q$83,4,0)</f>
        <v>#N/A</v>
      </c>
      <c r="F267" s="122" t="e">
        <f>VLOOKUP(B267,'Gebouwgegevens Allacker'!$J$5:$Q$83,5,0)</f>
        <v>#N/A</v>
      </c>
      <c r="G267" s="122" t="e">
        <f>VLOOKUP('Verwarming Tabula 2zone Ref 1'!C267,'Gebouwgegevens Allacker'!$A$35:$F$46,5,0)</f>
        <v>#N/A</v>
      </c>
      <c r="H267" s="122" t="e">
        <f>VLOOKUP('Verwarming Tabula 2zone Ref 1'!D267,'Gebouwgegevens Allacker'!$A$35:$F$46,5,0)</f>
        <v>#N/A</v>
      </c>
      <c r="I267" s="122" t="e">
        <f>VLOOKUP(B267,'Gebouwgegevens Allacker'!$J$5:$Q$83,7,0)</f>
        <v>#N/A</v>
      </c>
      <c r="J267" s="118" t="e">
        <f>VLOOKUP(B267,'Gebouwgegevens Allacker'!$J$5:$Q$83,8,0)</f>
        <v>#N/A</v>
      </c>
      <c r="K267" s="118" t="e">
        <f>(G267-H267)/(G267-$B$4)</f>
        <v>#N/A</v>
      </c>
      <c r="L267" s="98"/>
      <c r="M267" s="98"/>
      <c r="N267" s="98"/>
      <c r="O267" s="98"/>
      <c r="P267" s="96"/>
    </row>
    <row r="268" spans="1:16" ht="16.5" customHeight="1" thickTop="1" thickBot="1" x14ac:dyDescent="0.3">
      <c r="A268" s="95"/>
      <c r="B268" s="121" t="s">
        <v>229</v>
      </c>
      <c r="C268" s="122" t="e">
        <f>IF(VLOOKUP(B268,'Gebouwgegevens Allacker'!$J$5:$Q$83,2,0)=$B$237,VLOOKUP(B268,'Gebouwgegevens Allacker'!$J$5:$Q$83,2,0),VLOOKUP(B268,'Gebouwgegevens Allacker'!$J$5:$Q$83,3,0))</f>
        <v>#N/A</v>
      </c>
      <c r="D268" s="122" t="e">
        <f>IF(VLOOKUP(B268,'Gebouwgegevens Allacker'!$J$5:$Q$83,2,0)=$B$237,VLOOKUP(B268,'Gebouwgegevens Allacker'!$J$5:$Q$83,3,0),VLOOKUP(B268,'Gebouwgegevens Allacker'!$J$5:$Q$83,2,0))</f>
        <v>#N/A</v>
      </c>
      <c r="E268" s="122" t="e">
        <f>VLOOKUP(B268,'Gebouwgegevens Allacker'!$J$5:$Q$83,4,0)</f>
        <v>#N/A</v>
      </c>
      <c r="F268" s="122" t="e">
        <f>VLOOKUP(B268,'Gebouwgegevens Allacker'!$J$5:$Q$83,5,0)</f>
        <v>#N/A</v>
      </c>
      <c r="G268" s="122" t="e">
        <f>VLOOKUP('Verwarming Tabula 2zone Ref 1'!C268,'Gebouwgegevens Allacker'!$A$35:$F$46,5,0)</f>
        <v>#N/A</v>
      </c>
      <c r="H268" s="122" t="e">
        <f>VLOOKUP('Verwarming Tabula 2zone Ref 1'!D268,'Gebouwgegevens Allacker'!$A$35:$F$46,5,0)</f>
        <v>#N/A</v>
      </c>
      <c r="I268" s="122" t="e">
        <f>VLOOKUP(B268,'Gebouwgegevens Allacker'!$J$5:$Q$83,7,0)</f>
        <v>#N/A</v>
      </c>
      <c r="J268" s="118" t="e">
        <f>VLOOKUP(B268,'Gebouwgegevens Allacker'!$J$5:$Q$83,8,0)</f>
        <v>#N/A</v>
      </c>
      <c r="K268" s="118" t="e">
        <f>(G268-H268)/(G268-$B$4)</f>
        <v>#N/A</v>
      </c>
      <c r="L268" s="98"/>
      <c r="M268" s="98"/>
      <c r="N268" s="98"/>
      <c r="O268" s="98"/>
      <c r="P268" s="96"/>
    </row>
    <row r="269" spans="1:16" ht="16.5" customHeight="1" thickTop="1" thickBot="1" x14ac:dyDescent="0.3">
      <c r="A269" s="95"/>
      <c r="B269" s="121" t="s">
        <v>230</v>
      </c>
      <c r="C269" s="122" t="e">
        <f>IF(VLOOKUP(B269,'Gebouwgegevens Allacker'!$J$5:$Q$83,2,0)=$B$237,VLOOKUP(B269,'Gebouwgegevens Allacker'!$J$5:$Q$83,2,0),VLOOKUP(B269,'Gebouwgegevens Allacker'!$J$5:$Q$83,3,0))</f>
        <v>#N/A</v>
      </c>
      <c r="D269" s="122" t="e">
        <f>IF(VLOOKUP(B269,'Gebouwgegevens Allacker'!$J$5:$Q$83,2,0)=$B$237,VLOOKUP(B269,'Gebouwgegevens Allacker'!$J$5:$Q$83,3,0),VLOOKUP(B269,'Gebouwgegevens Allacker'!$J$5:$Q$83,2,0))</f>
        <v>#N/A</v>
      </c>
      <c r="E269" s="122" t="e">
        <f>VLOOKUP(B269,'Gebouwgegevens Allacker'!$J$5:$Q$83,4,0)</f>
        <v>#N/A</v>
      </c>
      <c r="F269" s="122" t="e">
        <f>VLOOKUP(B269,'Gebouwgegevens Allacker'!$J$5:$Q$83,5,0)</f>
        <v>#N/A</v>
      </c>
      <c r="G269" s="122" t="e">
        <f>VLOOKUP('Verwarming Tabula 2zone Ref 1'!C269,'Gebouwgegevens Allacker'!$A$35:$F$46,5,0)</f>
        <v>#N/A</v>
      </c>
      <c r="H269" s="122" t="e">
        <f>VLOOKUP('Verwarming Tabula 2zone Ref 1'!D269,'Gebouwgegevens Allacker'!$A$35:$F$46,5,0)</f>
        <v>#N/A</v>
      </c>
      <c r="I269" s="122" t="e">
        <f>VLOOKUP(B269,'Gebouwgegevens Allacker'!$J$5:$Q$83,7,0)</f>
        <v>#N/A</v>
      </c>
      <c r="J269" s="118" t="e">
        <f>VLOOKUP(B269,'Gebouwgegevens Allacker'!$J$5:$Q$83,8,0)</f>
        <v>#N/A</v>
      </c>
      <c r="K269" s="118" t="e">
        <f>(G269-H269)/(G269-$B$4)</f>
        <v>#N/A</v>
      </c>
      <c r="L269" s="98"/>
      <c r="M269" s="98"/>
      <c r="N269" s="98"/>
      <c r="O269" s="98"/>
      <c r="P269" s="96"/>
    </row>
    <row r="270" spans="1:16" ht="16.5" customHeight="1" thickTop="1" thickBot="1" x14ac:dyDescent="0.3">
      <c r="A270" s="95"/>
      <c r="B270" s="92" t="s">
        <v>231</v>
      </c>
      <c r="C270" s="122" t="e">
        <f>IF(VLOOKUP(B270,'Gebouwgegevens Allacker'!$J$5:$Q$83,2,0)=$B$237,VLOOKUP(B270,'Gebouwgegevens Allacker'!$J$5:$Q$83,2,0),VLOOKUP(B270,'Gebouwgegevens Allacker'!$J$5:$Q$83,3,0))</f>
        <v>#N/A</v>
      </c>
      <c r="D270" s="122" t="e">
        <f>IF(VLOOKUP(B270,'Gebouwgegevens Allacker'!$J$5:$Q$83,2,0)=$B$237,VLOOKUP(B270,'Gebouwgegevens Allacker'!$J$5:$Q$83,3,0),VLOOKUP(B270,'Gebouwgegevens Allacker'!$J$5:$Q$83,2,0))</f>
        <v>#N/A</v>
      </c>
      <c r="E270" s="122" t="e">
        <f>VLOOKUP(B270,'Gebouwgegevens Allacker'!$J$5:$Q$83,4,0)</f>
        <v>#N/A</v>
      </c>
      <c r="F270" s="122" t="e">
        <f>VLOOKUP(B270,'Gebouwgegevens Allacker'!$J$5:$Q$83,5,0)</f>
        <v>#N/A</v>
      </c>
      <c r="G270" s="122" t="e">
        <f>VLOOKUP('Verwarming Tabula 2zone Ref 1'!C270,'Gebouwgegevens Allacker'!$A$35:$F$46,5,0)</f>
        <v>#N/A</v>
      </c>
      <c r="H270" s="122" t="e">
        <f>VLOOKUP('Verwarming Tabula 2zone Ref 1'!D270,'Gebouwgegevens Allacker'!$A$35:$F$46,5,0)</f>
        <v>#N/A</v>
      </c>
      <c r="I270" s="122" t="e">
        <f>VLOOKUP(B270,'Gebouwgegevens Allacker'!$J$5:$Q$83,7,0)</f>
        <v>#N/A</v>
      </c>
      <c r="J270" s="118" t="e">
        <f>VLOOKUP(B270,'Gebouwgegevens Allacker'!$J$5:$Q$83,8,0)</f>
        <v>#N/A</v>
      </c>
      <c r="K270" s="118" t="e">
        <f>(G270-H270)/(G270-$B$4)</f>
        <v>#N/A</v>
      </c>
      <c r="L270" s="98"/>
      <c r="M270" s="98"/>
      <c r="N270" s="98"/>
      <c r="O270" s="98"/>
      <c r="P270" s="96"/>
    </row>
    <row r="271" spans="1:16" ht="16.5" customHeight="1" thickTop="1" thickBot="1" x14ac:dyDescent="0.3">
      <c r="A271" s="95"/>
      <c r="B271" s="123"/>
      <c r="C271" s="139"/>
      <c r="D271" s="122"/>
      <c r="E271" s="122"/>
      <c r="F271" s="122"/>
      <c r="G271" s="122"/>
      <c r="H271" s="122"/>
      <c r="I271" s="122"/>
      <c r="J271" s="118"/>
      <c r="K271" s="118"/>
      <c r="L271" s="98"/>
      <c r="M271" s="98"/>
      <c r="N271" s="98"/>
      <c r="O271" s="98"/>
      <c r="P271" s="96"/>
    </row>
    <row r="272" spans="1:16" ht="16.5" customHeight="1" thickTop="1" thickBot="1" x14ac:dyDescent="0.3">
      <c r="A272" s="95"/>
      <c r="B272" s="123"/>
      <c r="C272" s="139"/>
      <c r="D272" s="122"/>
      <c r="E272" s="122"/>
      <c r="F272" s="122"/>
      <c r="G272" s="122"/>
      <c r="H272" s="122"/>
      <c r="I272" s="122"/>
      <c r="J272" s="118"/>
      <c r="K272" s="118"/>
      <c r="L272" s="98"/>
      <c r="M272" s="98"/>
      <c r="N272" s="98"/>
      <c r="O272" s="98"/>
      <c r="P272" s="96"/>
    </row>
    <row r="273" spans="1:16" ht="16.5" customHeight="1" thickTop="1" thickBot="1" x14ac:dyDescent="0.3">
      <c r="A273" s="95"/>
      <c r="B273" s="123"/>
      <c r="C273" s="139"/>
      <c r="D273" s="122"/>
      <c r="E273" s="122"/>
      <c r="F273" s="122"/>
      <c r="G273" s="122"/>
      <c r="H273" s="122"/>
      <c r="I273" s="122"/>
      <c r="J273" s="118"/>
      <c r="K273" s="118"/>
      <c r="L273" s="98"/>
      <c r="M273" s="98"/>
      <c r="N273" s="98"/>
      <c r="O273" s="98"/>
      <c r="P273" s="96"/>
    </row>
    <row r="274" spans="1:16" ht="16.5" customHeight="1" thickTop="1" thickBot="1" x14ac:dyDescent="0.3">
      <c r="A274" s="95"/>
      <c r="B274" s="123"/>
      <c r="C274" s="139"/>
      <c r="D274" s="122"/>
      <c r="E274" s="122"/>
      <c r="F274" s="122"/>
      <c r="G274" s="122"/>
      <c r="H274" s="122"/>
      <c r="I274" s="122"/>
      <c r="J274" s="118"/>
      <c r="K274" s="118"/>
      <c r="L274" s="98"/>
      <c r="M274" s="98"/>
      <c r="N274" s="98"/>
      <c r="O274" s="98"/>
      <c r="P274" s="96"/>
    </row>
    <row r="275" spans="1:16" ht="16.5" customHeight="1" thickTop="1" thickBot="1" x14ac:dyDescent="0.3">
      <c r="A275" s="95"/>
      <c r="B275" s="123"/>
      <c r="C275" s="139"/>
      <c r="D275" s="122"/>
      <c r="E275" s="122"/>
      <c r="F275" s="122"/>
      <c r="G275" s="122"/>
      <c r="H275" s="122"/>
      <c r="I275" s="122"/>
      <c r="J275" s="118"/>
      <c r="K275" s="118"/>
      <c r="L275" s="98"/>
      <c r="M275" s="98"/>
      <c r="N275" s="98"/>
      <c r="O275" s="98"/>
      <c r="P275" s="96"/>
    </row>
    <row r="276" spans="1:16" ht="16.5" customHeight="1" thickTop="1" thickBot="1" x14ac:dyDescent="0.3">
      <c r="A276" s="95"/>
      <c r="B276" s="123"/>
      <c r="C276" s="139"/>
      <c r="D276" s="122"/>
      <c r="E276" s="122"/>
      <c r="F276" s="122"/>
      <c r="G276" s="122"/>
      <c r="H276" s="122"/>
      <c r="I276" s="122"/>
      <c r="J276" s="118"/>
      <c r="K276" s="118"/>
      <c r="L276" s="98"/>
      <c r="M276" s="98"/>
      <c r="N276" s="98"/>
      <c r="O276" s="98"/>
      <c r="P276" s="96"/>
    </row>
    <row r="277" spans="1:16" ht="15.75" customHeight="1" thickTop="1" x14ac:dyDescent="0.25">
      <c r="A277" s="95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8"/>
      <c r="M277" s="98"/>
      <c r="N277" s="98"/>
      <c r="O277" s="98"/>
      <c r="P277" s="96"/>
    </row>
    <row r="278" spans="1:16" ht="15" customHeight="1" x14ac:dyDescent="0.25">
      <c r="A278" s="95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6"/>
    </row>
    <row r="279" spans="1:16" ht="15.75" customHeight="1" x14ac:dyDescent="0.25">
      <c r="A279" s="103" t="s">
        <v>192</v>
      </c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6"/>
    </row>
    <row r="280" spans="1:16" ht="16.5" customHeight="1" x14ac:dyDescent="0.25">
      <c r="A280" s="124" t="s">
        <v>193</v>
      </c>
      <c r="B280" s="118" t="e">
        <f>SUMPRODUCT(H243:H254,I243:I254)+SUMPRODUCT(G259:G263,H259:H263)+SUMPRODUCT(J267:J276,K267:K276)</f>
        <v>#N/A</v>
      </c>
      <c r="C280" s="118" t="s">
        <v>107</v>
      </c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6"/>
    </row>
    <row r="281" spans="1:16" ht="16.5" customHeight="1" x14ac:dyDescent="0.25">
      <c r="A281" s="124" t="s">
        <v>167</v>
      </c>
      <c r="B281" s="118" t="e">
        <f>B280*(G267-$B$4)</f>
        <v>#N/A</v>
      </c>
      <c r="C281" s="118" t="s">
        <v>169</v>
      </c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6"/>
    </row>
    <row r="282" spans="1:16" ht="15.75" customHeight="1" thickBot="1" x14ac:dyDescent="0.3">
      <c r="A282" s="109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1"/>
    </row>
    <row r="283" spans="1:16" ht="15.75" customHeight="1" thickTop="1" x14ac:dyDescent="0.25">
      <c r="A283" s="343" t="s">
        <v>194</v>
      </c>
      <c r="B283" s="343"/>
      <c r="C283" s="343"/>
      <c r="D283" s="125" t="s">
        <v>222</v>
      </c>
      <c r="E283" s="299"/>
      <c r="F283" s="299"/>
      <c r="G283" s="299"/>
      <c r="H283" s="299"/>
      <c r="I283" s="299"/>
      <c r="J283" s="299"/>
      <c r="K283" s="299"/>
      <c r="L283" s="299"/>
      <c r="M283" s="299"/>
      <c r="N283" s="299"/>
      <c r="O283" s="299"/>
      <c r="P283" s="94"/>
    </row>
    <row r="284" spans="1:16" ht="15" customHeight="1" x14ac:dyDescent="0.25">
      <c r="A284" s="95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6"/>
    </row>
    <row r="285" spans="1:16" ht="15" customHeight="1" thickBot="1" x14ac:dyDescent="0.3">
      <c r="A285" s="126" t="s">
        <v>195</v>
      </c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6"/>
    </row>
    <row r="286" spans="1:16" ht="15" customHeight="1" thickTop="1" thickBot="1" x14ac:dyDescent="0.3">
      <c r="A286" s="127" t="s">
        <v>196</v>
      </c>
      <c r="B286" s="121">
        <v>8</v>
      </c>
      <c r="C286" s="120" t="s">
        <v>197</v>
      </c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6"/>
    </row>
    <row r="287" spans="1:16" ht="15" customHeight="1" thickTop="1" thickBot="1" x14ac:dyDescent="0.3">
      <c r="A287" s="127" t="s">
        <v>198</v>
      </c>
      <c r="B287" s="121">
        <v>0.03</v>
      </c>
      <c r="C287" s="120" t="s">
        <v>199</v>
      </c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6"/>
    </row>
    <row r="288" spans="1:16" ht="15.75" customHeight="1" thickTop="1" thickBot="1" x14ac:dyDescent="0.3">
      <c r="A288" s="127" t="s">
        <v>200</v>
      </c>
      <c r="B288" s="121">
        <v>1</v>
      </c>
      <c r="C288" s="120" t="s">
        <v>201</v>
      </c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6"/>
    </row>
    <row r="289" spans="1:16" ht="16.5" customHeight="1" thickTop="1" x14ac:dyDescent="0.25">
      <c r="A289" s="124" t="s">
        <v>202</v>
      </c>
      <c r="B289" s="118" t="e">
        <f>2*VLOOKUP(B237,'Gebouwgegevens Allacker'!$A$35:$F$46,6,0)*B286*B287*B288</f>
        <v>#N/A</v>
      </c>
      <c r="C289" s="118" t="s">
        <v>203</v>
      </c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6"/>
    </row>
    <row r="290" spans="1:16" ht="15.75" customHeight="1" x14ac:dyDescent="0.25">
      <c r="A290" s="95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6"/>
    </row>
    <row r="291" spans="1:16" ht="15" customHeight="1" x14ac:dyDescent="0.25">
      <c r="A291" s="126" t="s">
        <v>204</v>
      </c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6"/>
    </row>
    <row r="292" spans="1:16" ht="15.75" customHeight="1" x14ac:dyDescent="0.25">
      <c r="A292" s="95" t="s">
        <v>180</v>
      </c>
      <c r="B292" s="98" t="e">
        <f>VLOOKUP(B237,'Gebouwgegevens Allacker'!$A$35:$F$46,6,0)</f>
        <v>#N/A</v>
      </c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6"/>
    </row>
    <row r="293" spans="1:16" ht="16.5" customHeight="1" x14ac:dyDescent="0.25">
      <c r="A293" s="124" t="s">
        <v>205</v>
      </c>
      <c r="B293" s="128">
        <v>50</v>
      </c>
      <c r="C293" s="118" t="s">
        <v>203</v>
      </c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6"/>
    </row>
    <row r="294" spans="1:16" ht="15.75" customHeight="1" x14ac:dyDescent="0.25">
      <c r="A294" s="95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6"/>
    </row>
    <row r="295" spans="1:16" ht="15.75" customHeight="1" x14ac:dyDescent="0.25">
      <c r="A295" s="95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6"/>
    </row>
    <row r="296" spans="1:16" ht="16.5" customHeight="1" x14ac:dyDescent="0.25">
      <c r="A296" s="124" t="s">
        <v>207</v>
      </c>
      <c r="B296" s="118" t="e">
        <f>MAX(B289,B293)</f>
        <v>#N/A</v>
      </c>
      <c r="C296" s="118" t="s">
        <v>203</v>
      </c>
      <c r="D296" s="98"/>
      <c r="E296" s="98"/>
      <c r="F296" s="118" t="s">
        <v>208</v>
      </c>
      <c r="G296" s="118" t="e">
        <f>B296/VLOOKUP(B237,'Gebouwgegevens Allacker'!$A$35:$B$46,2,0)</f>
        <v>#N/A</v>
      </c>
      <c r="H296" s="98"/>
      <c r="I296" s="98"/>
      <c r="J296" s="98"/>
      <c r="K296" s="98"/>
      <c r="L296" s="98"/>
      <c r="M296" s="98"/>
      <c r="N296" s="98"/>
      <c r="O296" s="98"/>
      <c r="P296" s="96"/>
    </row>
    <row r="297" spans="1:16" ht="16.5" customHeight="1" x14ac:dyDescent="0.25">
      <c r="A297" s="95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6"/>
    </row>
    <row r="298" spans="1:16" ht="16.5" customHeight="1" x14ac:dyDescent="0.25">
      <c r="A298" s="124" t="s">
        <v>209</v>
      </c>
      <c r="B298" s="118" t="e">
        <f>0.34*B296</f>
        <v>#N/A</v>
      </c>
      <c r="C298" s="118" t="s">
        <v>107</v>
      </c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6"/>
    </row>
    <row r="299" spans="1:16" ht="16.5" customHeight="1" x14ac:dyDescent="0.25">
      <c r="A299" s="124" t="s">
        <v>167</v>
      </c>
      <c r="B299" s="118" t="e">
        <f>B298*('Gebouwgegevens Allacker'!E259-$B$4)</f>
        <v>#N/A</v>
      </c>
      <c r="C299" s="118" t="s">
        <v>169</v>
      </c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6"/>
    </row>
    <row r="300" spans="1:16" ht="15.75" customHeight="1" thickBot="1" x14ac:dyDescent="0.3">
      <c r="A300" s="109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1"/>
    </row>
    <row r="301" spans="1:16" ht="15.75" customHeight="1" thickTop="1" x14ac:dyDescent="0.25">
      <c r="A301" s="343" t="s">
        <v>210</v>
      </c>
      <c r="B301" s="343"/>
      <c r="C301" s="343"/>
      <c r="D301" s="343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6"/>
    </row>
    <row r="302" spans="1:16" ht="15" customHeight="1" thickBot="1" x14ac:dyDescent="0.3">
      <c r="A302" s="95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6"/>
    </row>
    <row r="303" spans="1:16" ht="15" customHeight="1" thickTop="1" thickBot="1" x14ac:dyDescent="0.3">
      <c r="A303" s="127" t="s">
        <v>211</v>
      </c>
      <c r="B303" s="121">
        <v>90</v>
      </c>
      <c r="C303" s="58" t="s">
        <v>232</v>
      </c>
      <c r="D303" s="5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6"/>
    </row>
    <row r="304" spans="1:16" ht="15.75" customHeight="1" thickTop="1" x14ac:dyDescent="0.25">
      <c r="A304" s="3" t="s">
        <v>113</v>
      </c>
      <c r="B304" s="58" t="e">
        <f>VLOOKUP(B237,'Gebouwgegevens Allacker'!$A$35:$F$46,6,0)</f>
        <v>#N/A</v>
      </c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6"/>
    </row>
    <row r="305" spans="1:16" ht="16.5" customHeight="1" x14ac:dyDescent="0.25">
      <c r="A305" s="124" t="s">
        <v>213</v>
      </c>
      <c r="B305" s="118" t="e">
        <f>B306/('Gebouwgegevens Allacker'!E259-'Verwarming Tabula 2zone Ref 1'!$B$4)</f>
        <v>#N/A</v>
      </c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6"/>
    </row>
    <row r="306" spans="1:16" ht="16.5" customHeight="1" x14ac:dyDescent="0.25">
      <c r="A306" s="124" t="s">
        <v>167</v>
      </c>
      <c r="B306" s="118" t="e">
        <f>B303*B304</f>
        <v>#N/A</v>
      </c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6"/>
    </row>
    <row r="307" spans="1:16" ht="15.75" customHeight="1" x14ac:dyDescent="0.25">
      <c r="A307" s="95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6"/>
    </row>
    <row r="308" spans="1:16" ht="15.75" customHeight="1" thickBot="1" x14ac:dyDescent="0.3">
      <c r="A308" s="95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6"/>
    </row>
    <row r="309" spans="1:16" ht="15.75" customHeight="1" thickTop="1" thickBot="1" x14ac:dyDescent="0.3">
      <c r="A309" s="129" t="s">
        <v>214</v>
      </c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1"/>
    </row>
    <row r="310" spans="1:16" ht="16.5" customHeight="1" thickTop="1" x14ac:dyDescent="0.25">
      <c r="A310" s="124" t="s">
        <v>215</v>
      </c>
      <c r="B310" s="118" t="e">
        <f>SUM(B280,B298,B305)</f>
        <v>#N/A</v>
      </c>
      <c r="C310" s="118" t="s">
        <v>107</v>
      </c>
      <c r="D310" s="132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3"/>
    </row>
    <row r="311" spans="1:16" ht="16.5" customHeight="1" x14ac:dyDescent="0.25">
      <c r="A311" s="124" t="s">
        <v>167</v>
      </c>
      <c r="B311" s="118" t="e">
        <f>SUM(B281,B299,B306)</f>
        <v>#N/A</v>
      </c>
      <c r="C311" s="118" t="s">
        <v>169</v>
      </c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3"/>
    </row>
    <row r="312" spans="1:16" ht="16.5" customHeight="1" thickBot="1" x14ac:dyDescent="0.3">
      <c r="A312" s="134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6"/>
    </row>
    <row r="313" spans="1:16" ht="15" customHeight="1" thickTop="1" x14ac:dyDescent="0.25">
      <c r="A313" s="137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</row>
    <row r="314" spans="1:16" ht="15.75" customHeight="1" thickBot="1" x14ac:dyDescent="0.3">
      <c r="A314" s="137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</row>
    <row r="315" spans="1:16" ht="15" customHeight="1" thickTop="1" thickBot="1" x14ac:dyDescent="0.3">
      <c r="A315" s="93"/>
      <c r="B315" s="299"/>
      <c r="C315" s="299"/>
      <c r="D315" s="299"/>
      <c r="E315" s="299"/>
      <c r="F315" s="299"/>
      <c r="G315" s="299"/>
      <c r="H315" s="299"/>
      <c r="I315" s="299"/>
      <c r="J315" s="299"/>
      <c r="K315" s="299"/>
      <c r="L315" s="299"/>
      <c r="M315" s="299"/>
      <c r="N315" s="299"/>
      <c r="O315" s="299"/>
      <c r="P315" s="94"/>
    </row>
    <row r="316" spans="1:16" ht="17.25" customHeight="1" thickTop="1" thickBot="1" x14ac:dyDescent="0.35">
      <c r="A316" s="97" t="s">
        <v>166</v>
      </c>
      <c r="B316" s="92">
        <v>5</v>
      </c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6"/>
    </row>
    <row r="317" spans="1:16" ht="15.75" customHeight="1" thickTop="1" x14ac:dyDescent="0.25">
      <c r="A317" s="343" t="s">
        <v>168</v>
      </c>
      <c r="B317" s="343"/>
      <c r="C317" s="343"/>
      <c r="D317" s="343"/>
      <c r="E317" s="299"/>
      <c r="F317" s="299"/>
      <c r="G317" s="299"/>
      <c r="H317" s="299"/>
      <c r="I317" s="299"/>
      <c r="J317" s="299"/>
      <c r="K317" s="299"/>
      <c r="L317" s="299"/>
      <c r="M317" s="299"/>
      <c r="N317" s="299"/>
      <c r="O317" s="299"/>
      <c r="P317" s="94"/>
    </row>
    <row r="318" spans="1:16" ht="15" customHeight="1" x14ac:dyDescent="0.25">
      <c r="A318" s="95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6"/>
    </row>
    <row r="319" spans="1:16" ht="15" customHeight="1" x14ac:dyDescent="0.25">
      <c r="A319" s="103" t="s">
        <v>170</v>
      </c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6"/>
    </row>
    <row r="320" spans="1:16" ht="15" customHeight="1" x14ac:dyDescent="0.25">
      <c r="A320" s="95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6"/>
    </row>
    <row r="321" spans="1:16" ht="15.75" customHeight="1" thickBot="1" x14ac:dyDescent="0.3">
      <c r="A321" s="95"/>
      <c r="B321" s="104" t="s">
        <v>10</v>
      </c>
      <c r="C321" s="104" t="s">
        <v>171</v>
      </c>
      <c r="D321" s="104" t="s">
        <v>172</v>
      </c>
      <c r="E321" s="104" t="s">
        <v>173</v>
      </c>
      <c r="F321" s="104" t="s">
        <v>174</v>
      </c>
      <c r="G321" s="104" t="s">
        <v>16</v>
      </c>
      <c r="H321" s="105" t="s">
        <v>17</v>
      </c>
      <c r="I321" s="105" t="s">
        <v>175</v>
      </c>
      <c r="J321" s="98"/>
      <c r="K321" s="98"/>
      <c r="L321" s="98"/>
      <c r="M321" s="98"/>
      <c r="N321" s="98"/>
      <c r="O321" s="98"/>
      <c r="P321" s="96"/>
    </row>
    <row r="322" spans="1:16" ht="16.5" customHeight="1" thickTop="1" thickBot="1" x14ac:dyDescent="0.3">
      <c r="A322" s="95"/>
      <c r="B322" s="106" t="s">
        <v>84</v>
      </c>
      <c r="C322" s="107">
        <f>VLOOKUP(B322,'Gebouwgegevens Allacker'!$J$5:$Q$83,3,0)</f>
        <v>3</v>
      </c>
      <c r="D322" s="107" t="str">
        <f>VLOOKUP(B322,'Gebouwgegevens Allacker'!$J$5:$Q$83,4,0)</f>
        <v>Window</v>
      </c>
      <c r="E322" s="107">
        <f>VLOOKUP(B322,'Gebouwgegevens Allacker'!$J$5:$Q$83,5,0)</f>
        <v>0</v>
      </c>
      <c r="F322" s="107" t="str">
        <f>VLOOKUP(B322,'Gebouwgegevens Allacker'!$J$5:$Q$83,6,0)</f>
        <v>front</v>
      </c>
      <c r="G322" s="107">
        <f>VLOOKUP(B322,'Gebouwgegevens Allacker'!$J$5:$Q$83,7,0)</f>
        <v>5</v>
      </c>
      <c r="H322" s="108">
        <f>VLOOKUP(B322,'Gebouwgegevens Allacker'!$J$5:$Q$83,8,0)</f>
        <v>0</v>
      </c>
      <c r="I322" s="108">
        <v>1</v>
      </c>
      <c r="J322" s="98"/>
      <c r="K322" s="98"/>
      <c r="L322" s="98"/>
      <c r="M322" s="98"/>
      <c r="N322" s="98"/>
      <c r="O322" s="98"/>
      <c r="P322" s="96"/>
    </row>
    <row r="323" spans="1:16" ht="16.5" customHeight="1" thickTop="1" thickBot="1" x14ac:dyDescent="0.3">
      <c r="A323" s="95"/>
      <c r="B323" s="106" t="s">
        <v>87</v>
      </c>
      <c r="C323" s="107">
        <f>VLOOKUP(B323,'Gebouwgegevens Allacker'!$J$5:$Q$83,3,0)</f>
        <v>3</v>
      </c>
      <c r="D323" s="107" t="str">
        <f>VLOOKUP(B323,'Gebouwgegevens Allacker'!$J$5:$Q$83,4,0)</f>
        <v>Window</v>
      </c>
      <c r="E323" s="107">
        <f>VLOOKUP(B323,'Gebouwgegevens Allacker'!$J$5:$Q$83,5,0)</f>
        <v>2</v>
      </c>
      <c r="F323" s="107" t="str">
        <f>VLOOKUP(B323,'Gebouwgegevens Allacker'!$J$5:$Q$83,6,0)</f>
        <v>right</v>
      </c>
      <c r="G323" s="107">
        <f>VLOOKUP(B323,'Gebouwgegevens Allacker'!$J$5:$Q$83,7,0)</f>
        <v>5</v>
      </c>
      <c r="H323" s="108">
        <f>VLOOKUP(B323,'Gebouwgegevens Allacker'!$J$5:$Q$83,8,0)</f>
        <v>10</v>
      </c>
      <c r="I323" s="108">
        <v>1</v>
      </c>
      <c r="J323" s="98"/>
      <c r="K323" s="98"/>
      <c r="L323" s="98"/>
      <c r="M323" s="98"/>
      <c r="N323" s="98"/>
      <c r="O323" s="98"/>
      <c r="P323" s="96"/>
    </row>
    <row r="324" spans="1:16" ht="16.5" customHeight="1" thickTop="1" thickBot="1" x14ac:dyDescent="0.3">
      <c r="A324" s="95"/>
      <c r="B324" s="106" t="s">
        <v>89</v>
      </c>
      <c r="C324" s="107">
        <f>VLOOKUP(B324,'Gebouwgegevens Allacker'!$J$5:$Q$83,3,0)</f>
        <v>3</v>
      </c>
      <c r="D324" s="107" t="str">
        <f>VLOOKUP(B324,'Gebouwgegevens Allacker'!$J$5:$Q$83,4,0)</f>
        <v>Window</v>
      </c>
      <c r="E324" s="107">
        <f>VLOOKUP(B324,'Gebouwgegevens Allacker'!$J$5:$Q$83,5,0)</f>
        <v>0</v>
      </c>
      <c r="F324" s="107" t="str">
        <f>VLOOKUP(B324,'Gebouwgegevens Allacker'!$J$5:$Q$83,6,0)</f>
        <v>back</v>
      </c>
      <c r="G324" s="107">
        <f>VLOOKUP(B324,'Gebouwgegevens Allacker'!$J$5:$Q$83,7,0)</f>
        <v>5</v>
      </c>
      <c r="H324" s="108">
        <f>VLOOKUP(B324,'Gebouwgegevens Allacker'!$J$5:$Q$83,8,0)</f>
        <v>0</v>
      </c>
      <c r="I324" s="108">
        <v>1</v>
      </c>
      <c r="J324" s="98"/>
      <c r="K324" s="98"/>
      <c r="L324" s="98"/>
      <c r="M324" s="98"/>
      <c r="N324" s="98"/>
      <c r="O324" s="98"/>
      <c r="P324" s="96"/>
    </row>
    <row r="325" spans="1:16" ht="16.5" customHeight="1" thickTop="1" thickBot="1" x14ac:dyDescent="0.3">
      <c r="A325" s="95"/>
      <c r="B325" s="106" t="s">
        <v>92</v>
      </c>
      <c r="C325" s="107">
        <f>VLOOKUP(B325,'Gebouwgegevens Allacker'!$J$5:$Q$83,3,0)</f>
        <v>3</v>
      </c>
      <c r="D325" s="107" t="str">
        <f>VLOOKUP(B325,'Gebouwgegevens Allacker'!$J$5:$Q$83,4,0)</f>
        <v>Window</v>
      </c>
      <c r="E325" s="107">
        <f>VLOOKUP(B325,'Gebouwgegevens Allacker'!$J$5:$Q$83,5,0)</f>
        <v>0</v>
      </c>
      <c r="F325" s="107" t="str">
        <f>VLOOKUP(B325,'Gebouwgegevens Allacker'!$J$5:$Q$83,6,0)</f>
        <v>left</v>
      </c>
      <c r="G325" s="107">
        <f>VLOOKUP(B325,'Gebouwgegevens Allacker'!$J$5:$Q$83,7,0)</f>
        <v>5</v>
      </c>
      <c r="H325" s="108">
        <f>VLOOKUP(B325,'Gebouwgegevens Allacker'!$J$5:$Q$83,8,0)</f>
        <v>0</v>
      </c>
      <c r="I325" s="108">
        <v>1</v>
      </c>
      <c r="J325" s="98"/>
      <c r="K325" s="98"/>
      <c r="L325" s="98"/>
      <c r="M325" s="98"/>
      <c r="N325" s="98"/>
      <c r="O325" s="98"/>
      <c r="P325" s="96"/>
    </row>
    <row r="326" spans="1:16" ht="16.5" customHeight="1" thickTop="1" thickBot="1" x14ac:dyDescent="0.3">
      <c r="A326" s="95"/>
      <c r="B326" s="106"/>
      <c r="C326" s="107"/>
      <c r="D326" s="107"/>
      <c r="E326" s="107"/>
      <c r="F326" s="107"/>
      <c r="G326" s="107"/>
      <c r="H326" s="108"/>
      <c r="I326" s="108"/>
      <c r="J326" s="98"/>
      <c r="K326" s="98"/>
      <c r="L326" s="98"/>
      <c r="M326" s="98"/>
      <c r="N326" s="98"/>
      <c r="O326" s="98"/>
      <c r="P326" s="96"/>
    </row>
    <row r="327" spans="1:16" ht="16.5" customHeight="1" thickTop="1" thickBot="1" x14ac:dyDescent="0.3">
      <c r="A327" s="95"/>
      <c r="B327" s="106"/>
      <c r="C327" s="107"/>
      <c r="D327" s="107"/>
      <c r="E327" s="107"/>
      <c r="F327" s="107"/>
      <c r="G327" s="107"/>
      <c r="H327" s="108"/>
      <c r="I327" s="108"/>
      <c r="J327" s="98"/>
      <c r="K327" s="98"/>
      <c r="L327" s="98"/>
      <c r="M327" s="98"/>
      <c r="N327" s="98"/>
      <c r="O327" s="98"/>
      <c r="P327" s="96"/>
    </row>
    <row r="328" spans="1:16" ht="16.5" customHeight="1" thickTop="1" thickBot="1" x14ac:dyDescent="0.3">
      <c r="A328" s="95"/>
      <c r="B328" s="106"/>
      <c r="C328" s="107"/>
      <c r="D328" s="107"/>
      <c r="E328" s="107"/>
      <c r="F328" s="107"/>
      <c r="G328" s="107"/>
      <c r="H328" s="108"/>
      <c r="I328" s="108"/>
      <c r="J328" s="98"/>
      <c r="K328" s="98"/>
      <c r="L328" s="98"/>
      <c r="M328" s="98"/>
      <c r="N328" s="98"/>
      <c r="O328" s="98"/>
      <c r="P328" s="96"/>
    </row>
    <row r="329" spans="1:16" ht="16.5" customHeight="1" thickTop="1" thickBot="1" x14ac:dyDescent="0.3">
      <c r="A329" s="95"/>
      <c r="B329" s="106"/>
      <c r="C329" s="107"/>
      <c r="D329" s="107"/>
      <c r="E329" s="107"/>
      <c r="F329" s="107"/>
      <c r="G329" s="107"/>
      <c r="H329" s="108"/>
      <c r="I329" s="108"/>
      <c r="J329" s="98"/>
      <c r="K329" s="98"/>
      <c r="L329" s="98"/>
      <c r="M329" s="98"/>
      <c r="N329" s="98"/>
      <c r="O329" s="98"/>
      <c r="P329" s="96"/>
    </row>
    <row r="330" spans="1:16" ht="16.5" customHeight="1" thickTop="1" thickBot="1" x14ac:dyDescent="0.3">
      <c r="A330" s="95"/>
      <c r="B330" s="106"/>
      <c r="C330" s="107"/>
      <c r="D330" s="107"/>
      <c r="E330" s="107"/>
      <c r="F330" s="107"/>
      <c r="G330" s="107"/>
      <c r="H330" s="108"/>
      <c r="I330" s="108"/>
      <c r="J330" s="98"/>
      <c r="K330" s="98"/>
      <c r="L330" s="98"/>
      <c r="M330" s="98"/>
      <c r="N330" s="98"/>
      <c r="O330" s="98"/>
      <c r="P330" s="96"/>
    </row>
    <row r="331" spans="1:16" ht="16.5" customHeight="1" thickTop="1" thickBot="1" x14ac:dyDescent="0.3">
      <c r="A331" s="95"/>
      <c r="B331" s="106"/>
      <c r="C331" s="107"/>
      <c r="D331" s="107"/>
      <c r="E331" s="107"/>
      <c r="F331" s="107"/>
      <c r="G331" s="107"/>
      <c r="H331" s="108"/>
      <c r="I331" s="108"/>
      <c r="J331" s="98"/>
      <c r="K331" s="98"/>
      <c r="L331" s="98"/>
      <c r="M331" s="98"/>
      <c r="N331" s="98"/>
      <c r="O331" s="98"/>
      <c r="P331" s="96"/>
    </row>
    <row r="332" spans="1:16" ht="16.5" customHeight="1" thickTop="1" thickBot="1" x14ac:dyDescent="0.3">
      <c r="A332" s="95"/>
      <c r="B332" s="106"/>
      <c r="C332" s="107"/>
      <c r="D332" s="107"/>
      <c r="E332" s="107"/>
      <c r="F332" s="107"/>
      <c r="G332" s="107"/>
      <c r="H332" s="108"/>
      <c r="I332" s="108"/>
      <c r="J332" s="98"/>
      <c r="K332" s="98"/>
      <c r="L332" s="98"/>
      <c r="M332" s="98"/>
      <c r="N332" s="98"/>
      <c r="O332" s="98"/>
      <c r="P332" s="96"/>
    </row>
    <row r="333" spans="1:16" ht="16.5" customHeight="1" thickTop="1" thickBot="1" x14ac:dyDescent="0.3">
      <c r="A333" s="95"/>
      <c r="B333" s="106"/>
      <c r="C333" s="107"/>
      <c r="D333" s="107"/>
      <c r="E333" s="107"/>
      <c r="F333" s="107"/>
      <c r="G333" s="107"/>
      <c r="H333" s="108"/>
      <c r="I333" s="108"/>
      <c r="J333" s="98"/>
      <c r="K333" s="98"/>
      <c r="L333" s="98"/>
      <c r="M333" s="98"/>
      <c r="N333" s="98"/>
      <c r="O333" s="98"/>
      <c r="P333" s="96"/>
    </row>
    <row r="334" spans="1:16" ht="15.75" customHeight="1" thickTop="1" x14ac:dyDescent="0.25">
      <c r="A334" s="95"/>
      <c r="B334" s="58"/>
      <c r="C334" s="58"/>
      <c r="D334" s="58"/>
      <c r="E334" s="58"/>
      <c r="F334" s="58"/>
      <c r="G334" s="114"/>
      <c r="H334" s="58"/>
      <c r="I334" s="58"/>
      <c r="J334" s="98"/>
      <c r="K334" s="98"/>
      <c r="L334" s="98"/>
      <c r="M334" s="98"/>
      <c r="N334" s="98"/>
      <c r="O334" s="98"/>
      <c r="P334" s="96"/>
    </row>
    <row r="335" spans="1:16" ht="15" customHeight="1" x14ac:dyDescent="0.25">
      <c r="A335" s="95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6"/>
    </row>
    <row r="336" spans="1:16" ht="15" customHeight="1" x14ac:dyDescent="0.25">
      <c r="A336" s="103" t="s">
        <v>177</v>
      </c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6"/>
    </row>
    <row r="337" spans="1:16" ht="15.75" customHeight="1" x14ac:dyDescent="0.25">
      <c r="A337" s="95"/>
      <c r="B337" s="58" t="s">
        <v>10</v>
      </c>
      <c r="C337" s="58" t="s">
        <v>178</v>
      </c>
      <c r="D337" s="58" t="s">
        <v>172</v>
      </c>
      <c r="E337" s="58" t="s">
        <v>179</v>
      </c>
      <c r="F337" s="58" t="s">
        <v>16</v>
      </c>
      <c r="G337" s="114" t="s">
        <v>17</v>
      </c>
      <c r="H337" s="114" t="s">
        <v>175</v>
      </c>
      <c r="I337" s="58" t="s">
        <v>180</v>
      </c>
      <c r="J337" s="58" t="s">
        <v>181</v>
      </c>
      <c r="K337" s="58" t="s">
        <v>182</v>
      </c>
      <c r="L337" s="115" t="s">
        <v>183</v>
      </c>
      <c r="M337" s="115" t="s">
        <v>184</v>
      </c>
      <c r="N337" s="115" t="s">
        <v>185</v>
      </c>
      <c r="O337" s="98"/>
      <c r="P337" s="96"/>
    </row>
    <row r="338" spans="1:16" ht="16.5" customHeight="1" thickBot="1" x14ac:dyDescent="0.3">
      <c r="A338" s="95"/>
      <c r="B338" s="116"/>
      <c r="C338" s="117"/>
      <c r="D338" s="117"/>
      <c r="E338" s="117"/>
      <c r="F338" s="117"/>
      <c r="G338" s="118"/>
      <c r="H338" s="118"/>
      <c r="I338" s="117"/>
      <c r="J338" s="116"/>
      <c r="K338" s="116"/>
      <c r="L338" s="119"/>
      <c r="M338" s="119"/>
      <c r="N338" s="120"/>
      <c r="O338" s="98"/>
      <c r="P338" s="96"/>
    </row>
    <row r="339" spans="1:16" ht="16.5" customHeight="1" thickTop="1" thickBot="1" x14ac:dyDescent="0.3">
      <c r="A339" s="95"/>
      <c r="B339" s="116"/>
      <c r="C339" s="117"/>
      <c r="D339" s="117"/>
      <c r="E339" s="117"/>
      <c r="F339" s="117"/>
      <c r="G339" s="118"/>
      <c r="H339" s="118"/>
      <c r="I339" s="117"/>
      <c r="J339" s="116"/>
      <c r="K339" s="116"/>
      <c r="L339" s="119"/>
      <c r="M339" s="119"/>
      <c r="N339" s="120"/>
      <c r="O339" s="98"/>
      <c r="P339" s="96"/>
    </row>
    <row r="340" spans="1:16" ht="16.5" customHeight="1" thickTop="1" thickBot="1" x14ac:dyDescent="0.3">
      <c r="A340" s="95"/>
      <c r="B340" s="116"/>
      <c r="C340" s="117"/>
      <c r="D340" s="117"/>
      <c r="E340" s="117"/>
      <c r="F340" s="117"/>
      <c r="G340" s="118"/>
      <c r="H340" s="118"/>
      <c r="I340" s="117"/>
      <c r="J340" s="116"/>
      <c r="K340" s="116"/>
      <c r="L340" s="119"/>
      <c r="M340" s="119"/>
      <c r="N340" s="120"/>
      <c r="O340" s="98"/>
      <c r="P340" s="96"/>
    </row>
    <row r="341" spans="1:16" ht="16.5" customHeight="1" thickTop="1" thickBot="1" x14ac:dyDescent="0.3">
      <c r="A341" s="95"/>
      <c r="B341" s="116"/>
      <c r="C341" s="117"/>
      <c r="D341" s="117"/>
      <c r="E341" s="117"/>
      <c r="F341" s="117"/>
      <c r="G341" s="118"/>
      <c r="H341" s="118"/>
      <c r="I341" s="117"/>
      <c r="J341" s="116"/>
      <c r="K341" s="116"/>
      <c r="L341" s="119"/>
      <c r="M341" s="119"/>
      <c r="N341" s="120"/>
      <c r="O341" s="98"/>
      <c r="P341" s="96"/>
    </row>
    <row r="342" spans="1:16" ht="16.5" customHeight="1" thickTop="1" thickBot="1" x14ac:dyDescent="0.3">
      <c r="A342" s="138"/>
      <c r="B342" s="116"/>
      <c r="C342" s="117"/>
      <c r="D342" s="117"/>
      <c r="E342" s="117"/>
      <c r="F342" s="117"/>
      <c r="G342" s="118"/>
      <c r="H342" s="118"/>
      <c r="I342" s="117"/>
      <c r="J342" s="116"/>
      <c r="K342" s="116"/>
      <c r="L342" s="119"/>
      <c r="M342" s="119"/>
      <c r="N342" s="120"/>
      <c r="O342" s="98"/>
      <c r="P342" s="96"/>
    </row>
    <row r="343" spans="1:16" ht="15.75" customHeight="1" thickTop="1" x14ac:dyDescent="0.25">
      <c r="A343" s="95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6"/>
    </row>
    <row r="344" spans="1:16" ht="15" customHeight="1" x14ac:dyDescent="0.25">
      <c r="A344" s="103" t="s">
        <v>186</v>
      </c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6"/>
    </row>
    <row r="345" spans="1:16" ht="15.75" customHeight="1" thickBot="1" x14ac:dyDescent="0.3">
      <c r="A345" s="95"/>
      <c r="B345" s="58" t="s">
        <v>10</v>
      </c>
      <c r="C345" s="58" t="s">
        <v>187</v>
      </c>
      <c r="D345" s="58" t="s">
        <v>188</v>
      </c>
      <c r="E345" s="58" t="s">
        <v>135</v>
      </c>
      <c r="F345" s="58" t="s">
        <v>189</v>
      </c>
      <c r="G345" s="58" t="s">
        <v>190</v>
      </c>
      <c r="H345" s="58" t="s">
        <v>191</v>
      </c>
      <c r="I345" s="58" t="s">
        <v>16</v>
      </c>
      <c r="J345" s="114" t="s">
        <v>17</v>
      </c>
      <c r="K345" s="114" t="s">
        <v>175</v>
      </c>
      <c r="L345" s="98"/>
      <c r="M345" s="98"/>
      <c r="N345" s="98"/>
      <c r="O345" s="98"/>
      <c r="P345" s="96"/>
    </row>
    <row r="346" spans="1:16" ht="16.5" customHeight="1" thickTop="1" thickBot="1" x14ac:dyDescent="0.3">
      <c r="A346" s="95"/>
      <c r="B346" s="121" t="s">
        <v>228</v>
      </c>
      <c r="C346" s="122" t="e">
        <f>IF(VLOOKUP(B346,'Gebouwgegevens Allacker'!$J$5:$Q$83,2,0)=$B$316,VLOOKUP(B346,'Gebouwgegevens Allacker'!$J$5:$Q$83,2,0),VLOOKUP(B346,'Gebouwgegevens Allacker'!$J$5:$Q$83,3,0))</f>
        <v>#N/A</v>
      </c>
      <c r="D346" s="122" t="e">
        <f>IF(VLOOKUP(B346,'Gebouwgegevens Allacker'!$J$5:$Q$83,2,0)=$B$316,VLOOKUP(B346,'Gebouwgegevens Allacker'!$J$5:$Q$83,3,0),VLOOKUP(B346,'Gebouwgegevens Allacker'!$J$5:$Q$83,2,0))</f>
        <v>#N/A</v>
      </c>
      <c r="E346" s="122" t="e">
        <f>VLOOKUP(B346,'Gebouwgegevens Allacker'!$J$5:$Q$83,4,0)</f>
        <v>#N/A</v>
      </c>
      <c r="F346" s="122" t="e">
        <f>VLOOKUP(B346,'Gebouwgegevens Allacker'!$J$5:$Q$83,5,0)</f>
        <v>#N/A</v>
      </c>
      <c r="G346" s="122" t="e">
        <f>VLOOKUP('Verwarming Tabula 2zone Ref 1'!C346,'Gebouwgegevens Allacker'!$A$35:$F$46,5,0)</f>
        <v>#N/A</v>
      </c>
      <c r="H346" s="122" t="e">
        <f>VLOOKUP('Verwarming Tabula 2zone Ref 1'!D346,'Gebouwgegevens Allacker'!$A$35:$F$46,5,0)</f>
        <v>#N/A</v>
      </c>
      <c r="I346" s="122" t="e">
        <f>VLOOKUP(B346,'Gebouwgegevens Allacker'!$J$5:$Q$83,7,0)</f>
        <v>#N/A</v>
      </c>
      <c r="J346" s="118" t="e">
        <f>VLOOKUP(B346,'Gebouwgegevens Allacker'!$J$5:$Q$83,8,0)</f>
        <v>#N/A</v>
      </c>
      <c r="K346" s="118" t="e">
        <f>(G346-H346)/(G346-$B$4)</f>
        <v>#N/A</v>
      </c>
      <c r="L346" s="98"/>
      <c r="M346" s="98"/>
      <c r="N346" s="98"/>
      <c r="O346" s="98"/>
      <c r="P346" s="96"/>
    </row>
    <row r="347" spans="1:16" ht="16.5" customHeight="1" thickTop="1" thickBot="1" x14ac:dyDescent="0.3">
      <c r="A347" s="95"/>
      <c r="B347" s="121" t="s">
        <v>233</v>
      </c>
      <c r="C347" s="122" t="e">
        <f>IF(VLOOKUP(B347,'Gebouwgegevens Allacker'!$J$5:$Q$83,2,0)=$B$316,VLOOKUP(B347,'Gebouwgegevens Allacker'!$J$5:$Q$83,2,0),VLOOKUP(B347,'Gebouwgegevens Allacker'!$J$5:$Q$83,3,0))</f>
        <v>#N/A</v>
      </c>
      <c r="D347" s="122" t="e">
        <f>IF(VLOOKUP(B347,'Gebouwgegevens Allacker'!$J$5:$Q$83,2,0)=$B$316,VLOOKUP(B347,'Gebouwgegevens Allacker'!$J$5:$Q$83,3,0),VLOOKUP(B347,'Gebouwgegevens Allacker'!$J$5:$Q$83,2,0))</f>
        <v>#N/A</v>
      </c>
      <c r="E347" s="122" t="e">
        <f>VLOOKUP(B347,'Gebouwgegevens Allacker'!$J$5:$Q$83,4,0)</f>
        <v>#N/A</v>
      </c>
      <c r="F347" s="122" t="e">
        <f>VLOOKUP(B347,'Gebouwgegevens Allacker'!$J$5:$Q$83,5,0)</f>
        <v>#N/A</v>
      </c>
      <c r="G347" s="122" t="e">
        <f>VLOOKUP('Verwarming Tabula 2zone Ref 1'!C347,'Gebouwgegevens Allacker'!$A$35:$F$46,5,0)</f>
        <v>#N/A</v>
      </c>
      <c r="H347" s="122" t="e">
        <f>VLOOKUP('Verwarming Tabula 2zone Ref 1'!D347,'Gebouwgegevens Allacker'!$A$35:$F$46,5,0)</f>
        <v>#N/A</v>
      </c>
      <c r="I347" s="122" t="e">
        <f>VLOOKUP(B347,'Gebouwgegevens Allacker'!$J$5:$Q$83,7,0)</f>
        <v>#N/A</v>
      </c>
      <c r="J347" s="118" t="e">
        <f>VLOOKUP(B347,'Gebouwgegevens Allacker'!$J$5:$Q$83,8,0)</f>
        <v>#N/A</v>
      </c>
      <c r="K347" s="118" t="e">
        <f>(G347-H347)/(G347-$B$4)</f>
        <v>#N/A</v>
      </c>
      <c r="L347" s="98"/>
      <c r="M347" s="98"/>
      <c r="N347" s="98"/>
      <c r="O347" s="98"/>
      <c r="P347" s="96"/>
    </row>
    <row r="348" spans="1:16" ht="16.5" customHeight="1" thickTop="1" thickBot="1" x14ac:dyDescent="0.3">
      <c r="A348" s="95"/>
      <c r="B348" s="121" t="s">
        <v>234</v>
      </c>
      <c r="C348" s="122" t="e">
        <f>IF(VLOOKUP(B348,'Gebouwgegevens Allacker'!$J$5:$Q$83,2,0)=$B$316,VLOOKUP(B348,'Gebouwgegevens Allacker'!$J$5:$Q$83,2,0),VLOOKUP(B348,'Gebouwgegevens Allacker'!$J$5:$Q$83,3,0))</f>
        <v>#N/A</v>
      </c>
      <c r="D348" s="122" t="e">
        <f>IF(VLOOKUP(B348,'Gebouwgegevens Allacker'!$J$5:$Q$83,2,0)=$B$316,VLOOKUP(B348,'Gebouwgegevens Allacker'!$J$5:$Q$83,3,0),VLOOKUP(B348,'Gebouwgegevens Allacker'!$J$5:$Q$83,2,0))</f>
        <v>#N/A</v>
      </c>
      <c r="E348" s="122" t="e">
        <f>VLOOKUP(B348,'Gebouwgegevens Allacker'!$J$5:$Q$83,4,0)</f>
        <v>#N/A</v>
      </c>
      <c r="F348" s="122" t="e">
        <f>VLOOKUP(B348,'Gebouwgegevens Allacker'!$J$5:$Q$83,5,0)</f>
        <v>#N/A</v>
      </c>
      <c r="G348" s="122" t="e">
        <f>VLOOKUP('Verwarming Tabula 2zone Ref 1'!C348,'Gebouwgegevens Allacker'!$A$35:$F$46,5,0)</f>
        <v>#N/A</v>
      </c>
      <c r="H348" s="122" t="e">
        <f>VLOOKUP('Verwarming Tabula 2zone Ref 1'!D348,'Gebouwgegevens Allacker'!$A$35:$F$46,5,0)</f>
        <v>#N/A</v>
      </c>
      <c r="I348" s="122" t="e">
        <f>VLOOKUP(B348,'Gebouwgegevens Allacker'!$J$5:$Q$83,7,0)</f>
        <v>#N/A</v>
      </c>
      <c r="J348" s="118" t="e">
        <f>VLOOKUP(B348,'Gebouwgegevens Allacker'!$J$5:$Q$83,8,0)</f>
        <v>#N/A</v>
      </c>
      <c r="K348" s="118" t="e">
        <f>(G348-H348)/(G348-$B$4)</f>
        <v>#N/A</v>
      </c>
      <c r="L348" s="98"/>
      <c r="M348" s="98"/>
      <c r="N348" s="98"/>
      <c r="O348" s="98"/>
      <c r="P348" s="96"/>
    </row>
    <row r="349" spans="1:16" ht="16.5" customHeight="1" thickTop="1" thickBot="1" x14ac:dyDescent="0.3">
      <c r="A349" s="95"/>
      <c r="B349" s="92" t="s">
        <v>235</v>
      </c>
      <c r="C349" s="122" t="e">
        <f>IF(VLOOKUP(B349,'Gebouwgegevens Allacker'!$J$5:$Q$83,2,0)=$B$316,VLOOKUP(B349,'Gebouwgegevens Allacker'!$J$5:$Q$83,2,0),VLOOKUP(B349,'Gebouwgegevens Allacker'!$J$5:$Q$83,3,0))</f>
        <v>#N/A</v>
      </c>
      <c r="D349" s="122" t="e">
        <f>IF(VLOOKUP(B349,'Gebouwgegevens Allacker'!$J$5:$Q$83,2,0)=$B$316,VLOOKUP(B349,'Gebouwgegevens Allacker'!$J$5:$Q$83,3,0),VLOOKUP(B349,'Gebouwgegevens Allacker'!$J$5:$Q$83,2,0))</f>
        <v>#N/A</v>
      </c>
      <c r="E349" s="122" t="e">
        <f>VLOOKUP(B349,'Gebouwgegevens Allacker'!$J$5:$Q$83,4,0)</f>
        <v>#N/A</v>
      </c>
      <c r="F349" s="122" t="e">
        <f>VLOOKUP(B349,'Gebouwgegevens Allacker'!$J$5:$Q$83,5,0)</f>
        <v>#N/A</v>
      </c>
      <c r="G349" s="122" t="e">
        <f>VLOOKUP('Verwarming Tabula 2zone Ref 1'!C349,'Gebouwgegevens Allacker'!$A$35:$F$46,5,0)</f>
        <v>#N/A</v>
      </c>
      <c r="H349" s="122" t="e">
        <f>VLOOKUP('Verwarming Tabula 2zone Ref 1'!D349,'Gebouwgegevens Allacker'!$A$35:$F$46,5,0)</f>
        <v>#N/A</v>
      </c>
      <c r="I349" s="122" t="e">
        <f>VLOOKUP(B349,'Gebouwgegevens Allacker'!$J$5:$Q$83,7,0)</f>
        <v>#N/A</v>
      </c>
      <c r="J349" s="118" t="e">
        <f>VLOOKUP(B349,'Gebouwgegevens Allacker'!$J$5:$Q$83,8,0)</f>
        <v>#N/A</v>
      </c>
      <c r="K349" s="118" t="e">
        <f>(G349-H349)/(G349-$B$4)</f>
        <v>#N/A</v>
      </c>
      <c r="L349" s="98"/>
      <c r="M349" s="98"/>
      <c r="N349" s="98"/>
      <c r="O349" s="98"/>
      <c r="P349" s="96"/>
    </row>
    <row r="350" spans="1:16" ht="16.5" customHeight="1" thickTop="1" thickBot="1" x14ac:dyDescent="0.3">
      <c r="A350" s="95"/>
      <c r="B350" s="123" t="s">
        <v>236</v>
      </c>
      <c r="C350" s="122" t="e">
        <f>IF(VLOOKUP(B350,'Gebouwgegevens Allacker'!$J$5:$Q$83,2,0)=$B$316,VLOOKUP(B350,'Gebouwgegevens Allacker'!$J$5:$Q$83,2,0),VLOOKUP(B350,'Gebouwgegevens Allacker'!$J$5:$Q$83,3,0))</f>
        <v>#N/A</v>
      </c>
      <c r="D350" s="122" t="e">
        <f>IF(VLOOKUP(B350,'Gebouwgegevens Allacker'!$J$5:$Q$83,2,0)=$B$316,VLOOKUP(B350,'Gebouwgegevens Allacker'!$J$5:$Q$83,3,0),VLOOKUP(B350,'Gebouwgegevens Allacker'!$J$5:$Q$83,2,0))</f>
        <v>#N/A</v>
      </c>
      <c r="E350" s="122" t="e">
        <f>VLOOKUP(B350,'Gebouwgegevens Allacker'!$J$5:$Q$83,4,0)</f>
        <v>#N/A</v>
      </c>
      <c r="F350" s="122" t="e">
        <f>VLOOKUP(B350,'Gebouwgegevens Allacker'!$J$5:$Q$83,5,0)</f>
        <v>#N/A</v>
      </c>
      <c r="G350" s="122" t="e">
        <f>VLOOKUP('Verwarming Tabula 2zone Ref 1'!C350,'Gebouwgegevens Allacker'!$A$35:$F$46,5,0)</f>
        <v>#N/A</v>
      </c>
      <c r="H350" s="122" t="e">
        <f>VLOOKUP('Verwarming Tabula 2zone Ref 1'!D350,'Gebouwgegevens Allacker'!$A$35:$F$46,5,0)</f>
        <v>#N/A</v>
      </c>
      <c r="I350" s="122" t="e">
        <f>VLOOKUP(B350,'Gebouwgegevens Allacker'!$J$5:$Q$83,7,0)</f>
        <v>#N/A</v>
      </c>
      <c r="J350" s="118" t="e">
        <f>VLOOKUP(B350,'Gebouwgegevens Allacker'!$J$5:$Q$83,8,0)</f>
        <v>#N/A</v>
      </c>
      <c r="K350" s="118" t="e">
        <f>(G350-H350)/(G350-$B$4)</f>
        <v>#N/A</v>
      </c>
      <c r="L350" s="98"/>
      <c r="M350" s="98"/>
      <c r="N350" s="98"/>
      <c r="O350" s="98"/>
      <c r="P350" s="96"/>
    </row>
    <row r="351" spans="1:16" ht="16.5" customHeight="1" thickTop="1" thickBot="1" x14ac:dyDescent="0.3">
      <c r="A351" s="95"/>
      <c r="B351" s="123"/>
      <c r="C351" s="139"/>
      <c r="D351" s="122"/>
      <c r="E351" s="122"/>
      <c r="F351" s="122"/>
      <c r="G351" s="122"/>
      <c r="H351" s="122"/>
      <c r="I351" s="122"/>
      <c r="J351" s="118"/>
      <c r="K351" s="118"/>
      <c r="L351" s="98"/>
      <c r="M351" s="98"/>
      <c r="N351" s="98"/>
      <c r="O351" s="98"/>
      <c r="P351" s="96"/>
    </row>
    <row r="352" spans="1:16" ht="16.5" customHeight="1" thickTop="1" thickBot="1" x14ac:dyDescent="0.3">
      <c r="A352" s="95"/>
      <c r="B352" s="123"/>
      <c r="C352" s="139"/>
      <c r="D352" s="122"/>
      <c r="E352" s="122"/>
      <c r="F352" s="122"/>
      <c r="G352" s="122"/>
      <c r="H352" s="122"/>
      <c r="I352" s="122"/>
      <c r="J352" s="118"/>
      <c r="K352" s="118"/>
      <c r="L352" s="98"/>
      <c r="M352" s="98"/>
      <c r="N352" s="98"/>
      <c r="O352" s="98"/>
      <c r="P352" s="96"/>
    </row>
    <row r="353" spans="1:16" ht="16.5" customHeight="1" thickTop="1" thickBot="1" x14ac:dyDescent="0.3">
      <c r="A353" s="95"/>
      <c r="B353" s="123"/>
      <c r="C353" s="139"/>
      <c r="D353" s="122"/>
      <c r="E353" s="122"/>
      <c r="F353" s="122"/>
      <c r="G353" s="122"/>
      <c r="H353" s="122"/>
      <c r="I353" s="122"/>
      <c r="J353" s="118"/>
      <c r="K353" s="118"/>
      <c r="L353" s="98"/>
      <c r="M353" s="98"/>
      <c r="N353" s="98"/>
      <c r="O353" s="98"/>
      <c r="P353" s="96"/>
    </row>
    <row r="354" spans="1:16" ht="16.5" customHeight="1" thickTop="1" thickBot="1" x14ac:dyDescent="0.3">
      <c r="A354" s="95"/>
      <c r="B354" s="123"/>
      <c r="C354" s="139"/>
      <c r="D354" s="122"/>
      <c r="E354" s="122"/>
      <c r="F354" s="122"/>
      <c r="G354" s="122"/>
      <c r="H354" s="122"/>
      <c r="I354" s="122"/>
      <c r="J354" s="118"/>
      <c r="K354" s="118"/>
      <c r="L354" s="98"/>
      <c r="M354" s="98"/>
      <c r="N354" s="98"/>
      <c r="O354" s="98"/>
      <c r="P354" s="96"/>
    </row>
    <row r="355" spans="1:16" ht="16.5" customHeight="1" thickTop="1" thickBot="1" x14ac:dyDescent="0.3">
      <c r="A355" s="95"/>
      <c r="B355" s="123"/>
      <c r="C355" s="139"/>
      <c r="D355" s="122"/>
      <c r="E355" s="122"/>
      <c r="F355" s="122"/>
      <c r="G355" s="122"/>
      <c r="H355" s="122"/>
      <c r="I355" s="122"/>
      <c r="J355" s="118"/>
      <c r="K355" s="118"/>
      <c r="L355" s="98"/>
      <c r="M355" s="98"/>
      <c r="N355" s="98"/>
      <c r="O355" s="98"/>
      <c r="P355" s="96"/>
    </row>
    <row r="356" spans="1:16" ht="15.75" customHeight="1" thickTop="1" x14ac:dyDescent="0.25">
      <c r="A356" s="95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8"/>
      <c r="M356" s="98"/>
      <c r="N356" s="98"/>
      <c r="O356" s="98"/>
      <c r="P356" s="96"/>
    </row>
    <row r="357" spans="1:16" ht="15" customHeight="1" x14ac:dyDescent="0.25">
      <c r="A357" s="95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6"/>
    </row>
    <row r="358" spans="1:16" ht="15.75" customHeight="1" x14ac:dyDescent="0.25">
      <c r="A358" s="103" t="s">
        <v>192</v>
      </c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6"/>
    </row>
    <row r="359" spans="1:16" ht="16.5" customHeight="1" x14ac:dyDescent="0.25">
      <c r="A359" s="124" t="s">
        <v>193</v>
      </c>
      <c r="B359" s="118" t="e">
        <f>SUMPRODUCT(H322:H333,I322:I333)+SUMPRODUCT(G338:G342,H338:H342)+SUMPRODUCT(J346:J355,K346:K355)</f>
        <v>#N/A</v>
      </c>
      <c r="C359" s="118" t="s">
        <v>107</v>
      </c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6"/>
    </row>
    <row r="360" spans="1:16" ht="16.5" customHeight="1" x14ac:dyDescent="0.25">
      <c r="A360" s="124" t="s">
        <v>167</v>
      </c>
      <c r="B360" s="118" t="e">
        <f>B359*(G346-$B$4)</f>
        <v>#N/A</v>
      </c>
      <c r="C360" s="118" t="s">
        <v>169</v>
      </c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6"/>
    </row>
    <row r="361" spans="1:16" ht="15.75" customHeight="1" thickBot="1" x14ac:dyDescent="0.3">
      <c r="A361" s="109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1"/>
    </row>
    <row r="362" spans="1:16" ht="15.75" customHeight="1" thickTop="1" x14ac:dyDescent="0.25">
      <c r="A362" s="343" t="s">
        <v>194</v>
      </c>
      <c r="B362" s="343"/>
      <c r="C362" s="343"/>
      <c r="D362" s="125" t="s">
        <v>222</v>
      </c>
      <c r="E362" s="299"/>
      <c r="F362" s="299"/>
      <c r="G362" s="299"/>
      <c r="H362" s="299"/>
      <c r="I362" s="299"/>
      <c r="J362" s="299"/>
      <c r="K362" s="299"/>
      <c r="L362" s="299"/>
      <c r="M362" s="299"/>
      <c r="N362" s="299"/>
      <c r="O362" s="299"/>
      <c r="P362" s="94"/>
    </row>
    <row r="363" spans="1:16" ht="15" customHeight="1" x14ac:dyDescent="0.25">
      <c r="A363" s="95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6"/>
    </row>
    <row r="364" spans="1:16" ht="15" customHeight="1" thickBot="1" x14ac:dyDescent="0.3">
      <c r="A364" s="126" t="s">
        <v>195</v>
      </c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6"/>
    </row>
    <row r="365" spans="1:16" ht="15" customHeight="1" thickTop="1" thickBot="1" x14ac:dyDescent="0.3">
      <c r="A365" s="127" t="s">
        <v>196</v>
      </c>
      <c r="B365" s="121">
        <v>8</v>
      </c>
      <c r="C365" s="120" t="s">
        <v>197</v>
      </c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6"/>
    </row>
    <row r="366" spans="1:16" ht="15" customHeight="1" thickTop="1" thickBot="1" x14ac:dyDescent="0.3">
      <c r="A366" s="127" t="s">
        <v>198</v>
      </c>
      <c r="B366" s="121">
        <v>0.03</v>
      </c>
      <c r="C366" s="120" t="s">
        <v>199</v>
      </c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6"/>
    </row>
    <row r="367" spans="1:16" ht="15.75" customHeight="1" thickTop="1" thickBot="1" x14ac:dyDescent="0.3">
      <c r="A367" s="127" t="s">
        <v>200</v>
      </c>
      <c r="B367" s="121">
        <v>1</v>
      </c>
      <c r="C367" s="120" t="s">
        <v>201</v>
      </c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6"/>
    </row>
    <row r="368" spans="1:16" ht="16.5" customHeight="1" thickTop="1" x14ac:dyDescent="0.25">
      <c r="A368" s="124" t="s">
        <v>202</v>
      </c>
      <c r="B368" s="118" t="e">
        <f>2*VLOOKUP(B316,'Gebouwgegevens Allacker'!$A$35:$F$46,6,0)*B365*B366*B367</f>
        <v>#N/A</v>
      </c>
      <c r="C368" s="118" t="s">
        <v>203</v>
      </c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6"/>
    </row>
    <row r="369" spans="1:16" ht="15.75" customHeight="1" x14ac:dyDescent="0.25">
      <c r="A369" s="95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6"/>
    </row>
    <row r="370" spans="1:16" ht="15" customHeight="1" x14ac:dyDescent="0.25">
      <c r="A370" s="126" t="s">
        <v>204</v>
      </c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6"/>
    </row>
    <row r="371" spans="1:16" ht="15.75" customHeight="1" x14ac:dyDescent="0.25">
      <c r="A371" s="95" t="s">
        <v>180</v>
      </c>
      <c r="B371" s="98" t="e">
        <f>VLOOKUP(B316,'Gebouwgegevens Allacker'!$A$35:$F$46,6,0)</f>
        <v>#N/A</v>
      </c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6"/>
    </row>
    <row r="372" spans="1:16" ht="16.5" customHeight="1" x14ac:dyDescent="0.25">
      <c r="A372" s="124" t="s">
        <v>205</v>
      </c>
      <c r="B372" s="128" t="e">
        <f>B371*3.6</f>
        <v>#N/A</v>
      </c>
      <c r="C372" s="118" t="s">
        <v>203</v>
      </c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6"/>
    </row>
    <row r="373" spans="1:16" ht="15.75" customHeight="1" x14ac:dyDescent="0.25">
      <c r="A373" s="95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6"/>
    </row>
    <row r="374" spans="1:16" ht="15.75" customHeight="1" x14ac:dyDescent="0.25">
      <c r="A374" s="95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6"/>
    </row>
    <row r="375" spans="1:16" ht="16.5" customHeight="1" x14ac:dyDescent="0.25">
      <c r="A375" s="124" t="s">
        <v>207</v>
      </c>
      <c r="B375" s="118" t="e">
        <f>MAX(B368,B372)</f>
        <v>#N/A</v>
      </c>
      <c r="C375" s="118" t="s">
        <v>203</v>
      </c>
      <c r="D375" s="98"/>
      <c r="E375" s="98"/>
      <c r="F375" s="118" t="s">
        <v>208</v>
      </c>
      <c r="G375" s="118" t="e">
        <f>B375/VLOOKUP(B316,'Gebouwgegevens Allacker'!$A$35:$B$46,2,0)</f>
        <v>#N/A</v>
      </c>
      <c r="H375" s="98"/>
      <c r="I375" s="98"/>
      <c r="J375" s="98"/>
      <c r="K375" s="98"/>
      <c r="L375" s="98"/>
      <c r="M375" s="98"/>
      <c r="N375" s="98"/>
      <c r="O375" s="98"/>
      <c r="P375" s="96"/>
    </row>
    <row r="376" spans="1:16" ht="16.5" customHeight="1" x14ac:dyDescent="0.25">
      <c r="A376" s="138"/>
      <c r="B376" s="58"/>
      <c r="C376" s="5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6"/>
    </row>
    <row r="377" spans="1:16" ht="16.5" customHeight="1" x14ac:dyDescent="0.25">
      <c r="A377" s="124" t="s">
        <v>209</v>
      </c>
      <c r="B377" s="118" t="e">
        <f>0.34*B375</f>
        <v>#N/A</v>
      </c>
      <c r="C377" s="118" t="s">
        <v>107</v>
      </c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6"/>
    </row>
    <row r="378" spans="1:16" ht="16.5" customHeight="1" x14ac:dyDescent="0.25">
      <c r="A378" s="124" t="s">
        <v>167</v>
      </c>
      <c r="B378" s="118" t="e">
        <f>B377*('Gebouwgegevens Allacker'!E338-$B$4)</f>
        <v>#N/A</v>
      </c>
      <c r="C378" s="118" t="s">
        <v>169</v>
      </c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6"/>
    </row>
    <row r="379" spans="1:16" ht="15.75" customHeight="1" thickBot="1" x14ac:dyDescent="0.3">
      <c r="A379" s="140"/>
      <c r="B379" s="141"/>
      <c r="C379" s="141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1"/>
    </row>
    <row r="380" spans="1:16" ht="15.75" customHeight="1" thickTop="1" x14ac:dyDescent="0.25">
      <c r="A380" s="343" t="s">
        <v>210</v>
      </c>
      <c r="B380" s="343"/>
      <c r="C380" s="343"/>
      <c r="D380" s="343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6"/>
    </row>
    <row r="381" spans="1:16" ht="15" customHeight="1" thickBot="1" x14ac:dyDescent="0.3">
      <c r="A381" s="95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6"/>
    </row>
    <row r="382" spans="1:16" ht="15" customHeight="1" thickTop="1" thickBot="1" x14ac:dyDescent="0.3">
      <c r="A382" s="127" t="s">
        <v>211</v>
      </c>
      <c r="B382" s="121">
        <v>22</v>
      </c>
      <c r="C382" s="58" t="s">
        <v>232</v>
      </c>
      <c r="D382" s="5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6"/>
    </row>
    <row r="383" spans="1:16" ht="15.75" customHeight="1" thickTop="1" x14ac:dyDescent="0.25">
      <c r="A383" s="3" t="s">
        <v>113</v>
      </c>
      <c r="B383" s="58" t="e">
        <f>VLOOKUP(B316,'Gebouwgegevens Allacker'!$A$35:$F$46,6,0)</f>
        <v>#N/A</v>
      </c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6"/>
    </row>
    <row r="384" spans="1:16" ht="16.5" customHeight="1" x14ac:dyDescent="0.25">
      <c r="A384" s="124" t="s">
        <v>213</v>
      </c>
      <c r="B384" s="118" t="e">
        <f>B385/('Gebouwgegevens Allacker'!E338-'Verwarming Tabula 2zone Ref 1'!$B$4)</f>
        <v>#N/A</v>
      </c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6"/>
    </row>
    <row r="385" spans="1:16" ht="16.5" customHeight="1" x14ac:dyDescent="0.25">
      <c r="A385" s="124" t="s">
        <v>167</v>
      </c>
      <c r="B385" s="118" t="e">
        <f>B382*B383</f>
        <v>#N/A</v>
      </c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6"/>
    </row>
    <row r="386" spans="1:16" ht="15.75" customHeight="1" x14ac:dyDescent="0.25">
      <c r="A386" s="95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6"/>
    </row>
    <row r="387" spans="1:16" ht="15.75" customHeight="1" thickBot="1" x14ac:dyDescent="0.3">
      <c r="A387" s="95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6"/>
    </row>
    <row r="388" spans="1:16" ht="15.75" customHeight="1" thickTop="1" thickBot="1" x14ac:dyDescent="0.3">
      <c r="A388" s="129" t="s">
        <v>214</v>
      </c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1"/>
    </row>
    <row r="389" spans="1:16" ht="16.5" customHeight="1" thickTop="1" x14ac:dyDescent="0.25">
      <c r="A389" s="124" t="s">
        <v>215</v>
      </c>
      <c r="B389" s="118" t="e">
        <f>SUM(B359,B377,B384)</f>
        <v>#N/A</v>
      </c>
      <c r="C389" s="118" t="s">
        <v>107</v>
      </c>
      <c r="D389" s="132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  <c r="O389" s="132"/>
      <c r="P389" s="133"/>
    </row>
    <row r="390" spans="1:16" ht="16.5" customHeight="1" x14ac:dyDescent="0.25">
      <c r="A390" s="124" t="s">
        <v>167</v>
      </c>
      <c r="B390" s="118" t="e">
        <f>SUM(B360,B378,B385)</f>
        <v>#N/A</v>
      </c>
      <c r="C390" s="118" t="s">
        <v>169</v>
      </c>
      <c r="D390" s="132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  <c r="O390" s="132"/>
      <c r="P390" s="133"/>
    </row>
    <row r="391" spans="1:16" ht="16.5" customHeight="1" thickBot="1" x14ac:dyDescent="0.3">
      <c r="A391" s="134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6"/>
    </row>
    <row r="392" spans="1:16" ht="15.75" customHeight="1" thickTop="1" thickBot="1" x14ac:dyDescent="0.3">
      <c r="A392" s="137"/>
      <c r="B392" s="137"/>
      <c r="C392" s="137"/>
      <c r="D392" s="137"/>
      <c r="E392" s="137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</row>
    <row r="393" spans="1:16" ht="15" customHeight="1" thickTop="1" thickBot="1" x14ac:dyDescent="0.3">
      <c r="A393" s="93"/>
      <c r="B393" s="299"/>
      <c r="C393" s="299"/>
      <c r="D393" s="299"/>
      <c r="E393" s="299"/>
      <c r="F393" s="299"/>
      <c r="G393" s="299"/>
      <c r="H393" s="299"/>
      <c r="I393" s="299"/>
      <c r="J393" s="299"/>
      <c r="K393" s="299"/>
      <c r="L393" s="299"/>
      <c r="M393" s="299"/>
      <c r="N393" s="299"/>
      <c r="O393" s="299"/>
      <c r="P393" s="94"/>
    </row>
    <row r="394" spans="1:16" ht="17.25" customHeight="1" thickTop="1" thickBot="1" x14ac:dyDescent="0.35">
      <c r="A394" s="97" t="s">
        <v>166</v>
      </c>
      <c r="B394" s="92">
        <v>6</v>
      </c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6"/>
    </row>
    <row r="395" spans="1:16" ht="15.75" customHeight="1" thickTop="1" x14ac:dyDescent="0.25">
      <c r="A395" s="343" t="s">
        <v>168</v>
      </c>
      <c r="B395" s="343"/>
      <c r="C395" s="343"/>
      <c r="D395" s="343"/>
      <c r="E395" s="299"/>
      <c r="F395" s="299"/>
      <c r="G395" s="299"/>
      <c r="H395" s="299"/>
      <c r="I395" s="299"/>
      <c r="J395" s="299"/>
      <c r="K395" s="299"/>
      <c r="L395" s="299"/>
      <c r="M395" s="299"/>
      <c r="N395" s="299"/>
      <c r="O395" s="299"/>
      <c r="P395" s="94"/>
    </row>
    <row r="396" spans="1:16" ht="15" customHeight="1" x14ac:dyDescent="0.25">
      <c r="A396" s="95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6"/>
    </row>
    <row r="397" spans="1:16" ht="15" customHeight="1" x14ac:dyDescent="0.25">
      <c r="A397" s="103" t="s">
        <v>170</v>
      </c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6"/>
    </row>
    <row r="398" spans="1:16" ht="15" customHeight="1" x14ac:dyDescent="0.25">
      <c r="A398" s="95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6"/>
    </row>
    <row r="399" spans="1:16" ht="15.75" customHeight="1" thickBot="1" x14ac:dyDescent="0.3">
      <c r="A399" s="95"/>
      <c r="B399" s="104" t="s">
        <v>10</v>
      </c>
      <c r="C399" s="104" t="s">
        <v>171</v>
      </c>
      <c r="D399" s="104" t="s">
        <v>172</v>
      </c>
      <c r="E399" s="104" t="s">
        <v>173</v>
      </c>
      <c r="F399" s="104" t="s">
        <v>174</v>
      </c>
      <c r="G399" s="104" t="s">
        <v>16</v>
      </c>
      <c r="H399" s="105" t="s">
        <v>17</v>
      </c>
      <c r="I399" s="105" t="s">
        <v>175</v>
      </c>
      <c r="J399" s="98"/>
      <c r="K399" s="98"/>
      <c r="L399" s="98"/>
      <c r="M399" s="98"/>
      <c r="N399" s="98"/>
      <c r="O399" s="98"/>
      <c r="P399" s="96"/>
    </row>
    <row r="400" spans="1:16" ht="16.5" customHeight="1" thickTop="1" thickBot="1" x14ac:dyDescent="0.3">
      <c r="A400" s="95"/>
      <c r="B400" s="106" t="s">
        <v>96</v>
      </c>
      <c r="C400" s="107">
        <f>VLOOKUP(B400,'Gebouwgegevens Allacker'!$J$5:$Q$83,3,0)</f>
        <v>3</v>
      </c>
      <c r="D400" s="107" t="str">
        <f>VLOOKUP(B400,'Gebouwgegevens Allacker'!$J$5:$Q$83,4,0)</f>
        <v>Roof</v>
      </c>
      <c r="E400" s="107">
        <f>VLOOKUP(B400,'Gebouwgegevens Allacker'!$J$5:$Q$83,5,0)</f>
        <v>99.627515556697489</v>
      </c>
      <c r="F400" s="107" t="str">
        <f>VLOOKUP(B400,'Gebouwgegevens Allacker'!$J$5:$Q$83,6,0)</f>
        <v>front/back</v>
      </c>
      <c r="G400" s="107">
        <f>VLOOKUP(B400,'Gebouwgegevens Allacker'!$J$5:$Q$83,7,0)</f>
        <v>1.6975498473547073</v>
      </c>
      <c r="H400" s="108">
        <f>VLOOKUP(B400,'Gebouwgegevens Allacker'!$J$5:$Q$83,8,0)</f>
        <v>169.12267382560054</v>
      </c>
      <c r="I400" s="108">
        <v>1</v>
      </c>
      <c r="J400" s="98"/>
      <c r="K400" s="98"/>
      <c r="L400" s="98"/>
      <c r="M400" s="98"/>
      <c r="N400" s="98"/>
      <c r="O400" s="98"/>
      <c r="P400" s="96"/>
    </row>
    <row r="401" spans="1:16" ht="16.5" customHeight="1" thickTop="1" thickBot="1" x14ac:dyDescent="0.3">
      <c r="A401" s="95"/>
      <c r="B401" s="106" t="s">
        <v>98</v>
      </c>
      <c r="C401" s="107">
        <f>VLOOKUP(B401,'Gebouwgegevens Allacker'!$J$5:$Q$83,3,0)</f>
        <v>3</v>
      </c>
      <c r="D401" s="107" t="str">
        <f>VLOOKUP(B401,'Gebouwgegevens Allacker'!$J$5:$Q$83,4,0)</f>
        <v>Floor internal</v>
      </c>
      <c r="E401" s="107">
        <f>VLOOKUP(B401,'Gebouwgegevens Allacker'!$J$5:$Q$83,5,0)</f>
        <v>76.183999999999997</v>
      </c>
      <c r="F401" s="107">
        <f>VLOOKUP(B401,'Gebouwgegevens Allacker'!$J$5:$Q$83,6,0)</f>
        <v>0</v>
      </c>
      <c r="G401" s="107">
        <f>VLOOKUP(B401,'Gebouwgegevens Allacker'!$J$5:$Q$83,7,0)</f>
        <v>2.0895522388059704</v>
      </c>
      <c r="H401" s="108">
        <f>VLOOKUP(B401,'Gebouwgegevens Allacker'!$J$5:$Q$83,8,0)</f>
        <v>159.19044776119404</v>
      </c>
      <c r="I401" s="108">
        <v>1</v>
      </c>
      <c r="J401" s="98"/>
      <c r="K401" s="98"/>
      <c r="L401" s="98"/>
      <c r="M401" s="98"/>
      <c r="N401" s="98"/>
      <c r="O401" s="98"/>
      <c r="P401" s="96"/>
    </row>
    <row r="402" spans="1:16" ht="16.5" customHeight="1" thickTop="1" thickBot="1" x14ac:dyDescent="0.3">
      <c r="A402" s="95"/>
      <c r="B402" s="106" t="s">
        <v>101</v>
      </c>
      <c r="C402" s="107">
        <f>VLOOKUP(B402,'Gebouwgegevens Allacker'!$J$5:$Q$83,3,0)</f>
        <v>2</v>
      </c>
      <c r="D402" s="107" t="str">
        <f>VLOOKUP(B402,'Gebouwgegevens Allacker'!$J$5:$Q$83,4,0)</f>
        <v>Wall internal</v>
      </c>
      <c r="E402" s="107">
        <f>VLOOKUP(B402,'Gebouwgegevens Allacker'!$J$5:$Q$83,5,0)</f>
        <v>140.84</v>
      </c>
      <c r="F402" s="107">
        <f>VLOOKUP(B402,'Gebouwgegevens Allacker'!$J$5:$Q$83,6,0)</f>
        <v>0</v>
      </c>
      <c r="G402" s="107">
        <f>VLOOKUP(B402,'Gebouwgegevens Allacker'!$J$5:$Q$83,7,0)</f>
        <v>1.9926199261992623</v>
      </c>
      <c r="H402" s="108">
        <f>VLOOKUP(B402,'Gebouwgegevens Allacker'!$J$5:$Q$83,8,0)</f>
        <v>280.64059040590411</v>
      </c>
      <c r="I402" s="108">
        <v>1</v>
      </c>
      <c r="J402" s="98"/>
      <c r="K402" s="98"/>
      <c r="L402" s="98"/>
      <c r="M402" s="98"/>
      <c r="N402" s="98"/>
      <c r="O402" s="98"/>
      <c r="P402" s="96"/>
    </row>
    <row r="403" spans="1:16" ht="16.5" customHeight="1" thickTop="1" thickBot="1" x14ac:dyDescent="0.3">
      <c r="A403" s="95"/>
      <c r="B403" s="106"/>
      <c r="C403" s="107"/>
      <c r="D403" s="107"/>
      <c r="E403" s="107"/>
      <c r="F403" s="107"/>
      <c r="G403" s="107"/>
      <c r="H403" s="108"/>
      <c r="I403" s="108"/>
      <c r="J403" s="98"/>
      <c r="K403" s="98"/>
      <c r="L403" s="98"/>
      <c r="M403" s="98"/>
      <c r="N403" s="98"/>
      <c r="O403" s="98"/>
      <c r="P403" s="96"/>
    </row>
    <row r="404" spans="1:16" ht="16.5" customHeight="1" thickTop="1" thickBot="1" x14ac:dyDescent="0.3">
      <c r="A404" s="95"/>
      <c r="B404" s="106"/>
      <c r="C404" s="107"/>
      <c r="D404" s="107"/>
      <c r="E404" s="107"/>
      <c r="F404" s="107"/>
      <c r="G404" s="107"/>
      <c r="H404" s="108"/>
      <c r="I404" s="108"/>
      <c r="J404" s="98"/>
      <c r="K404" s="98"/>
      <c r="L404" s="98"/>
      <c r="M404" s="98"/>
      <c r="N404" s="98"/>
      <c r="O404" s="98"/>
      <c r="P404" s="96"/>
    </row>
    <row r="405" spans="1:16" ht="16.5" customHeight="1" thickTop="1" thickBot="1" x14ac:dyDescent="0.3">
      <c r="A405" s="95"/>
      <c r="B405" s="106"/>
      <c r="C405" s="107"/>
      <c r="D405" s="107"/>
      <c r="E405" s="107"/>
      <c r="F405" s="107"/>
      <c r="G405" s="107"/>
      <c r="H405" s="108"/>
      <c r="I405" s="108"/>
      <c r="J405" s="98"/>
      <c r="K405" s="98"/>
      <c r="L405" s="98"/>
      <c r="M405" s="98"/>
      <c r="N405" s="98"/>
      <c r="O405" s="98"/>
      <c r="P405" s="96"/>
    </row>
    <row r="406" spans="1:16" ht="16.5" customHeight="1" thickTop="1" thickBot="1" x14ac:dyDescent="0.3">
      <c r="A406" s="95"/>
      <c r="B406" s="106"/>
      <c r="C406" s="107"/>
      <c r="D406" s="107"/>
      <c r="E406" s="107"/>
      <c r="F406" s="107"/>
      <c r="G406" s="107"/>
      <c r="H406" s="108"/>
      <c r="I406" s="108"/>
      <c r="J406" s="98"/>
      <c r="K406" s="98"/>
      <c r="L406" s="98"/>
      <c r="M406" s="98"/>
      <c r="N406" s="98"/>
      <c r="O406" s="98"/>
      <c r="P406" s="96"/>
    </row>
    <row r="407" spans="1:16" ht="16.5" customHeight="1" thickTop="1" thickBot="1" x14ac:dyDescent="0.3">
      <c r="A407" s="95"/>
      <c r="B407" s="106"/>
      <c r="C407" s="107"/>
      <c r="D407" s="107"/>
      <c r="E407" s="107"/>
      <c r="F407" s="107"/>
      <c r="G407" s="107"/>
      <c r="H407" s="108"/>
      <c r="I407" s="108"/>
      <c r="J407" s="98"/>
      <c r="K407" s="98"/>
      <c r="L407" s="98"/>
      <c r="M407" s="98"/>
      <c r="N407" s="98"/>
      <c r="O407" s="98"/>
      <c r="P407" s="96"/>
    </row>
    <row r="408" spans="1:16" ht="16.5" customHeight="1" thickTop="1" thickBot="1" x14ac:dyDescent="0.3">
      <c r="A408" s="95"/>
      <c r="B408" s="106"/>
      <c r="C408" s="107"/>
      <c r="D408" s="107"/>
      <c r="E408" s="107"/>
      <c r="F408" s="107"/>
      <c r="G408" s="107"/>
      <c r="H408" s="108"/>
      <c r="I408" s="108"/>
      <c r="J408" s="98"/>
      <c r="K408" s="98"/>
      <c r="L408" s="98"/>
      <c r="M408" s="98"/>
      <c r="N408" s="98"/>
      <c r="O408" s="98"/>
      <c r="P408" s="96"/>
    </row>
    <row r="409" spans="1:16" ht="16.5" customHeight="1" thickTop="1" thickBot="1" x14ac:dyDescent="0.3">
      <c r="A409" s="95"/>
      <c r="B409" s="106"/>
      <c r="C409" s="107"/>
      <c r="D409" s="107"/>
      <c r="E409" s="107"/>
      <c r="F409" s="107"/>
      <c r="G409" s="107"/>
      <c r="H409" s="108"/>
      <c r="I409" s="108"/>
      <c r="J409" s="98"/>
      <c r="K409" s="98"/>
      <c r="L409" s="98"/>
      <c r="M409" s="98"/>
      <c r="N409" s="98"/>
      <c r="O409" s="98"/>
      <c r="P409" s="96"/>
    </row>
    <row r="410" spans="1:16" ht="16.5" customHeight="1" thickTop="1" thickBot="1" x14ac:dyDescent="0.3">
      <c r="A410" s="95"/>
      <c r="B410" s="106"/>
      <c r="C410" s="107"/>
      <c r="D410" s="107"/>
      <c r="E410" s="107"/>
      <c r="F410" s="107"/>
      <c r="G410" s="107"/>
      <c r="H410" s="108"/>
      <c r="I410" s="108"/>
      <c r="J410" s="98"/>
      <c r="K410" s="98"/>
      <c r="L410" s="98"/>
      <c r="M410" s="98"/>
      <c r="N410" s="98"/>
      <c r="O410" s="98"/>
      <c r="P410" s="96"/>
    </row>
    <row r="411" spans="1:16" ht="16.5" customHeight="1" thickTop="1" thickBot="1" x14ac:dyDescent="0.3">
      <c r="A411" s="95"/>
      <c r="B411" s="106"/>
      <c r="C411" s="107"/>
      <c r="D411" s="107"/>
      <c r="E411" s="107"/>
      <c r="F411" s="107"/>
      <c r="G411" s="107"/>
      <c r="H411" s="108"/>
      <c r="I411" s="108"/>
      <c r="J411" s="98"/>
      <c r="K411" s="98"/>
      <c r="L411" s="98"/>
      <c r="M411" s="98"/>
      <c r="N411" s="98"/>
      <c r="O411" s="98"/>
      <c r="P411" s="96"/>
    </row>
    <row r="412" spans="1:16" ht="15.75" customHeight="1" thickTop="1" x14ac:dyDescent="0.25">
      <c r="A412" s="95"/>
      <c r="B412" s="58"/>
      <c r="C412" s="58"/>
      <c r="D412" s="58"/>
      <c r="E412" s="58"/>
      <c r="F412" s="58"/>
      <c r="G412" s="114"/>
      <c r="H412" s="58"/>
      <c r="I412" s="58"/>
      <c r="J412" s="98"/>
      <c r="K412" s="98"/>
      <c r="L412" s="98"/>
      <c r="M412" s="98"/>
      <c r="N412" s="98"/>
      <c r="O412" s="98"/>
      <c r="P412" s="96"/>
    </row>
    <row r="413" spans="1:16" ht="15" customHeight="1" x14ac:dyDescent="0.25">
      <c r="A413" s="95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6"/>
    </row>
    <row r="414" spans="1:16" ht="15" customHeight="1" x14ac:dyDescent="0.25">
      <c r="A414" s="103" t="s">
        <v>177</v>
      </c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6"/>
    </row>
    <row r="415" spans="1:16" ht="15.75" customHeight="1" x14ac:dyDescent="0.25">
      <c r="A415" s="95"/>
      <c r="B415" s="58" t="s">
        <v>10</v>
      </c>
      <c r="C415" s="58" t="s">
        <v>178</v>
      </c>
      <c r="D415" s="58" t="s">
        <v>172</v>
      </c>
      <c r="E415" s="58" t="s">
        <v>179</v>
      </c>
      <c r="F415" s="58" t="s">
        <v>16</v>
      </c>
      <c r="G415" s="114" t="s">
        <v>17</v>
      </c>
      <c r="H415" s="114" t="s">
        <v>175</v>
      </c>
      <c r="I415" s="58" t="s">
        <v>180</v>
      </c>
      <c r="J415" s="58" t="s">
        <v>181</v>
      </c>
      <c r="K415" s="58" t="s">
        <v>182</v>
      </c>
      <c r="L415" s="115" t="s">
        <v>183</v>
      </c>
      <c r="M415" s="115" t="s">
        <v>184</v>
      </c>
      <c r="N415" s="115" t="s">
        <v>185</v>
      </c>
      <c r="O415" s="98"/>
      <c r="P415" s="96"/>
    </row>
    <row r="416" spans="1:16" ht="16.5" customHeight="1" thickBot="1" x14ac:dyDescent="0.3">
      <c r="A416" s="95"/>
      <c r="B416" s="116"/>
      <c r="C416" s="117"/>
      <c r="D416" s="117"/>
      <c r="E416" s="117"/>
      <c r="F416" s="117"/>
      <c r="G416" s="118"/>
      <c r="H416" s="118"/>
      <c r="I416" s="117"/>
      <c r="J416" s="116"/>
      <c r="K416" s="116"/>
      <c r="L416" s="119"/>
      <c r="M416" s="119"/>
      <c r="N416" s="120"/>
      <c r="O416" s="98"/>
      <c r="P416" s="96"/>
    </row>
    <row r="417" spans="1:16" ht="16.5" customHeight="1" thickTop="1" thickBot="1" x14ac:dyDescent="0.3">
      <c r="A417" s="95"/>
      <c r="B417" s="116"/>
      <c r="C417" s="117"/>
      <c r="D417" s="117"/>
      <c r="E417" s="117"/>
      <c r="F417" s="117"/>
      <c r="G417" s="118"/>
      <c r="H417" s="118"/>
      <c r="I417" s="117"/>
      <c r="J417" s="116"/>
      <c r="K417" s="116"/>
      <c r="L417" s="119"/>
      <c r="M417" s="119"/>
      <c r="N417" s="120"/>
      <c r="O417" s="98"/>
      <c r="P417" s="96"/>
    </row>
    <row r="418" spans="1:16" ht="16.5" customHeight="1" thickTop="1" thickBot="1" x14ac:dyDescent="0.3">
      <c r="A418" s="95"/>
      <c r="B418" s="116"/>
      <c r="C418" s="117"/>
      <c r="D418" s="117"/>
      <c r="E418" s="117"/>
      <c r="F418" s="117"/>
      <c r="G418" s="118"/>
      <c r="H418" s="118"/>
      <c r="I418" s="117"/>
      <c r="J418" s="116"/>
      <c r="K418" s="116"/>
      <c r="L418" s="119"/>
      <c r="M418" s="119"/>
      <c r="N418" s="120"/>
      <c r="O418" s="98"/>
      <c r="P418" s="96"/>
    </row>
    <row r="419" spans="1:16" ht="16.5" customHeight="1" thickTop="1" thickBot="1" x14ac:dyDescent="0.3">
      <c r="A419" s="95"/>
      <c r="B419" s="116"/>
      <c r="C419" s="117"/>
      <c r="D419" s="117"/>
      <c r="E419" s="117"/>
      <c r="F419" s="117"/>
      <c r="G419" s="118"/>
      <c r="H419" s="118"/>
      <c r="I419" s="117"/>
      <c r="J419" s="116"/>
      <c r="K419" s="116"/>
      <c r="L419" s="119"/>
      <c r="M419" s="119"/>
      <c r="N419" s="120"/>
      <c r="O419" s="98"/>
      <c r="P419" s="96"/>
    </row>
    <row r="420" spans="1:16" ht="16.5" customHeight="1" thickTop="1" thickBot="1" x14ac:dyDescent="0.3">
      <c r="A420" s="138"/>
      <c r="B420" s="116"/>
      <c r="C420" s="117"/>
      <c r="D420" s="117"/>
      <c r="E420" s="117"/>
      <c r="F420" s="117"/>
      <c r="G420" s="118"/>
      <c r="H420" s="118"/>
      <c r="I420" s="117"/>
      <c r="J420" s="116"/>
      <c r="K420" s="116"/>
      <c r="L420" s="119"/>
      <c r="M420" s="119"/>
      <c r="N420" s="120"/>
      <c r="O420" s="98"/>
      <c r="P420" s="96"/>
    </row>
    <row r="421" spans="1:16" ht="15.75" customHeight="1" thickTop="1" x14ac:dyDescent="0.25">
      <c r="A421" s="95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6"/>
    </row>
    <row r="422" spans="1:16" ht="15" customHeight="1" x14ac:dyDescent="0.25">
      <c r="A422" s="103" t="s">
        <v>186</v>
      </c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6"/>
    </row>
    <row r="423" spans="1:16" ht="15.75" customHeight="1" thickBot="1" x14ac:dyDescent="0.3">
      <c r="A423" s="95"/>
      <c r="B423" s="58" t="s">
        <v>10</v>
      </c>
      <c r="C423" s="58" t="s">
        <v>187</v>
      </c>
      <c r="D423" s="58" t="s">
        <v>188</v>
      </c>
      <c r="E423" s="58" t="s">
        <v>135</v>
      </c>
      <c r="F423" s="58" t="s">
        <v>189</v>
      </c>
      <c r="G423" s="58" t="s">
        <v>190</v>
      </c>
      <c r="H423" s="58" t="s">
        <v>191</v>
      </c>
      <c r="I423" s="58" t="s">
        <v>16</v>
      </c>
      <c r="J423" s="114" t="s">
        <v>17</v>
      </c>
      <c r="K423" s="114" t="s">
        <v>175</v>
      </c>
      <c r="L423" s="98"/>
      <c r="M423" s="98"/>
      <c r="N423" s="98"/>
      <c r="O423" s="98"/>
      <c r="P423" s="96"/>
    </row>
    <row r="424" spans="1:16" ht="16.5" customHeight="1" thickTop="1" thickBot="1" x14ac:dyDescent="0.3">
      <c r="A424" s="95"/>
      <c r="B424" s="116" t="s">
        <v>233</v>
      </c>
      <c r="C424" s="122" t="e">
        <f>IF(VLOOKUP(B424,'Gebouwgegevens Allacker'!$J$5:$Q$83,2,0)=$B$394,VLOOKUP(B424,'Gebouwgegevens Allacker'!$J$5:$Q$83,2,0),VLOOKUP(B424,'Gebouwgegevens Allacker'!$J$5:$Q$83,3,0))</f>
        <v>#N/A</v>
      </c>
      <c r="D424" s="122" t="e">
        <f>IF(VLOOKUP(B424,'Gebouwgegevens Allacker'!$J$5:$Q$83,2,0)=$B$394,VLOOKUP(B424,'Gebouwgegevens Allacker'!$J$5:$Q$83,3,0),VLOOKUP(B424,'Gebouwgegevens Allacker'!$J$5:$Q$83,2,0))</f>
        <v>#N/A</v>
      </c>
      <c r="E424" s="122" t="e">
        <f>VLOOKUP(B424,'Gebouwgegevens Allacker'!$J$5:$Q$83,4,0)</f>
        <v>#N/A</v>
      </c>
      <c r="F424" s="122" t="e">
        <f>VLOOKUP(B424,'Gebouwgegevens Allacker'!$J$5:$Q$83,5,0)</f>
        <v>#N/A</v>
      </c>
      <c r="G424" s="122" t="e">
        <f>VLOOKUP('Verwarming Tabula 2zone Ref 1'!C424,'Gebouwgegevens Allacker'!$A$35:$F$46,5,0)</f>
        <v>#N/A</v>
      </c>
      <c r="H424" s="122" t="e">
        <f>VLOOKUP('Verwarming Tabula 2zone Ref 1'!D424,'Gebouwgegevens Allacker'!$A$35:$F$46,5,0)</f>
        <v>#N/A</v>
      </c>
      <c r="I424" s="122" t="e">
        <f>VLOOKUP(B424,'Gebouwgegevens Allacker'!$J$5:$Q$83,7,0)</f>
        <v>#N/A</v>
      </c>
      <c r="J424" s="118" t="e">
        <f>VLOOKUP(B424,'Gebouwgegevens Allacker'!$J$5:$Q$83,8,0)</f>
        <v>#N/A</v>
      </c>
      <c r="K424" s="118" t="e">
        <f>(G424-H424)/(G424-$B$4)</f>
        <v>#N/A</v>
      </c>
      <c r="L424" s="98"/>
      <c r="M424" s="98"/>
      <c r="N424" s="98"/>
      <c r="O424" s="98"/>
      <c r="P424" s="96"/>
    </row>
    <row r="425" spans="1:16" ht="16.5" customHeight="1" thickTop="1" thickBot="1" x14ac:dyDescent="0.3">
      <c r="A425" s="95"/>
      <c r="B425" s="116" t="s">
        <v>237</v>
      </c>
      <c r="C425" s="122" t="e">
        <f>IF(VLOOKUP(B425,'Gebouwgegevens Allacker'!$J$5:$Q$83,2,0)=$B$394,VLOOKUP(B425,'Gebouwgegevens Allacker'!$J$5:$Q$83,2,0),VLOOKUP(B425,'Gebouwgegevens Allacker'!$J$5:$Q$83,3,0))</f>
        <v>#N/A</v>
      </c>
      <c r="D425" s="122" t="e">
        <f>IF(VLOOKUP(B425,'Gebouwgegevens Allacker'!$J$5:$Q$83,2,0)=$B$394,VLOOKUP(B425,'Gebouwgegevens Allacker'!$J$5:$Q$83,3,0),VLOOKUP(B425,'Gebouwgegevens Allacker'!$J$5:$Q$83,2,0))</f>
        <v>#N/A</v>
      </c>
      <c r="E425" s="122" t="e">
        <f>VLOOKUP(B425,'Gebouwgegevens Allacker'!$J$5:$Q$83,4,0)</f>
        <v>#N/A</v>
      </c>
      <c r="F425" s="122" t="e">
        <f>VLOOKUP(B425,'Gebouwgegevens Allacker'!$J$5:$Q$83,5,0)</f>
        <v>#N/A</v>
      </c>
      <c r="G425" s="122" t="e">
        <f>VLOOKUP('Verwarming Tabula 2zone Ref 1'!C425,'Gebouwgegevens Allacker'!$A$35:$F$46,5,0)</f>
        <v>#N/A</v>
      </c>
      <c r="H425" s="122" t="e">
        <f>VLOOKUP('Verwarming Tabula 2zone Ref 1'!D425,'Gebouwgegevens Allacker'!$A$35:$F$46,5,0)</f>
        <v>#N/A</v>
      </c>
      <c r="I425" s="122" t="e">
        <f>VLOOKUP(B425,'Gebouwgegevens Allacker'!$J$5:$Q$83,7,0)</f>
        <v>#N/A</v>
      </c>
      <c r="J425" s="118" t="e">
        <f>VLOOKUP(B425,'Gebouwgegevens Allacker'!$J$5:$Q$83,8,0)</f>
        <v>#N/A</v>
      </c>
      <c r="K425" s="118" t="e">
        <f>(G425-H425)/(G425-$B$4)</f>
        <v>#N/A</v>
      </c>
      <c r="L425" s="98"/>
      <c r="M425" s="98"/>
      <c r="N425" s="98"/>
      <c r="O425" s="98"/>
      <c r="P425" s="96"/>
    </row>
    <row r="426" spans="1:16" ht="16.5" customHeight="1" thickTop="1" thickBot="1" x14ac:dyDescent="0.3">
      <c r="A426" s="95"/>
      <c r="B426" s="116" t="s">
        <v>238</v>
      </c>
      <c r="C426" s="122" t="e">
        <f>IF(VLOOKUP(B426,'Gebouwgegevens Allacker'!$J$5:$Q$83,2,0)=$B$394,VLOOKUP(B426,'Gebouwgegevens Allacker'!$J$5:$Q$83,2,0),VLOOKUP(B426,'Gebouwgegevens Allacker'!$J$5:$Q$83,3,0))</f>
        <v>#N/A</v>
      </c>
      <c r="D426" s="122" t="e">
        <f>IF(VLOOKUP(B426,'Gebouwgegevens Allacker'!$J$5:$Q$83,2,0)=$B$394,VLOOKUP(B426,'Gebouwgegevens Allacker'!$J$5:$Q$83,3,0),VLOOKUP(B426,'Gebouwgegevens Allacker'!$J$5:$Q$83,2,0))</f>
        <v>#N/A</v>
      </c>
      <c r="E426" s="122" t="e">
        <f>VLOOKUP(B426,'Gebouwgegevens Allacker'!$J$5:$Q$83,4,0)</f>
        <v>#N/A</v>
      </c>
      <c r="F426" s="122" t="e">
        <f>VLOOKUP(B426,'Gebouwgegevens Allacker'!$J$5:$Q$83,5,0)</f>
        <v>#N/A</v>
      </c>
      <c r="G426" s="122" t="e">
        <f>VLOOKUP('Verwarming Tabula 2zone Ref 1'!C426,'Gebouwgegevens Allacker'!$A$35:$F$46,5,0)</f>
        <v>#N/A</v>
      </c>
      <c r="H426" s="122" t="e">
        <f>VLOOKUP('Verwarming Tabula 2zone Ref 1'!D426,'Gebouwgegevens Allacker'!$A$35:$F$46,5,0)</f>
        <v>#N/A</v>
      </c>
      <c r="I426" s="122" t="e">
        <f>VLOOKUP(B426,'Gebouwgegevens Allacker'!$J$5:$Q$83,7,0)</f>
        <v>#N/A</v>
      </c>
      <c r="J426" s="118" t="e">
        <f>VLOOKUP(B426,'Gebouwgegevens Allacker'!$J$5:$Q$83,8,0)</f>
        <v>#N/A</v>
      </c>
      <c r="K426" s="118" t="e">
        <f>(G426-H426)/(G426-$B$4)</f>
        <v>#N/A</v>
      </c>
      <c r="L426" s="98"/>
      <c r="M426" s="98"/>
      <c r="N426" s="98"/>
      <c r="O426" s="98"/>
      <c r="P426" s="96"/>
    </row>
    <row r="427" spans="1:16" ht="16.5" customHeight="1" thickTop="1" thickBot="1" x14ac:dyDescent="0.3">
      <c r="A427" s="95"/>
      <c r="B427" s="116" t="s">
        <v>239</v>
      </c>
      <c r="C427" s="122" t="e">
        <f>IF(VLOOKUP(B427,'Gebouwgegevens Allacker'!$J$5:$Q$83,2,0)=$B$394,VLOOKUP(B427,'Gebouwgegevens Allacker'!$J$5:$Q$83,2,0),VLOOKUP(B427,'Gebouwgegevens Allacker'!$J$5:$Q$83,3,0))</f>
        <v>#N/A</v>
      </c>
      <c r="D427" s="122" t="e">
        <f>IF(VLOOKUP(B427,'Gebouwgegevens Allacker'!$J$5:$Q$83,2,0)=$B$394,VLOOKUP(B427,'Gebouwgegevens Allacker'!$J$5:$Q$83,3,0),VLOOKUP(B427,'Gebouwgegevens Allacker'!$J$5:$Q$83,2,0))</f>
        <v>#N/A</v>
      </c>
      <c r="E427" s="122" t="e">
        <f>VLOOKUP(B427,'Gebouwgegevens Allacker'!$J$5:$Q$83,4,0)</f>
        <v>#N/A</v>
      </c>
      <c r="F427" s="122" t="e">
        <f>VLOOKUP(B427,'Gebouwgegevens Allacker'!$J$5:$Q$83,5,0)</f>
        <v>#N/A</v>
      </c>
      <c r="G427" s="122" t="e">
        <f>VLOOKUP('Verwarming Tabula 2zone Ref 1'!C427,'Gebouwgegevens Allacker'!$A$35:$F$46,5,0)</f>
        <v>#N/A</v>
      </c>
      <c r="H427" s="122" t="e">
        <f>VLOOKUP('Verwarming Tabula 2zone Ref 1'!D427,'Gebouwgegevens Allacker'!$A$35:$F$46,5,0)</f>
        <v>#N/A</v>
      </c>
      <c r="I427" s="122" t="e">
        <f>VLOOKUP(B427,'Gebouwgegevens Allacker'!$J$5:$Q$83,7,0)</f>
        <v>#N/A</v>
      </c>
      <c r="J427" s="118" t="e">
        <f>VLOOKUP(B427,'Gebouwgegevens Allacker'!$J$5:$Q$83,8,0)</f>
        <v>#N/A</v>
      </c>
      <c r="K427" s="118" t="e">
        <f>(G427-H427)/(G427-$B$4)</f>
        <v>#N/A</v>
      </c>
      <c r="L427" s="98"/>
      <c r="M427" s="98"/>
      <c r="N427" s="98"/>
      <c r="O427" s="98"/>
      <c r="P427" s="96"/>
    </row>
    <row r="428" spans="1:16" ht="16.5" customHeight="1" thickTop="1" thickBot="1" x14ac:dyDescent="0.3">
      <c r="A428" s="95"/>
      <c r="B428" s="145" t="s">
        <v>240</v>
      </c>
      <c r="C428" s="122" t="e">
        <f>IF(VLOOKUP(B428,'Gebouwgegevens Allacker'!$J$5:$Q$83,2,0)=$B$394,VLOOKUP(B428,'Gebouwgegevens Allacker'!$J$5:$Q$83,2,0),VLOOKUP(B428,'Gebouwgegevens Allacker'!$J$5:$Q$83,3,0))</f>
        <v>#N/A</v>
      </c>
      <c r="D428" s="122" t="e">
        <f>IF(VLOOKUP(B428,'Gebouwgegevens Allacker'!$J$5:$Q$83,2,0)=$B$394,VLOOKUP(B428,'Gebouwgegevens Allacker'!$J$5:$Q$83,3,0),VLOOKUP(B428,'Gebouwgegevens Allacker'!$J$5:$Q$83,2,0))</f>
        <v>#N/A</v>
      </c>
      <c r="E428" s="122" t="e">
        <f>VLOOKUP(B428,'Gebouwgegevens Allacker'!$J$5:$Q$83,4,0)</f>
        <v>#N/A</v>
      </c>
      <c r="F428" s="122" t="e">
        <f>VLOOKUP(B428,'Gebouwgegevens Allacker'!$J$5:$Q$83,5,0)</f>
        <v>#N/A</v>
      </c>
      <c r="G428" s="122" t="e">
        <f>VLOOKUP('Verwarming Tabula 2zone Ref 1'!C428,'Gebouwgegevens Allacker'!$A$35:$F$46,5,0)</f>
        <v>#N/A</v>
      </c>
      <c r="H428" s="122" t="e">
        <f>VLOOKUP('Verwarming Tabula 2zone Ref 1'!D428,'Gebouwgegevens Allacker'!$A$35:$F$46,5,0)</f>
        <v>#N/A</v>
      </c>
      <c r="I428" s="122" t="e">
        <f>VLOOKUP(B428,'Gebouwgegevens Allacker'!$J$5:$Q$83,7,0)</f>
        <v>#N/A</v>
      </c>
      <c r="J428" s="118" t="e">
        <f>VLOOKUP(B428,'Gebouwgegevens Allacker'!$J$5:$Q$83,8,0)</f>
        <v>#N/A</v>
      </c>
      <c r="K428" s="118" t="e">
        <f>(G428-H428)/(G428-$B$4)</f>
        <v>#N/A</v>
      </c>
      <c r="L428" s="98"/>
      <c r="M428" s="98"/>
      <c r="N428" s="98"/>
      <c r="O428" s="98"/>
      <c r="P428" s="96"/>
    </row>
    <row r="429" spans="1:16" ht="16.5" customHeight="1" thickTop="1" thickBot="1" x14ac:dyDescent="0.3">
      <c r="A429" s="95"/>
      <c r="B429" s="123"/>
      <c r="C429" s="139"/>
      <c r="D429" s="122"/>
      <c r="E429" s="122"/>
      <c r="F429" s="122"/>
      <c r="G429" s="122"/>
      <c r="H429" s="122"/>
      <c r="I429" s="122"/>
      <c r="J429" s="118"/>
      <c r="K429" s="118"/>
      <c r="L429" s="98"/>
      <c r="M429" s="98"/>
      <c r="N429" s="98"/>
      <c r="O429" s="98"/>
      <c r="P429" s="96"/>
    </row>
    <row r="430" spans="1:16" ht="16.5" customHeight="1" thickTop="1" thickBot="1" x14ac:dyDescent="0.3">
      <c r="A430" s="95"/>
      <c r="B430" s="123"/>
      <c r="C430" s="139"/>
      <c r="D430" s="122"/>
      <c r="E430" s="122"/>
      <c r="F430" s="122"/>
      <c r="G430" s="122"/>
      <c r="H430" s="122"/>
      <c r="I430" s="122"/>
      <c r="J430" s="118"/>
      <c r="K430" s="118"/>
      <c r="L430" s="98"/>
      <c r="M430" s="98"/>
      <c r="N430" s="98"/>
      <c r="O430" s="98"/>
      <c r="P430" s="96"/>
    </row>
    <row r="431" spans="1:16" ht="16.5" customHeight="1" thickTop="1" thickBot="1" x14ac:dyDescent="0.3">
      <c r="A431" s="95"/>
      <c r="B431" s="123"/>
      <c r="C431" s="139"/>
      <c r="D431" s="122"/>
      <c r="E431" s="122"/>
      <c r="F431" s="122"/>
      <c r="G431" s="122"/>
      <c r="H431" s="122"/>
      <c r="I431" s="122"/>
      <c r="J431" s="118"/>
      <c r="K431" s="118"/>
      <c r="L431" s="98"/>
      <c r="M431" s="98"/>
      <c r="N431" s="98"/>
      <c r="O431" s="98"/>
      <c r="P431" s="96"/>
    </row>
    <row r="432" spans="1:16" ht="16.5" customHeight="1" thickTop="1" thickBot="1" x14ac:dyDescent="0.3">
      <c r="A432" s="95"/>
      <c r="B432" s="123"/>
      <c r="C432" s="139"/>
      <c r="D432" s="122"/>
      <c r="E432" s="122"/>
      <c r="F432" s="122"/>
      <c r="G432" s="122"/>
      <c r="H432" s="122"/>
      <c r="I432" s="122"/>
      <c r="J432" s="118"/>
      <c r="K432" s="118"/>
      <c r="L432" s="98"/>
      <c r="M432" s="98"/>
      <c r="N432" s="98"/>
      <c r="O432" s="98"/>
      <c r="P432" s="96"/>
    </row>
    <row r="433" spans="1:16" ht="16.5" customHeight="1" thickTop="1" thickBot="1" x14ac:dyDescent="0.3">
      <c r="A433" s="95"/>
      <c r="B433" s="123"/>
      <c r="C433" s="139"/>
      <c r="D433" s="122"/>
      <c r="E433" s="122"/>
      <c r="F433" s="122"/>
      <c r="G433" s="122"/>
      <c r="H433" s="122"/>
      <c r="I433" s="122"/>
      <c r="J433" s="118"/>
      <c r="K433" s="118"/>
      <c r="L433" s="98"/>
      <c r="M433" s="98"/>
      <c r="N433" s="98"/>
      <c r="O433" s="98"/>
      <c r="P433" s="96"/>
    </row>
    <row r="434" spans="1:16" ht="15.75" customHeight="1" thickTop="1" x14ac:dyDescent="0.25">
      <c r="A434" s="95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8"/>
      <c r="M434" s="98"/>
      <c r="N434" s="98"/>
      <c r="O434" s="98"/>
      <c r="P434" s="96"/>
    </row>
    <row r="435" spans="1:16" ht="15" customHeight="1" x14ac:dyDescent="0.25">
      <c r="A435" s="95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6"/>
    </row>
    <row r="436" spans="1:16" ht="15.75" customHeight="1" x14ac:dyDescent="0.25">
      <c r="A436" s="103" t="s">
        <v>192</v>
      </c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6"/>
    </row>
    <row r="437" spans="1:16" ht="16.5" customHeight="1" x14ac:dyDescent="0.25">
      <c r="A437" s="124" t="s">
        <v>193</v>
      </c>
      <c r="B437" s="118" t="e">
        <f>SUMPRODUCT(H400:H411,I400:I411)+SUMPRODUCT(G416:G420,H416:H420)+SUMPRODUCT(J424:J433,K424:K433)</f>
        <v>#N/A</v>
      </c>
      <c r="C437" s="118" t="s">
        <v>107</v>
      </c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6"/>
    </row>
    <row r="438" spans="1:16" ht="16.5" customHeight="1" x14ac:dyDescent="0.25">
      <c r="A438" s="124" t="s">
        <v>167</v>
      </c>
      <c r="B438" s="118" t="e">
        <f>B437*(G424-$B$4)</f>
        <v>#N/A</v>
      </c>
      <c r="C438" s="118" t="s">
        <v>169</v>
      </c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6"/>
    </row>
    <row r="439" spans="1:16" ht="15.75" customHeight="1" thickBot="1" x14ac:dyDescent="0.3">
      <c r="A439" s="109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1"/>
    </row>
    <row r="440" spans="1:16" ht="15.75" customHeight="1" thickTop="1" x14ac:dyDescent="0.25">
      <c r="A440" s="343" t="s">
        <v>194</v>
      </c>
      <c r="B440" s="343"/>
      <c r="C440" s="343"/>
      <c r="D440" s="125" t="s">
        <v>222</v>
      </c>
      <c r="E440" s="299"/>
      <c r="F440" s="299"/>
      <c r="G440" s="299"/>
      <c r="H440" s="299"/>
      <c r="I440" s="299"/>
      <c r="J440" s="299"/>
      <c r="K440" s="299"/>
      <c r="L440" s="299"/>
      <c r="M440" s="299"/>
      <c r="N440" s="299"/>
      <c r="O440" s="299"/>
      <c r="P440" s="94"/>
    </row>
    <row r="441" spans="1:16" ht="15" customHeight="1" x14ac:dyDescent="0.25">
      <c r="A441" s="95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6"/>
    </row>
    <row r="442" spans="1:16" ht="15" customHeight="1" thickBot="1" x14ac:dyDescent="0.3">
      <c r="A442" s="126" t="s">
        <v>195</v>
      </c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6"/>
    </row>
    <row r="443" spans="1:16" ht="15" customHeight="1" thickTop="1" thickBot="1" x14ac:dyDescent="0.3">
      <c r="A443" s="127" t="s">
        <v>196</v>
      </c>
      <c r="B443" s="121">
        <v>8</v>
      </c>
      <c r="C443" s="120" t="s">
        <v>197</v>
      </c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6"/>
    </row>
    <row r="444" spans="1:16" ht="15" customHeight="1" thickTop="1" thickBot="1" x14ac:dyDescent="0.3">
      <c r="A444" s="127" t="s">
        <v>198</v>
      </c>
      <c r="B444" s="121">
        <v>0.03</v>
      </c>
      <c r="C444" s="120" t="s">
        <v>199</v>
      </c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6"/>
    </row>
    <row r="445" spans="1:16" ht="15.75" customHeight="1" thickTop="1" thickBot="1" x14ac:dyDescent="0.3">
      <c r="A445" s="127" t="s">
        <v>200</v>
      </c>
      <c r="B445" s="121">
        <v>1</v>
      </c>
      <c r="C445" s="120" t="s">
        <v>201</v>
      </c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6"/>
    </row>
    <row r="446" spans="1:16" ht="16.5" customHeight="1" thickTop="1" x14ac:dyDescent="0.25">
      <c r="A446" s="124" t="s">
        <v>202</v>
      </c>
      <c r="B446" s="118" t="e">
        <f>2*VLOOKUP(B394,'Gebouwgegevens Allacker'!$A$35:$F$46,6,0)*B443*B444*B445</f>
        <v>#N/A</v>
      </c>
      <c r="C446" s="118" t="s">
        <v>203</v>
      </c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6"/>
    </row>
    <row r="447" spans="1:16" ht="15.75" customHeight="1" x14ac:dyDescent="0.25">
      <c r="A447" s="95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6"/>
    </row>
    <row r="448" spans="1:16" ht="15" customHeight="1" x14ac:dyDescent="0.25">
      <c r="A448" s="126" t="s">
        <v>204</v>
      </c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6"/>
    </row>
    <row r="449" spans="1:16" ht="15.75" customHeight="1" x14ac:dyDescent="0.25">
      <c r="A449" s="95" t="s">
        <v>180</v>
      </c>
      <c r="B449" s="98" t="e">
        <f>VLOOKUP(B394,'Gebouwgegevens Allacker'!$A$35:$F$46,6,0)</f>
        <v>#N/A</v>
      </c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6"/>
    </row>
    <row r="450" spans="1:16" ht="16.5" customHeight="1" x14ac:dyDescent="0.25">
      <c r="A450" s="124" t="s">
        <v>205</v>
      </c>
      <c r="B450" s="128" t="e">
        <f>B449*3.6</f>
        <v>#N/A</v>
      </c>
      <c r="C450" s="118" t="s">
        <v>203</v>
      </c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6"/>
    </row>
    <row r="451" spans="1:16" ht="15.75" customHeight="1" x14ac:dyDescent="0.25">
      <c r="A451" s="138"/>
      <c r="B451" s="58"/>
      <c r="C451" s="5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6"/>
    </row>
    <row r="452" spans="1:16" ht="15.75" customHeight="1" x14ac:dyDescent="0.25">
      <c r="A452" s="138"/>
      <c r="B452" s="58"/>
      <c r="C452" s="5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6"/>
    </row>
    <row r="453" spans="1:16" ht="16.5" customHeight="1" x14ac:dyDescent="0.25">
      <c r="A453" s="124" t="s">
        <v>207</v>
      </c>
      <c r="B453" s="118" t="e">
        <f>MAX(B446,B450)</f>
        <v>#N/A</v>
      </c>
      <c r="C453" s="118" t="s">
        <v>203</v>
      </c>
      <c r="D453" s="98"/>
      <c r="E453" s="98"/>
      <c r="F453" s="118" t="s">
        <v>208</v>
      </c>
      <c r="G453" s="118" t="e">
        <f>B453/VLOOKUP(B394,'Gebouwgegevens Allacker'!$A$35:$B$46,2,0)</f>
        <v>#N/A</v>
      </c>
      <c r="H453" s="98"/>
      <c r="I453" s="98"/>
      <c r="J453" s="98"/>
      <c r="K453" s="98"/>
      <c r="L453" s="98"/>
      <c r="M453" s="98"/>
      <c r="N453" s="98"/>
      <c r="O453" s="98"/>
      <c r="P453" s="96"/>
    </row>
    <row r="454" spans="1:16" ht="16.5" customHeight="1" x14ac:dyDescent="0.25">
      <c r="A454" s="138"/>
      <c r="B454" s="58"/>
      <c r="C454" s="5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6"/>
    </row>
    <row r="455" spans="1:16" ht="16.5" customHeight="1" x14ac:dyDescent="0.25">
      <c r="A455" s="124" t="s">
        <v>209</v>
      </c>
      <c r="B455" s="118" t="e">
        <f>0.34*B453</f>
        <v>#N/A</v>
      </c>
      <c r="C455" s="118" t="s">
        <v>107</v>
      </c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6"/>
    </row>
    <row r="456" spans="1:16" ht="16.5" customHeight="1" x14ac:dyDescent="0.25">
      <c r="A456" s="124" t="s">
        <v>167</v>
      </c>
      <c r="B456" s="118" t="e">
        <f>B455*('Gebouwgegevens Allacker'!E416-$B$4)</f>
        <v>#N/A</v>
      </c>
      <c r="C456" s="118" t="s">
        <v>169</v>
      </c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6"/>
    </row>
    <row r="457" spans="1:16" ht="15.75" customHeight="1" thickBot="1" x14ac:dyDescent="0.3">
      <c r="A457" s="140"/>
      <c r="B457" s="141"/>
      <c r="C457" s="141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1"/>
    </row>
    <row r="458" spans="1:16" ht="15.75" customHeight="1" thickTop="1" x14ac:dyDescent="0.25">
      <c r="A458" s="343" t="s">
        <v>210</v>
      </c>
      <c r="B458" s="343"/>
      <c r="C458" s="343"/>
      <c r="D458" s="343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6"/>
    </row>
    <row r="459" spans="1:16" ht="15" customHeight="1" thickBot="1" x14ac:dyDescent="0.3">
      <c r="A459" s="95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6"/>
    </row>
    <row r="460" spans="1:16" ht="15" customHeight="1" thickTop="1" thickBot="1" x14ac:dyDescent="0.3">
      <c r="A460" s="127" t="s">
        <v>211</v>
      </c>
      <c r="B460" s="121">
        <v>22</v>
      </c>
      <c r="C460" s="58" t="s">
        <v>232</v>
      </c>
      <c r="D460" s="5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6"/>
    </row>
    <row r="461" spans="1:16" ht="15.75" customHeight="1" thickTop="1" x14ac:dyDescent="0.25">
      <c r="A461" s="3" t="s">
        <v>113</v>
      </c>
      <c r="B461" s="58" t="e">
        <f>VLOOKUP(B394,'Gebouwgegevens Allacker'!$A$35:$F$46,6,0)</f>
        <v>#N/A</v>
      </c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6"/>
    </row>
    <row r="462" spans="1:16" ht="16.5" customHeight="1" x14ac:dyDescent="0.25">
      <c r="A462" s="124" t="s">
        <v>213</v>
      </c>
      <c r="B462" s="118" t="e">
        <f>B463/('Gebouwgegevens Allacker'!E416-'Verwarming Tabula 2zone Ref 1'!$B$4)</f>
        <v>#N/A</v>
      </c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6"/>
    </row>
    <row r="463" spans="1:16" ht="16.5" customHeight="1" x14ac:dyDescent="0.25">
      <c r="A463" s="124" t="s">
        <v>167</v>
      </c>
      <c r="B463" s="118" t="e">
        <f>B460*B461</f>
        <v>#N/A</v>
      </c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6"/>
    </row>
    <row r="464" spans="1:16" ht="15.75" customHeight="1" x14ac:dyDescent="0.25">
      <c r="A464" s="95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6"/>
    </row>
    <row r="465" spans="1:16" ht="15.75" customHeight="1" thickBot="1" x14ac:dyDescent="0.3">
      <c r="A465" s="95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6"/>
    </row>
    <row r="466" spans="1:16" ht="15.75" customHeight="1" thickTop="1" thickBot="1" x14ac:dyDescent="0.3">
      <c r="A466" s="129" t="s">
        <v>214</v>
      </c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1"/>
    </row>
    <row r="467" spans="1:16" ht="16.5" customHeight="1" thickTop="1" x14ac:dyDescent="0.25">
      <c r="A467" s="124" t="s">
        <v>215</v>
      </c>
      <c r="B467" s="118" t="e">
        <f>SUM(B437,B455,B462)</f>
        <v>#N/A</v>
      </c>
      <c r="C467" s="118" t="s">
        <v>107</v>
      </c>
      <c r="D467" s="132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  <c r="O467" s="132"/>
      <c r="P467" s="133"/>
    </row>
    <row r="468" spans="1:16" ht="16.5" customHeight="1" x14ac:dyDescent="0.25">
      <c r="A468" s="124" t="s">
        <v>167</v>
      </c>
      <c r="B468" s="118" t="e">
        <f>SUM(B438,B456,B463)</f>
        <v>#N/A</v>
      </c>
      <c r="C468" s="118" t="s">
        <v>169</v>
      </c>
      <c r="D468" s="132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  <c r="O468" s="132"/>
      <c r="P468" s="133"/>
    </row>
    <row r="469" spans="1:16" ht="16.5" customHeight="1" thickBot="1" x14ac:dyDescent="0.3">
      <c r="A469" s="134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6"/>
    </row>
    <row r="470" spans="1:16" ht="15.75" customHeight="1" thickTop="1" thickBot="1" x14ac:dyDescent="0.3">
      <c r="A470" s="137"/>
      <c r="B470" s="137"/>
      <c r="C470" s="137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</row>
    <row r="471" spans="1:16" ht="15" customHeight="1" thickTop="1" thickBot="1" x14ac:dyDescent="0.3">
      <c r="A471" s="93"/>
      <c r="B471" s="299"/>
      <c r="C471" s="299"/>
      <c r="D471" s="299"/>
      <c r="E471" s="299"/>
      <c r="F471" s="299"/>
      <c r="G471" s="299"/>
      <c r="H471" s="299"/>
      <c r="I471" s="299"/>
      <c r="J471" s="299"/>
      <c r="K471" s="299"/>
      <c r="L471" s="299"/>
      <c r="M471" s="299"/>
      <c r="N471" s="299"/>
      <c r="O471" s="299"/>
      <c r="P471" s="94"/>
    </row>
    <row r="472" spans="1:16" ht="17.25" customHeight="1" thickTop="1" thickBot="1" x14ac:dyDescent="0.35">
      <c r="A472" s="97" t="s">
        <v>166</v>
      </c>
      <c r="B472" s="92">
        <v>7</v>
      </c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6"/>
    </row>
    <row r="473" spans="1:16" ht="15.75" customHeight="1" thickTop="1" x14ac:dyDescent="0.25">
      <c r="A473" s="343" t="s">
        <v>168</v>
      </c>
      <c r="B473" s="343"/>
      <c r="C473" s="343"/>
      <c r="D473" s="343"/>
      <c r="E473" s="299"/>
      <c r="F473" s="299"/>
      <c r="G473" s="299"/>
      <c r="H473" s="299"/>
      <c r="I473" s="299"/>
      <c r="J473" s="299"/>
      <c r="K473" s="299"/>
      <c r="L473" s="299"/>
      <c r="M473" s="299"/>
      <c r="N473" s="299"/>
      <c r="O473" s="299"/>
      <c r="P473" s="94"/>
    </row>
    <row r="474" spans="1:16" ht="15" customHeight="1" x14ac:dyDescent="0.25">
      <c r="A474" s="95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6"/>
    </row>
    <row r="475" spans="1:16" ht="15" customHeight="1" x14ac:dyDescent="0.25">
      <c r="A475" s="103" t="s">
        <v>170</v>
      </c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6"/>
    </row>
    <row r="476" spans="1:16" ht="15" customHeight="1" x14ac:dyDescent="0.25">
      <c r="A476" s="95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6"/>
    </row>
    <row r="477" spans="1:16" ht="15.75" customHeight="1" thickBot="1" x14ac:dyDescent="0.3">
      <c r="A477" s="95"/>
      <c r="B477" s="104" t="s">
        <v>10</v>
      </c>
      <c r="C477" s="104" t="s">
        <v>171</v>
      </c>
      <c r="D477" s="104" t="s">
        <v>172</v>
      </c>
      <c r="E477" s="104" t="s">
        <v>173</v>
      </c>
      <c r="F477" s="104" t="s">
        <v>174</v>
      </c>
      <c r="G477" s="104" t="s">
        <v>16</v>
      </c>
      <c r="H477" s="105" t="s">
        <v>17</v>
      </c>
      <c r="I477" s="105" t="s">
        <v>175</v>
      </c>
      <c r="J477" s="98"/>
      <c r="K477" s="98"/>
      <c r="L477" s="98"/>
      <c r="M477" s="98"/>
      <c r="N477" s="98"/>
      <c r="O477" s="98"/>
      <c r="P477" s="96"/>
    </row>
    <row r="478" spans="1:16" ht="16.5" customHeight="1" thickTop="1" thickBot="1" x14ac:dyDescent="0.3">
      <c r="A478" s="95"/>
      <c r="B478" s="106" t="s">
        <v>102</v>
      </c>
      <c r="C478" s="107">
        <f>VLOOKUP(B478,'Gebouwgegevens Allacker'!$J$5:$Q$83,3,0)</f>
        <v>2</v>
      </c>
      <c r="D478" s="107" t="str">
        <f>VLOOKUP(B478,'Gebouwgegevens Allacker'!$J$5:$Q$83,4,0)</f>
        <v>Wall internal</v>
      </c>
      <c r="E478" s="107">
        <f>VLOOKUP(B478,'Gebouwgegevens Allacker'!$J$5:$Q$83,5,0)</f>
        <v>14.24</v>
      </c>
      <c r="F478" s="107">
        <f>VLOOKUP(B478,'Gebouwgegevens Allacker'!$J$5:$Q$83,6,0)</f>
        <v>0</v>
      </c>
      <c r="G478" s="107">
        <f>VLOOKUP(B478,'Gebouwgegevens Allacker'!$J$5:$Q$83,7,0)</f>
        <v>1.9926199261992623</v>
      </c>
      <c r="H478" s="108">
        <f>VLOOKUP(B478,'Gebouwgegevens Allacker'!$J$5:$Q$83,8,0)</f>
        <v>28.374907749077497</v>
      </c>
      <c r="I478" s="108">
        <v>1</v>
      </c>
      <c r="J478" s="98"/>
      <c r="K478" s="98"/>
      <c r="L478" s="98"/>
      <c r="M478" s="98"/>
      <c r="N478" s="98"/>
      <c r="O478" s="98"/>
      <c r="P478" s="96"/>
    </row>
    <row r="479" spans="1:16" ht="16.5" customHeight="1" thickTop="1" thickBot="1" x14ac:dyDescent="0.3">
      <c r="A479" s="95"/>
      <c r="B479" s="106" t="s">
        <v>102</v>
      </c>
      <c r="C479" s="107">
        <f>VLOOKUP(B479,'Gebouwgegevens Allacker'!$J$5:$Q$83,3,0)</f>
        <v>2</v>
      </c>
      <c r="D479" s="107" t="str">
        <f>VLOOKUP(B479,'Gebouwgegevens Allacker'!$J$5:$Q$83,4,0)</f>
        <v>Wall internal</v>
      </c>
      <c r="E479" s="107">
        <f>VLOOKUP(B479,'Gebouwgegevens Allacker'!$J$5:$Q$83,5,0)</f>
        <v>14.24</v>
      </c>
      <c r="F479" s="107">
        <f>VLOOKUP(B479,'Gebouwgegevens Allacker'!$J$5:$Q$83,6,0)</f>
        <v>0</v>
      </c>
      <c r="G479" s="107">
        <f>VLOOKUP(B479,'Gebouwgegevens Allacker'!$J$5:$Q$83,7,0)</f>
        <v>1.9926199261992623</v>
      </c>
      <c r="H479" s="108">
        <f>VLOOKUP(B479,'Gebouwgegevens Allacker'!$J$5:$Q$83,8,0)</f>
        <v>28.374907749077497</v>
      </c>
      <c r="I479" s="108">
        <v>1</v>
      </c>
      <c r="J479" s="98"/>
      <c r="K479" s="98"/>
      <c r="L479" s="98"/>
      <c r="M479" s="98"/>
      <c r="N479" s="98"/>
      <c r="O479" s="98"/>
      <c r="P479" s="96"/>
    </row>
    <row r="480" spans="1:16" ht="16.5" customHeight="1" thickTop="1" thickBot="1" x14ac:dyDescent="0.3">
      <c r="A480" s="95"/>
      <c r="B480" s="106" t="s">
        <v>241</v>
      </c>
      <c r="C480" s="107" t="e">
        <f>VLOOKUP(B480,'Gebouwgegevens Allacker'!$J$5:$Q$83,3,0)</f>
        <v>#N/A</v>
      </c>
      <c r="D480" s="107" t="e">
        <f>VLOOKUP(B480,'Gebouwgegevens Allacker'!$J$5:$Q$83,4,0)</f>
        <v>#N/A</v>
      </c>
      <c r="E480" s="107" t="e">
        <f>VLOOKUP(B480,'Gebouwgegevens Allacker'!$J$5:$Q$83,5,0)</f>
        <v>#N/A</v>
      </c>
      <c r="F480" s="107" t="e">
        <f>VLOOKUP(B480,'Gebouwgegevens Allacker'!$J$5:$Q$83,6,0)</f>
        <v>#N/A</v>
      </c>
      <c r="G480" s="107" t="e">
        <f>VLOOKUP(B480,'Gebouwgegevens Allacker'!$J$5:$Q$83,7,0)</f>
        <v>#N/A</v>
      </c>
      <c r="H480" s="108" t="e">
        <f>VLOOKUP(B480,'Gebouwgegevens Allacker'!$J$5:$Q$83,8,0)</f>
        <v>#N/A</v>
      </c>
      <c r="I480" s="108">
        <v>1</v>
      </c>
      <c r="J480" s="98"/>
      <c r="K480" s="98"/>
      <c r="L480" s="98"/>
      <c r="M480" s="98"/>
      <c r="N480" s="98"/>
      <c r="O480" s="98"/>
      <c r="P480" s="96"/>
    </row>
    <row r="481" spans="1:16" ht="16.5" customHeight="1" thickTop="1" thickBot="1" x14ac:dyDescent="0.3">
      <c r="A481" s="95"/>
      <c r="B481" s="106" t="s">
        <v>242</v>
      </c>
      <c r="C481" s="107" t="e">
        <f>VLOOKUP(B481,'Gebouwgegevens Allacker'!$J$5:$Q$83,3,0)</f>
        <v>#N/A</v>
      </c>
      <c r="D481" s="107" t="e">
        <f>VLOOKUP(B481,'Gebouwgegevens Allacker'!$J$5:$Q$83,4,0)</f>
        <v>#N/A</v>
      </c>
      <c r="E481" s="107" t="e">
        <f>VLOOKUP(B481,'Gebouwgegevens Allacker'!$J$5:$Q$83,5,0)</f>
        <v>#N/A</v>
      </c>
      <c r="F481" s="107" t="e">
        <f>VLOOKUP(B481,'Gebouwgegevens Allacker'!$J$5:$Q$83,6,0)</f>
        <v>#N/A</v>
      </c>
      <c r="G481" s="107" t="e">
        <f>VLOOKUP(B481,'Gebouwgegevens Allacker'!$J$5:$Q$83,7,0)</f>
        <v>#N/A</v>
      </c>
      <c r="H481" s="108" t="e">
        <f>VLOOKUP(B481,'Gebouwgegevens Allacker'!$J$5:$Q$83,8,0)</f>
        <v>#N/A</v>
      </c>
      <c r="I481" s="108">
        <v>1</v>
      </c>
      <c r="J481" s="98"/>
      <c r="K481" s="98"/>
      <c r="L481" s="98"/>
      <c r="M481" s="98"/>
      <c r="N481" s="98"/>
      <c r="O481" s="98"/>
      <c r="P481" s="96"/>
    </row>
    <row r="482" spans="1:16" ht="16.5" customHeight="1" thickTop="1" thickBot="1" x14ac:dyDescent="0.3">
      <c r="A482" s="95"/>
      <c r="B482" s="106" t="s">
        <v>243</v>
      </c>
      <c r="C482" s="107" t="e">
        <f>VLOOKUP(B482,'Gebouwgegevens Allacker'!$J$5:$Q$83,3,0)</f>
        <v>#N/A</v>
      </c>
      <c r="D482" s="107" t="e">
        <f>VLOOKUP(B482,'Gebouwgegevens Allacker'!$J$5:$Q$83,4,0)</f>
        <v>#N/A</v>
      </c>
      <c r="E482" s="107" t="e">
        <f>VLOOKUP(B482,'Gebouwgegevens Allacker'!$J$5:$Q$83,5,0)</f>
        <v>#N/A</v>
      </c>
      <c r="F482" s="107" t="e">
        <f>VLOOKUP(B482,'Gebouwgegevens Allacker'!$J$5:$Q$83,6,0)</f>
        <v>#N/A</v>
      </c>
      <c r="G482" s="107" t="e">
        <f>VLOOKUP(B482,'Gebouwgegevens Allacker'!$J$5:$Q$83,7,0)</f>
        <v>#N/A</v>
      </c>
      <c r="H482" s="108" t="e">
        <f>VLOOKUP(B482,'Gebouwgegevens Allacker'!$J$5:$Q$83,8,0)</f>
        <v>#N/A</v>
      </c>
      <c r="I482" s="108">
        <v>1</v>
      </c>
      <c r="J482" s="98"/>
      <c r="K482" s="98"/>
      <c r="L482" s="98"/>
      <c r="M482" s="98"/>
      <c r="N482" s="98"/>
      <c r="O482" s="98"/>
      <c r="P482" s="96"/>
    </row>
    <row r="483" spans="1:16" ht="16.5" customHeight="1" thickTop="1" thickBot="1" x14ac:dyDescent="0.3">
      <c r="A483" s="95"/>
      <c r="B483" s="106" t="s">
        <v>244</v>
      </c>
      <c r="C483" s="107" t="e">
        <f>VLOOKUP(B483,'Gebouwgegevens Allacker'!$J$5:$Q$83,3,0)</f>
        <v>#N/A</v>
      </c>
      <c r="D483" s="107" t="e">
        <f>VLOOKUP(B483,'Gebouwgegevens Allacker'!$J$5:$Q$83,4,0)</f>
        <v>#N/A</v>
      </c>
      <c r="E483" s="107" t="e">
        <f>VLOOKUP(B483,'Gebouwgegevens Allacker'!$J$5:$Q$83,5,0)</f>
        <v>#N/A</v>
      </c>
      <c r="F483" s="107" t="e">
        <f>VLOOKUP(B483,'Gebouwgegevens Allacker'!$J$5:$Q$83,6,0)</f>
        <v>#N/A</v>
      </c>
      <c r="G483" s="107" t="e">
        <f>VLOOKUP(B483,'Gebouwgegevens Allacker'!$J$5:$Q$83,7,0)</f>
        <v>#N/A</v>
      </c>
      <c r="H483" s="108" t="e">
        <f>VLOOKUP(B483,'Gebouwgegevens Allacker'!$J$5:$Q$83,8,0)</f>
        <v>#N/A</v>
      </c>
      <c r="I483" s="108">
        <v>1</v>
      </c>
      <c r="J483" s="98"/>
      <c r="K483" s="98"/>
      <c r="L483" s="98"/>
      <c r="M483" s="98"/>
      <c r="N483" s="98"/>
      <c r="O483" s="98"/>
      <c r="P483" s="96"/>
    </row>
    <row r="484" spans="1:16" ht="16.5" customHeight="1" thickTop="1" thickBot="1" x14ac:dyDescent="0.3">
      <c r="A484" s="95"/>
      <c r="B484" s="106"/>
      <c r="C484" s="107"/>
      <c r="D484" s="107"/>
      <c r="E484" s="107"/>
      <c r="F484" s="107"/>
      <c r="G484" s="107"/>
      <c r="H484" s="108"/>
      <c r="I484" s="108"/>
      <c r="J484" s="98"/>
      <c r="K484" s="98"/>
      <c r="L484" s="98"/>
      <c r="M484" s="98"/>
      <c r="N484" s="98"/>
      <c r="O484" s="98"/>
      <c r="P484" s="96"/>
    </row>
    <row r="485" spans="1:16" ht="16.5" customHeight="1" thickTop="1" thickBot="1" x14ac:dyDescent="0.3">
      <c r="A485" s="95"/>
      <c r="B485" s="106"/>
      <c r="C485" s="107"/>
      <c r="D485" s="107"/>
      <c r="E485" s="107"/>
      <c r="F485" s="107"/>
      <c r="G485" s="107"/>
      <c r="H485" s="108"/>
      <c r="I485" s="108"/>
      <c r="J485" s="98"/>
      <c r="K485" s="98"/>
      <c r="L485" s="98"/>
      <c r="M485" s="98"/>
      <c r="N485" s="98"/>
      <c r="O485" s="98"/>
      <c r="P485" s="96"/>
    </row>
    <row r="486" spans="1:16" ht="16.5" customHeight="1" thickTop="1" thickBot="1" x14ac:dyDescent="0.3">
      <c r="A486" s="95"/>
      <c r="B486" s="106"/>
      <c r="C486" s="107"/>
      <c r="D486" s="107"/>
      <c r="E486" s="107"/>
      <c r="F486" s="107"/>
      <c r="G486" s="107"/>
      <c r="H486" s="108"/>
      <c r="I486" s="108"/>
      <c r="J486" s="98"/>
      <c r="K486" s="98"/>
      <c r="L486" s="98"/>
      <c r="M486" s="98"/>
      <c r="N486" s="98"/>
      <c r="O486" s="98"/>
      <c r="P486" s="96"/>
    </row>
    <row r="487" spans="1:16" ht="16.5" customHeight="1" thickTop="1" thickBot="1" x14ac:dyDescent="0.3">
      <c r="A487" s="95"/>
      <c r="B487" s="106"/>
      <c r="C487" s="107"/>
      <c r="D487" s="107"/>
      <c r="E487" s="107"/>
      <c r="F487" s="107"/>
      <c r="G487" s="107"/>
      <c r="H487" s="108"/>
      <c r="I487" s="108"/>
      <c r="J487" s="98"/>
      <c r="K487" s="98"/>
      <c r="L487" s="98"/>
      <c r="M487" s="98"/>
      <c r="N487" s="98"/>
      <c r="O487" s="98"/>
      <c r="P487" s="96"/>
    </row>
    <row r="488" spans="1:16" ht="16.5" customHeight="1" thickTop="1" thickBot="1" x14ac:dyDescent="0.3">
      <c r="A488" s="95"/>
      <c r="B488" s="106"/>
      <c r="C488" s="107"/>
      <c r="D488" s="107"/>
      <c r="E488" s="107"/>
      <c r="F488" s="107"/>
      <c r="G488" s="107"/>
      <c r="H488" s="108"/>
      <c r="I488" s="108"/>
      <c r="J488" s="98"/>
      <c r="K488" s="98"/>
      <c r="L488" s="98"/>
      <c r="M488" s="98"/>
      <c r="N488" s="98"/>
      <c r="O488" s="98"/>
      <c r="P488" s="96"/>
    </row>
    <row r="489" spans="1:16" ht="16.5" customHeight="1" thickTop="1" thickBot="1" x14ac:dyDescent="0.3">
      <c r="A489" s="95"/>
      <c r="B489" s="106"/>
      <c r="C489" s="107"/>
      <c r="D489" s="107"/>
      <c r="E489" s="107"/>
      <c r="F489" s="107"/>
      <c r="G489" s="107"/>
      <c r="H489" s="108"/>
      <c r="I489" s="108"/>
      <c r="J489" s="98"/>
      <c r="K489" s="98"/>
      <c r="L489" s="98"/>
      <c r="M489" s="98"/>
      <c r="N489" s="98"/>
      <c r="O489" s="98"/>
      <c r="P489" s="96"/>
    </row>
    <row r="490" spans="1:16" ht="15.75" customHeight="1" thickTop="1" x14ac:dyDescent="0.25">
      <c r="A490" s="95"/>
      <c r="B490" s="58"/>
      <c r="C490" s="58"/>
      <c r="D490" s="58"/>
      <c r="E490" s="58"/>
      <c r="F490" s="58"/>
      <c r="G490" s="114"/>
      <c r="H490" s="58"/>
      <c r="I490" s="58"/>
      <c r="J490" s="98"/>
      <c r="K490" s="98"/>
      <c r="L490" s="98"/>
      <c r="M490" s="98"/>
      <c r="N490" s="98"/>
      <c r="O490" s="98"/>
      <c r="P490" s="96"/>
    </row>
    <row r="491" spans="1:16" ht="15" customHeight="1" x14ac:dyDescent="0.25">
      <c r="A491" s="95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6"/>
    </row>
    <row r="492" spans="1:16" ht="15" customHeight="1" x14ac:dyDescent="0.25">
      <c r="A492" s="103" t="s">
        <v>177</v>
      </c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6"/>
    </row>
    <row r="493" spans="1:16" ht="15.75" customHeight="1" x14ac:dyDescent="0.25">
      <c r="A493" s="95"/>
      <c r="B493" s="58" t="s">
        <v>10</v>
      </c>
      <c r="C493" s="58" t="s">
        <v>178</v>
      </c>
      <c r="D493" s="58" t="s">
        <v>172</v>
      </c>
      <c r="E493" s="58" t="s">
        <v>179</v>
      </c>
      <c r="F493" s="58" t="s">
        <v>16</v>
      </c>
      <c r="G493" s="114" t="s">
        <v>17</v>
      </c>
      <c r="H493" s="114" t="s">
        <v>175</v>
      </c>
      <c r="I493" s="58" t="s">
        <v>180</v>
      </c>
      <c r="J493" s="58" t="s">
        <v>181</v>
      </c>
      <c r="K493" s="58" t="s">
        <v>182</v>
      </c>
      <c r="L493" s="115" t="s">
        <v>183</v>
      </c>
      <c r="M493" s="115" t="s">
        <v>184</v>
      </c>
      <c r="N493" s="115" t="s">
        <v>185</v>
      </c>
      <c r="O493" s="98"/>
      <c r="P493" s="96"/>
    </row>
    <row r="494" spans="1:16" ht="16.5" customHeight="1" thickBot="1" x14ac:dyDescent="0.3">
      <c r="A494" s="95"/>
      <c r="B494" s="116"/>
      <c r="C494" s="117"/>
      <c r="D494" s="117"/>
      <c r="E494" s="117"/>
      <c r="F494" s="117"/>
      <c r="G494" s="118"/>
      <c r="H494" s="118"/>
      <c r="I494" s="117"/>
      <c r="J494" s="116"/>
      <c r="K494" s="116"/>
      <c r="L494" s="119"/>
      <c r="M494" s="119"/>
      <c r="N494" s="120"/>
      <c r="O494" s="98"/>
      <c r="P494" s="96"/>
    </row>
    <row r="495" spans="1:16" ht="16.5" customHeight="1" thickTop="1" thickBot="1" x14ac:dyDescent="0.3">
      <c r="A495" s="95"/>
      <c r="B495" s="116"/>
      <c r="C495" s="117"/>
      <c r="D495" s="117"/>
      <c r="E495" s="117"/>
      <c r="F495" s="117"/>
      <c r="G495" s="118"/>
      <c r="H495" s="118"/>
      <c r="I495" s="117"/>
      <c r="J495" s="116"/>
      <c r="K495" s="116"/>
      <c r="L495" s="119"/>
      <c r="M495" s="119"/>
      <c r="N495" s="120"/>
      <c r="O495" s="98"/>
      <c r="P495" s="96"/>
    </row>
    <row r="496" spans="1:16" ht="16.5" customHeight="1" thickTop="1" thickBot="1" x14ac:dyDescent="0.3">
      <c r="A496" s="95"/>
      <c r="B496" s="116"/>
      <c r="C496" s="117"/>
      <c r="D496" s="117"/>
      <c r="E496" s="117"/>
      <c r="F496" s="117"/>
      <c r="G496" s="118"/>
      <c r="H496" s="118"/>
      <c r="I496" s="117"/>
      <c r="J496" s="116"/>
      <c r="K496" s="116"/>
      <c r="L496" s="119"/>
      <c r="M496" s="119"/>
      <c r="N496" s="120"/>
      <c r="O496" s="98"/>
      <c r="P496" s="96"/>
    </row>
    <row r="497" spans="1:16" ht="16.5" customHeight="1" thickTop="1" thickBot="1" x14ac:dyDescent="0.3">
      <c r="A497" s="95"/>
      <c r="B497" s="116"/>
      <c r="C497" s="117"/>
      <c r="D497" s="117"/>
      <c r="E497" s="117"/>
      <c r="F497" s="117"/>
      <c r="G497" s="118"/>
      <c r="H497" s="118"/>
      <c r="I497" s="117"/>
      <c r="J497" s="116"/>
      <c r="K497" s="116"/>
      <c r="L497" s="119"/>
      <c r="M497" s="119"/>
      <c r="N497" s="120"/>
      <c r="O497" s="98"/>
      <c r="P497" s="96"/>
    </row>
    <row r="498" spans="1:16" ht="16.5" customHeight="1" thickTop="1" thickBot="1" x14ac:dyDescent="0.3">
      <c r="A498" s="138"/>
      <c r="B498" s="116"/>
      <c r="C498" s="117"/>
      <c r="D498" s="117"/>
      <c r="E498" s="117"/>
      <c r="F498" s="117"/>
      <c r="G498" s="118"/>
      <c r="H498" s="118"/>
      <c r="I498" s="117"/>
      <c r="J498" s="116"/>
      <c r="K498" s="116"/>
      <c r="L498" s="119"/>
      <c r="M498" s="119"/>
      <c r="N498" s="120"/>
      <c r="O498" s="98"/>
      <c r="P498" s="96"/>
    </row>
    <row r="499" spans="1:16" ht="15.75" customHeight="1" thickTop="1" x14ac:dyDescent="0.25">
      <c r="A499" s="95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6"/>
    </row>
    <row r="500" spans="1:16" ht="15" customHeight="1" x14ac:dyDescent="0.25">
      <c r="A500" s="103" t="s">
        <v>186</v>
      </c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6"/>
    </row>
    <row r="501" spans="1:16" ht="15.75" customHeight="1" thickBot="1" x14ac:dyDescent="0.3">
      <c r="A501" s="95"/>
      <c r="B501" s="58" t="s">
        <v>10</v>
      </c>
      <c r="C501" s="58" t="s">
        <v>187</v>
      </c>
      <c r="D501" s="58" t="s">
        <v>188</v>
      </c>
      <c r="E501" s="58" t="s">
        <v>135</v>
      </c>
      <c r="F501" s="58" t="s">
        <v>189</v>
      </c>
      <c r="G501" s="58" t="s">
        <v>190</v>
      </c>
      <c r="H501" s="58" t="s">
        <v>191</v>
      </c>
      <c r="I501" s="58" t="s">
        <v>16</v>
      </c>
      <c r="J501" s="114" t="s">
        <v>17</v>
      </c>
      <c r="K501" s="114" t="s">
        <v>175</v>
      </c>
      <c r="L501" s="98"/>
      <c r="M501" s="98"/>
      <c r="N501" s="98"/>
      <c r="O501" s="98"/>
      <c r="P501" s="96"/>
    </row>
    <row r="502" spans="1:16" ht="16.5" customHeight="1" thickTop="1" thickBot="1" x14ac:dyDescent="0.3">
      <c r="A502" s="95"/>
      <c r="B502" s="116" t="s">
        <v>237</v>
      </c>
      <c r="C502" s="122" t="e">
        <f>IF(VLOOKUP(B502,'Gebouwgegevens Allacker'!$J$5:$Q$83,2,0)=$B$472,VLOOKUP(B502,'Gebouwgegevens Allacker'!$J$5:$Q$83,2,0),VLOOKUP(B502,'Gebouwgegevens Allacker'!$J$5:$Q$83,3,0))</f>
        <v>#N/A</v>
      </c>
      <c r="D502" s="122" t="e">
        <f>IF(VLOOKUP(B502,'Gebouwgegevens Allacker'!$J$5:$Q$83,2,0)=$B$472,VLOOKUP(B502,'Gebouwgegevens Allacker'!$J$5:$Q$83,3,0),VLOOKUP(B502,'Gebouwgegevens Allacker'!$J$5:$Q$83,2,0))</f>
        <v>#N/A</v>
      </c>
      <c r="E502" s="122" t="e">
        <f>VLOOKUP(B502,'Gebouwgegevens Allacker'!$J$5:$Q$83,4,0)</f>
        <v>#N/A</v>
      </c>
      <c r="F502" s="122" t="e">
        <f>VLOOKUP(B502,'Gebouwgegevens Allacker'!$J$5:$Q$83,5,0)</f>
        <v>#N/A</v>
      </c>
      <c r="G502" s="122" t="e">
        <f>VLOOKUP('Verwarming Tabula 2zone Ref 1'!C502,'Gebouwgegevens Allacker'!$A$35:$F$46,5,0)</f>
        <v>#N/A</v>
      </c>
      <c r="H502" s="122" t="e">
        <f>VLOOKUP('Verwarming Tabula 2zone Ref 1'!D502,'Gebouwgegevens Allacker'!$A$35:$F$46,5,0)</f>
        <v>#N/A</v>
      </c>
      <c r="I502" s="122" t="e">
        <f>VLOOKUP(B502,'Gebouwgegevens Allacker'!$J$5:$Q$83,7,0)</f>
        <v>#N/A</v>
      </c>
      <c r="J502" s="118" t="e">
        <f>VLOOKUP(B502,'Gebouwgegevens Allacker'!$J$5:$Q$83,8,0)</f>
        <v>#N/A</v>
      </c>
      <c r="K502" s="118" t="e">
        <f>(G502-H502)/(G502-$B$4)</f>
        <v>#N/A</v>
      </c>
      <c r="L502" s="98"/>
      <c r="M502" s="98"/>
      <c r="N502" s="98"/>
      <c r="O502" s="98"/>
      <c r="P502" s="96"/>
    </row>
    <row r="503" spans="1:16" ht="16.5" customHeight="1" thickTop="1" thickBot="1" x14ac:dyDescent="0.3">
      <c r="A503" s="95"/>
      <c r="B503" s="116" t="s">
        <v>221</v>
      </c>
      <c r="C503" s="122" t="e">
        <f>IF(VLOOKUP(B503,'Gebouwgegevens Allacker'!$J$5:$Q$83,2,0)=$B$472,VLOOKUP(B503,'Gebouwgegevens Allacker'!$J$5:$Q$83,2,0),VLOOKUP(B503,'Gebouwgegevens Allacker'!$J$5:$Q$83,3,0))</f>
        <v>#N/A</v>
      </c>
      <c r="D503" s="122" t="e">
        <f>IF(VLOOKUP(B503,'Gebouwgegevens Allacker'!$J$5:$Q$83,2,0)=$B$472,VLOOKUP(B503,'Gebouwgegevens Allacker'!$J$5:$Q$83,3,0),VLOOKUP(B503,'Gebouwgegevens Allacker'!$J$5:$Q$83,2,0))</f>
        <v>#N/A</v>
      </c>
      <c r="E503" s="122" t="e">
        <f>VLOOKUP(B503,'Gebouwgegevens Allacker'!$J$5:$Q$83,4,0)</f>
        <v>#N/A</v>
      </c>
      <c r="F503" s="122" t="e">
        <f>VLOOKUP(B503,'Gebouwgegevens Allacker'!$J$5:$Q$83,5,0)</f>
        <v>#N/A</v>
      </c>
      <c r="G503" s="122" t="e">
        <f>VLOOKUP('Verwarming Tabula 2zone Ref 1'!C503,'Gebouwgegevens Allacker'!$A$35:$F$46,5,0)</f>
        <v>#N/A</v>
      </c>
      <c r="H503" s="122" t="e">
        <f>VLOOKUP('Verwarming Tabula 2zone Ref 1'!D503,'Gebouwgegevens Allacker'!$A$35:$F$46,5,0)</f>
        <v>#N/A</v>
      </c>
      <c r="I503" s="122" t="e">
        <f>VLOOKUP(B503,'Gebouwgegevens Allacker'!$J$5:$Q$83,7,0)</f>
        <v>#N/A</v>
      </c>
      <c r="J503" s="118" t="e">
        <f>VLOOKUP(B503,'Gebouwgegevens Allacker'!$J$5:$Q$83,8,0)</f>
        <v>#N/A</v>
      </c>
      <c r="K503" s="118" t="e">
        <f>(G503-H503)/(G503-$B$4)</f>
        <v>#N/A</v>
      </c>
      <c r="L503" s="98"/>
      <c r="M503" s="98"/>
      <c r="N503" s="98"/>
      <c r="O503" s="98"/>
      <c r="P503" s="96"/>
    </row>
    <row r="504" spans="1:16" ht="16.5" customHeight="1" thickTop="1" thickBot="1" x14ac:dyDescent="0.3">
      <c r="A504" s="95"/>
      <c r="B504" s="116" t="s">
        <v>245</v>
      </c>
      <c r="C504" s="122" t="e">
        <f>IF(VLOOKUP(B504,'Gebouwgegevens Allacker'!$J$5:$Q$83,2,0)=$B$472,VLOOKUP(B504,'Gebouwgegevens Allacker'!$J$5:$Q$83,2,0),VLOOKUP(B504,'Gebouwgegevens Allacker'!$J$5:$Q$83,3,0))</f>
        <v>#N/A</v>
      </c>
      <c r="D504" s="122" t="e">
        <f>IF(VLOOKUP(B504,'Gebouwgegevens Allacker'!$J$5:$Q$83,2,0)=$B$472,VLOOKUP(B504,'Gebouwgegevens Allacker'!$J$5:$Q$83,3,0),VLOOKUP(B504,'Gebouwgegevens Allacker'!$J$5:$Q$83,2,0))</f>
        <v>#N/A</v>
      </c>
      <c r="E504" s="122" t="e">
        <f>VLOOKUP(B504,'Gebouwgegevens Allacker'!$J$5:$Q$83,4,0)</f>
        <v>#N/A</v>
      </c>
      <c r="F504" s="122" t="e">
        <f>VLOOKUP(B504,'Gebouwgegevens Allacker'!$J$5:$Q$83,5,0)</f>
        <v>#N/A</v>
      </c>
      <c r="G504" s="122" t="e">
        <f>VLOOKUP('Verwarming Tabula 2zone Ref 1'!C504,'Gebouwgegevens Allacker'!$A$35:$F$46,5,0)</f>
        <v>#N/A</v>
      </c>
      <c r="H504" s="122" t="e">
        <f>VLOOKUP('Verwarming Tabula 2zone Ref 1'!D504,'Gebouwgegevens Allacker'!$A$35:$F$46,5,0)</f>
        <v>#N/A</v>
      </c>
      <c r="I504" s="122" t="e">
        <f>VLOOKUP(B504,'Gebouwgegevens Allacker'!$J$5:$Q$83,7,0)</f>
        <v>#N/A</v>
      </c>
      <c r="J504" s="118" t="e">
        <f>VLOOKUP(B504,'Gebouwgegevens Allacker'!$J$5:$Q$83,8,0)</f>
        <v>#N/A</v>
      </c>
      <c r="K504" s="118" t="e">
        <f>(G504-H504)/(G504-$B$4)</f>
        <v>#N/A</v>
      </c>
      <c r="L504" s="98"/>
      <c r="M504" s="98"/>
      <c r="N504" s="98"/>
      <c r="O504" s="98"/>
      <c r="P504" s="96"/>
    </row>
    <row r="505" spans="1:16" ht="16.5" customHeight="1" thickTop="1" thickBot="1" x14ac:dyDescent="0.3">
      <c r="A505" s="95"/>
      <c r="B505" s="116"/>
      <c r="C505" s="122"/>
      <c r="D505" s="122"/>
      <c r="E505" s="122"/>
      <c r="F505" s="122"/>
      <c r="G505" s="122"/>
      <c r="H505" s="122"/>
      <c r="I505" s="122"/>
      <c r="J505" s="118"/>
      <c r="K505" s="118"/>
      <c r="L505" s="98"/>
      <c r="M505" s="98"/>
      <c r="N505" s="98"/>
      <c r="O505" s="98"/>
      <c r="P505" s="96"/>
    </row>
    <row r="506" spans="1:16" ht="16.5" customHeight="1" thickTop="1" thickBot="1" x14ac:dyDescent="0.3">
      <c r="A506" s="95"/>
      <c r="B506" s="145"/>
      <c r="C506" s="122"/>
      <c r="D506" s="122"/>
      <c r="E506" s="122"/>
      <c r="F506" s="122"/>
      <c r="G506" s="122"/>
      <c r="H506" s="122"/>
      <c r="I506" s="122"/>
      <c r="J506" s="118"/>
      <c r="K506" s="118"/>
      <c r="L506" s="98"/>
      <c r="M506" s="98"/>
      <c r="N506" s="98"/>
      <c r="O506" s="98"/>
      <c r="P506" s="96"/>
    </row>
    <row r="507" spans="1:16" ht="16.5" customHeight="1" thickTop="1" thickBot="1" x14ac:dyDescent="0.3">
      <c r="A507" s="95"/>
      <c r="B507" s="123"/>
      <c r="C507" s="139"/>
      <c r="D507" s="122"/>
      <c r="E507" s="122"/>
      <c r="F507" s="122"/>
      <c r="G507" s="122"/>
      <c r="H507" s="122"/>
      <c r="I507" s="122"/>
      <c r="J507" s="118"/>
      <c r="K507" s="118"/>
      <c r="L507" s="98"/>
      <c r="M507" s="98"/>
      <c r="N507" s="98"/>
      <c r="O507" s="98"/>
      <c r="P507" s="96"/>
    </row>
    <row r="508" spans="1:16" ht="16.5" customHeight="1" thickTop="1" thickBot="1" x14ac:dyDescent="0.3">
      <c r="A508" s="95"/>
      <c r="B508" s="123"/>
      <c r="C508" s="139"/>
      <c r="D508" s="122"/>
      <c r="E508" s="122"/>
      <c r="F508" s="122"/>
      <c r="G508" s="122"/>
      <c r="H508" s="122"/>
      <c r="I508" s="122"/>
      <c r="J508" s="118"/>
      <c r="K508" s="118"/>
      <c r="L508" s="98"/>
      <c r="M508" s="98"/>
      <c r="N508" s="98"/>
      <c r="O508" s="98"/>
      <c r="P508" s="96"/>
    </row>
    <row r="509" spans="1:16" ht="16.5" customHeight="1" thickTop="1" thickBot="1" x14ac:dyDescent="0.3">
      <c r="A509" s="95"/>
      <c r="B509" s="123"/>
      <c r="C509" s="139"/>
      <c r="D509" s="122"/>
      <c r="E509" s="122"/>
      <c r="F509" s="122"/>
      <c r="G509" s="122"/>
      <c r="H509" s="122"/>
      <c r="I509" s="122"/>
      <c r="J509" s="118"/>
      <c r="K509" s="118"/>
      <c r="L509" s="98"/>
      <c r="M509" s="98"/>
      <c r="N509" s="98"/>
      <c r="O509" s="98"/>
      <c r="P509" s="96"/>
    </row>
    <row r="510" spans="1:16" ht="16.5" customHeight="1" thickTop="1" thickBot="1" x14ac:dyDescent="0.3">
      <c r="A510" s="95"/>
      <c r="B510" s="123"/>
      <c r="C510" s="139"/>
      <c r="D510" s="122"/>
      <c r="E510" s="122"/>
      <c r="F510" s="122"/>
      <c r="G510" s="122"/>
      <c r="H510" s="122"/>
      <c r="I510" s="122"/>
      <c r="J510" s="118"/>
      <c r="K510" s="118"/>
      <c r="L510" s="98"/>
      <c r="M510" s="98"/>
      <c r="N510" s="98"/>
      <c r="O510" s="98"/>
      <c r="P510" s="96"/>
    </row>
    <row r="511" spans="1:16" ht="16.5" customHeight="1" thickTop="1" thickBot="1" x14ac:dyDescent="0.3">
      <c r="A511" s="95"/>
      <c r="B511" s="123"/>
      <c r="C511" s="139"/>
      <c r="D511" s="122"/>
      <c r="E511" s="122"/>
      <c r="F511" s="122"/>
      <c r="G511" s="122"/>
      <c r="H511" s="122"/>
      <c r="I511" s="122"/>
      <c r="J511" s="118"/>
      <c r="K511" s="118"/>
      <c r="L511" s="98"/>
      <c r="M511" s="98"/>
      <c r="N511" s="98"/>
      <c r="O511" s="98"/>
      <c r="P511" s="96"/>
    </row>
    <row r="512" spans="1:16" ht="15.75" customHeight="1" thickTop="1" x14ac:dyDescent="0.25">
      <c r="A512" s="95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8"/>
      <c r="M512" s="98"/>
      <c r="N512" s="98"/>
      <c r="O512" s="98"/>
      <c r="P512" s="96"/>
    </row>
    <row r="513" spans="1:16" ht="15" customHeight="1" x14ac:dyDescent="0.25">
      <c r="A513" s="95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6"/>
    </row>
    <row r="514" spans="1:16" ht="15.75" customHeight="1" x14ac:dyDescent="0.25">
      <c r="A514" s="103" t="s">
        <v>192</v>
      </c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6"/>
    </row>
    <row r="515" spans="1:16" ht="16.5" customHeight="1" x14ac:dyDescent="0.25">
      <c r="A515" s="124" t="s">
        <v>193</v>
      </c>
      <c r="B515" s="118" t="e">
        <f>SUMPRODUCT(H478:H489,I478:I489)+SUMPRODUCT(G494:G498,H494:H498)+SUMPRODUCT(J502:J511,K502:K511)</f>
        <v>#N/A</v>
      </c>
      <c r="C515" s="118" t="s">
        <v>107</v>
      </c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6"/>
    </row>
    <row r="516" spans="1:16" ht="16.5" customHeight="1" x14ac:dyDescent="0.25">
      <c r="A516" s="124" t="s">
        <v>167</v>
      </c>
      <c r="B516" s="118" t="e">
        <f>B515*(G502-$B$4)</f>
        <v>#N/A</v>
      </c>
      <c r="C516" s="118" t="s">
        <v>169</v>
      </c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6"/>
    </row>
    <row r="517" spans="1:16" ht="15.75" customHeight="1" thickBot="1" x14ac:dyDescent="0.3">
      <c r="A517" s="109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1"/>
    </row>
    <row r="518" spans="1:16" ht="15.75" customHeight="1" thickTop="1" x14ac:dyDescent="0.25">
      <c r="A518" s="343" t="s">
        <v>194</v>
      </c>
      <c r="B518" s="343"/>
      <c r="C518" s="343"/>
      <c r="D518" s="125" t="s">
        <v>222</v>
      </c>
      <c r="E518" s="299"/>
      <c r="F518" s="299"/>
      <c r="G518" s="299"/>
      <c r="H518" s="299"/>
      <c r="I518" s="299"/>
      <c r="J518" s="299"/>
      <c r="K518" s="299"/>
      <c r="L518" s="299"/>
      <c r="M518" s="299"/>
      <c r="N518" s="299"/>
      <c r="O518" s="299"/>
      <c r="P518" s="94"/>
    </row>
    <row r="519" spans="1:16" ht="15" customHeight="1" x14ac:dyDescent="0.25">
      <c r="A519" s="95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6"/>
    </row>
    <row r="520" spans="1:16" ht="15" customHeight="1" thickBot="1" x14ac:dyDescent="0.3">
      <c r="A520" s="126" t="s">
        <v>195</v>
      </c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6"/>
    </row>
    <row r="521" spans="1:16" ht="15" customHeight="1" thickTop="1" thickBot="1" x14ac:dyDescent="0.3">
      <c r="A521" s="127" t="s">
        <v>196</v>
      </c>
      <c r="B521" s="121">
        <v>8</v>
      </c>
      <c r="C521" s="120" t="s">
        <v>197</v>
      </c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6"/>
    </row>
    <row r="522" spans="1:16" ht="15" customHeight="1" thickTop="1" thickBot="1" x14ac:dyDescent="0.3">
      <c r="A522" s="127" t="s">
        <v>198</v>
      </c>
      <c r="B522" s="121">
        <v>0.03</v>
      </c>
      <c r="C522" s="120" t="s">
        <v>199</v>
      </c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6"/>
    </row>
    <row r="523" spans="1:16" ht="15.75" customHeight="1" thickTop="1" thickBot="1" x14ac:dyDescent="0.3">
      <c r="A523" s="127" t="s">
        <v>200</v>
      </c>
      <c r="B523" s="121">
        <v>1</v>
      </c>
      <c r="C523" s="120" t="s">
        <v>201</v>
      </c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6"/>
    </row>
    <row r="524" spans="1:16" ht="16.5" customHeight="1" thickTop="1" x14ac:dyDescent="0.25">
      <c r="A524" s="124" t="s">
        <v>202</v>
      </c>
      <c r="B524" s="118" t="e">
        <f>2*VLOOKUP(B472,'Gebouwgegevens Allacker'!$A$35:$F$46,6,0)*B521*B522*B523</f>
        <v>#N/A</v>
      </c>
      <c r="C524" s="118" t="s">
        <v>203</v>
      </c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6"/>
    </row>
    <row r="525" spans="1:16" ht="15.75" customHeight="1" x14ac:dyDescent="0.25">
      <c r="A525" s="138"/>
      <c r="B525" s="58"/>
      <c r="C525" s="5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6"/>
    </row>
    <row r="526" spans="1:16" ht="15" customHeight="1" x14ac:dyDescent="0.25">
      <c r="A526" s="146" t="s">
        <v>204</v>
      </c>
      <c r="B526" s="58"/>
      <c r="C526" s="5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6"/>
    </row>
    <row r="527" spans="1:16" ht="15.75" customHeight="1" x14ac:dyDescent="0.25">
      <c r="A527" s="138" t="s">
        <v>180</v>
      </c>
      <c r="B527" s="58" t="e">
        <f>VLOOKUP(B472,'Gebouwgegevens Allacker'!$A$35:$F$46,6,0)</f>
        <v>#N/A</v>
      </c>
      <c r="C527" s="5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6"/>
    </row>
    <row r="528" spans="1:16" ht="16.5" customHeight="1" x14ac:dyDescent="0.25">
      <c r="A528" s="124" t="s">
        <v>205</v>
      </c>
      <c r="B528" s="128" t="e">
        <f>B527*3.6</f>
        <v>#N/A</v>
      </c>
      <c r="C528" s="118" t="s">
        <v>203</v>
      </c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6"/>
    </row>
    <row r="529" spans="1:16" ht="15.75" customHeight="1" x14ac:dyDescent="0.25">
      <c r="A529" s="138"/>
      <c r="B529" s="58"/>
      <c r="C529" s="5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6"/>
    </row>
    <row r="530" spans="1:16" ht="15.75" customHeight="1" x14ac:dyDescent="0.25">
      <c r="A530" s="138"/>
      <c r="B530" s="58"/>
      <c r="C530" s="5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6"/>
    </row>
    <row r="531" spans="1:16" ht="16.5" customHeight="1" x14ac:dyDescent="0.25">
      <c r="A531" s="124" t="s">
        <v>207</v>
      </c>
      <c r="B531" s="118" t="e">
        <f>MAX(B524,B528)</f>
        <v>#N/A</v>
      </c>
      <c r="C531" s="118" t="s">
        <v>203</v>
      </c>
      <c r="D531" s="98"/>
      <c r="E531" s="98"/>
      <c r="F531" s="118" t="s">
        <v>208</v>
      </c>
      <c r="G531" s="118" t="e">
        <f>B531/VLOOKUP(B472,'Gebouwgegevens Allacker'!$A$35:$B$46,2,0)</f>
        <v>#N/A</v>
      </c>
      <c r="H531" s="98"/>
      <c r="I531" s="98"/>
      <c r="J531" s="98"/>
      <c r="K531" s="98"/>
      <c r="L531" s="98"/>
      <c r="M531" s="98"/>
      <c r="N531" s="98"/>
      <c r="O531" s="98"/>
      <c r="P531" s="96"/>
    </row>
    <row r="532" spans="1:16" ht="16.5" customHeight="1" x14ac:dyDescent="0.25">
      <c r="A532" s="138"/>
      <c r="B532" s="58"/>
      <c r="C532" s="5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6"/>
    </row>
    <row r="533" spans="1:16" ht="16.5" customHeight="1" x14ac:dyDescent="0.25">
      <c r="A533" s="124" t="s">
        <v>209</v>
      </c>
      <c r="B533" s="118" t="e">
        <f>0.34*B531</f>
        <v>#N/A</v>
      </c>
      <c r="C533" s="118" t="s">
        <v>107</v>
      </c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6"/>
    </row>
    <row r="534" spans="1:16" ht="16.5" customHeight="1" x14ac:dyDescent="0.25">
      <c r="A534" s="124" t="s">
        <v>167</v>
      </c>
      <c r="B534" s="118" t="e">
        <f>B533*('Gebouwgegevens Allacker'!E494-$B$4)</f>
        <v>#N/A</v>
      </c>
      <c r="C534" s="118" t="s">
        <v>169</v>
      </c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6"/>
    </row>
    <row r="535" spans="1:16" ht="15.75" customHeight="1" thickBot="1" x14ac:dyDescent="0.3">
      <c r="A535" s="140"/>
      <c r="B535" s="141"/>
      <c r="C535" s="141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1"/>
    </row>
    <row r="536" spans="1:16" ht="15.75" customHeight="1" thickTop="1" x14ac:dyDescent="0.25">
      <c r="A536" s="343" t="s">
        <v>210</v>
      </c>
      <c r="B536" s="343"/>
      <c r="C536" s="343"/>
      <c r="D536" s="343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6"/>
    </row>
    <row r="537" spans="1:16" ht="15" customHeight="1" thickBot="1" x14ac:dyDescent="0.3">
      <c r="A537" s="95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6"/>
    </row>
    <row r="538" spans="1:16" ht="15" customHeight="1" thickTop="1" thickBot="1" x14ac:dyDescent="0.3">
      <c r="A538" s="127" t="s">
        <v>211</v>
      </c>
      <c r="B538" s="121">
        <v>22</v>
      </c>
      <c r="C538" s="58" t="s">
        <v>232</v>
      </c>
      <c r="D538" s="5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6"/>
    </row>
    <row r="539" spans="1:16" ht="15.75" customHeight="1" thickTop="1" x14ac:dyDescent="0.25">
      <c r="A539" s="91" t="s">
        <v>113</v>
      </c>
      <c r="B539" s="98" t="e">
        <f>VLOOKUP(B472,'Gebouwgegevens Allacker'!$A$35:$F$46,6,0)</f>
        <v>#N/A</v>
      </c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6"/>
    </row>
    <row r="540" spans="1:16" ht="16.5" customHeight="1" x14ac:dyDescent="0.25">
      <c r="A540" s="124" t="s">
        <v>213</v>
      </c>
      <c r="B540" s="118" t="e">
        <f>B541/('Gebouwgegevens Allacker'!E494-'Verwarming Tabula 2zone Ref 1'!$B$4)</f>
        <v>#N/A</v>
      </c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6"/>
    </row>
    <row r="541" spans="1:16" ht="16.5" customHeight="1" x14ac:dyDescent="0.25">
      <c r="A541" s="124" t="s">
        <v>167</v>
      </c>
      <c r="B541" s="118" t="e">
        <f>B538*B539</f>
        <v>#N/A</v>
      </c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6"/>
    </row>
    <row r="542" spans="1:16" ht="15.75" customHeight="1" x14ac:dyDescent="0.25">
      <c r="A542" s="95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6"/>
    </row>
    <row r="543" spans="1:16" ht="15.75" customHeight="1" thickBot="1" x14ac:dyDescent="0.3">
      <c r="A543" s="95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6"/>
    </row>
    <row r="544" spans="1:16" ht="15.75" customHeight="1" thickTop="1" thickBot="1" x14ac:dyDescent="0.3">
      <c r="A544" s="129" t="s">
        <v>214</v>
      </c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1"/>
    </row>
    <row r="545" spans="1:16" ht="16.5" customHeight="1" thickTop="1" x14ac:dyDescent="0.25">
      <c r="A545" s="124" t="s">
        <v>215</v>
      </c>
      <c r="B545" s="118" t="e">
        <f>SUM(B515,B533,B540)</f>
        <v>#N/A</v>
      </c>
      <c r="C545" s="118" t="s">
        <v>107</v>
      </c>
      <c r="D545" s="132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  <c r="O545" s="132"/>
      <c r="P545" s="133"/>
    </row>
    <row r="546" spans="1:16" ht="16.5" customHeight="1" x14ac:dyDescent="0.25">
      <c r="A546" s="124" t="s">
        <v>167</v>
      </c>
      <c r="B546" s="118" t="e">
        <f>SUM(B516,B534,B541)</f>
        <v>#N/A</v>
      </c>
      <c r="C546" s="118" t="s">
        <v>169</v>
      </c>
      <c r="D546" s="132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  <c r="O546" s="132"/>
      <c r="P546" s="133"/>
    </row>
    <row r="547" spans="1:16" ht="16.5" customHeight="1" thickBot="1" x14ac:dyDescent="0.3">
      <c r="A547" s="134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6"/>
    </row>
    <row r="548" spans="1:16" ht="15" customHeight="1" thickTop="1" x14ac:dyDescent="0.25">
      <c r="A548" s="137"/>
      <c r="B548" s="137"/>
      <c r="C548" s="137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</row>
    <row r="549" spans="1:16" ht="15.75" customHeight="1" thickBot="1" x14ac:dyDescent="0.3">
      <c r="A549" s="137"/>
      <c r="B549" s="137"/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</row>
    <row r="550" spans="1:16" ht="15" customHeight="1" thickTop="1" thickBot="1" x14ac:dyDescent="0.3">
      <c r="A550" s="93"/>
      <c r="B550" s="299"/>
      <c r="C550" s="299"/>
      <c r="D550" s="299"/>
      <c r="E550" s="299"/>
      <c r="F550" s="299"/>
      <c r="G550" s="299"/>
      <c r="H550" s="299"/>
      <c r="I550" s="299"/>
      <c r="J550" s="299"/>
      <c r="K550" s="299"/>
      <c r="L550" s="299"/>
      <c r="M550" s="299"/>
      <c r="N550" s="299"/>
      <c r="O550" s="299"/>
      <c r="P550" s="94"/>
    </row>
    <row r="551" spans="1:16" ht="17.25" customHeight="1" thickTop="1" thickBot="1" x14ac:dyDescent="0.35">
      <c r="A551" s="97" t="s">
        <v>166</v>
      </c>
      <c r="B551" s="92">
        <v>8</v>
      </c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6"/>
    </row>
    <row r="552" spans="1:16" ht="15.75" customHeight="1" thickTop="1" x14ac:dyDescent="0.25">
      <c r="A552" s="343" t="s">
        <v>168</v>
      </c>
      <c r="B552" s="343"/>
      <c r="C552" s="343"/>
      <c r="D552" s="343"/>
      <c r="E552" s="299"/>
      <c r="F552" s="299"/>
      <c r="G552" s="299"/>
      <c r="H552" s="299"/>
      <c r="I552" s="299"/>
      <c r="J552" s="299"/>
      <c r="K552" s="299"/>
      <c r="L552" s="299"/>
      <c r="M552" s="299"/>
      <c r="N552" s="299"/>
      <c r="O552" s="299"/>
      <c r="P552" s="94"/>
    </row>
    <row r="553" spans="1:16" ht="15" customHeight="1" x14ac:dyDescent="0.25">
      <c r="A553" s="95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6"/>
    </row>
    <row r="554" spans="1:16" ht="15" customHeight="1" x14ac:dyDescent="0.25">
      <c r="A554" s="103" t="s">
        <v>170</v>
      </c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6"/>
    </row>
    <row r="555" spans="1:16" ht="15" customHeight="1" x14ac:dyDescent="0.25">
      <c r="A555" s="95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6"/>
    </row>
    <row r="556" spans="1:16" ht="15.75" customHeight="1" thickBot="1" x14ac:dyDescent="0.3">
      <c r="A556" s="95"/>
      <c r="B556" s="104" t="s">
        <v>10</v>
      </c>
      <c r="C556" s="104" t="s">
        <v>171</v>
      </c>
      <c r="D556" s="104" t="s">
        <v>172</v>
      </c>
      <c r="E556" s="104" t="s">
        <v>173</v>
      </c>
      <c r="F556" s="104" t="s">
        <v>174</v>
      </c>
      <c r="G556" s="104" t="s">
        <v>16</v>
      </c>
      <c r="H556" s="105" t="s">
        <v>17</v>
      </c>
      <c r="I556" s="105" t="s">
        <v>175</v>
      </c>
      <c r="J556" s="98"/>
      <c r="K556" s="98"/>
      <c r="L556" s="98"/>
      <c r="M556" s="98"/>
      <c r="N556" s="98"/>
      <c r="O556" s="98"/>
      <c r="P556" s="96"/>
    </row>
    <row r="557" spans="1:16" ht="16.5" customHeight="1" thickTop="1" thickBot="1" x14ac:dyDescent="0.3">
      <c r="A557" s="95"/>
      <c r="B557" s="106" t="s">
        <v>246</v>
      </c>
      <c r="C557" s="107" t="e">
        <f>VLOOKUP(B557,'Gebouwgegevens Allacker'!$J$5:$Q$83,3,0)</f>
        <v>#N/A</v>
      </c>
      <c r="D557" s="107" t="e">
        <f>VLOOKUP(B557,'Gebouwgegevens Allacker'!$J$5:$Q$83,4,0)</f>
        <v>#N/A</v>
      </c>
      <c r="E557" s="107" t="e">
        <f>VLOOKUP(B557,'Gebouwgegevens Allacker'!$J$5:$Q$83,5,0)</f>
        <v>#N/A</v>
      </c>
      <c r="F557" s="107" t="e">
        <f>VLOOKUP(B557,'Gebouwgegevens Allacker'!$J$5:$Q$83,6,0)</f>
        <v>#N/A</v>
      </c>
      <c r="G557" s="107" t="e">
        <f>VLOOKUP(B557,'Gebouwgegevens Allacker'!$J$5:$Q$83,7,0)</f>
        <v>#N/A</v>
      </c>
      <c r="H557" s="108" t="e">
        <f>VLOOKUP(B557,'Gebouwgegevens Allacker'!$J$5:$Q$83,8,0)</f>
        <v>#N/A</v>
      </c>
      <c r="I557" s="108">
        <v>1</v>
      </c>
      <c r="J557" s="98"/>
      <c r="K557" s="98"/>
      <c r="L557" s="98"/>
      <c r="M557" s="98"/>
      <c r="N557" s="98"/>
      <c r="O557" s="98"/>
      <c r="P557" s="96"/>
    </row>
    <row r="558" spans="1:16" ht="16.5" customHeight="1" thickTop="1" thickBot="1" x14ac:dyDescent="0.3">
      <c r="A558" s="95"/>
      <c r="B558" s="106" t="s">
        <v>247</v>
      </c>
      <c r="C558" s="107" t="e">
        <f>VLOOKUP(B558,'Gebouwgegevens Allacker'!$J$5:$Q$83,3,0)</f>
        <v>#N/A</v>
      </c>
      <c r="D558" s="107" t="e">
        <f>VLOOKUP(B558,'Gebouwgegevens Allacker'!$J$5:$Q$83,4,0)</f>
        <v>#N/A</v>
      </c>
      <c r="E558" s="107" t="e">
        <f>VLOOKUP(B558,'Gebouwgegevens Allacker'!$J$5:$Q$83,5,0)</f>
        <v>#N/A</v>
      </c>
      <c r="F558" s="107" t="e">
        <f>VLOOKUP(B558,'Gebouwgegevens Allacker'!$J$5:$Q$83,6,0)</f>
        <v>#N/A</v>
      </c>
      <c r="G558" s="107" t="e">
        <f>VLOOKUP(B558,'Gebouwgegevens Allacker'!$J$5:$Q$83,7,0)</f>
        <v>#N/A</v>
      </c>
      <c r="H558" s="108" t="e">
        <f>VLOOKUP(B558,'Gebouwgegevens Allacker'!$J$5:$Q$83,8,0)</f>
        <v>#N/A</v>
      </c>
      <c r="I558" s="108">
        <v>1</v>
      </c>
      <c r="J558" s="98"/>
      <c r="K558" s="98"/>
      <c r="L558" s="98"/>
      <c r="M558" s="98"/>
      <c r="N558" s="98"/>
      <c r="O558" s="98"/>
      <c r="P558" s="96"/>
    </row>
    <row r="559" spans="1:16" ht="16.5" customHeight="1" thickTop="1" thickBot="1" x14ac:dyDescent="0.3">
      <c r="A559" s="95"/>
      <c r="B559" s="106" t="s">
        <v>248</v>
      </c>
      <c r="C559" s="107" t="e">
        <f>VLOOKUP(B559,'Gebouwgegevens Allacker'!$J$5:$Q$83,3,0)</f>
        <v>#N/A</v>
      </c>
      <c r="D559" s="107" t="e">
        <f>VLOOKUP(B559,'Gebouwgegevens Allacker'!$J$5:$Q$83,4,0)</f>
        <v>#N/A</v>
      </c>
      <c r="E559" s="107" t="e">
        <f>VLOOKUP(B559,'Gebouwgegevens Allacker'!$J$5:$Q$83,5,0)</f>
        <v>#N/A</v>
      </c>
      <c r="F559" s="107" t="e">
        <f>VLOOKUP(B559,'Gebouwgegevens Allacker'!$J$5:$Q$83,6,0)</f>
        <v>#N/A</v>
      </c>
      <c r="G559" s="107" t="e">
        <f>VLOOKUP(B559,'Gebouwgegevens Allacker'!$J$5:$Q$83,7,0)</f>
        <v>#N/A</v>
      </c>
      <c r="H559" s="108" t="e">
        <f>VLOOKUP(B559,'Gebouwgegevens Allacker'!$J$5:$Q$83,8,0)</f>
        <v>#N/A</v>
      </c>
      <c r="I559" s="108">
        <v>1</v>
      </c>
      <c r="J559" s="98"/>
      <c r="K559" s="98"/>
      <c r="L559" s="98"/>
      <c r="M559" s="98"/>
      <c r="N559" s="98"/>
      <c r="O559" s="98"/>
      <c r="P559" s="96"/>
    </row>
    <row r="560" spans="1:16" ht="16.5" customHeight="1" thickTop="1" thickBot="1" x14ac:dyDescent="0.3">
      <c r="A560" s="95"/>
      <c r="B560" s="106"/>
      <c r="C560" s="107"/>
      <c r="D560" s="107"/>
      <c r="E560" s="107"/>
      <c r="F560" s="107"/>
      <c r="G560" s="107"/>
      <c r="H560" s="108"/>
      <c r="I560" s="108"/>
      <c r="J560" s="98"/>
      <c r="K560" s="98"/>
      <c r="L560" s="98"/>
      <c r="M560" s="98"/>
      <c r="N560" s="98"/>
      <c r="O560" s="98"/>
      <c r="P560" s="96"/>
    </row>
    <row r="561" spans="1:16" ht="16.5" customHeight="1" thickTop="1" thickBot="1" x14ac:dyDescent="0.3">
      <c r="A561" s="95"/>
      <c r="B561" s="106"/>
      <c r="C561" s="107"/>
      <c r="D561" s="107"/>
      <c r="E561" s="107"/>
      <c r="F561" s="107"/>
      <c r="G561" s="107"/>
      <c r="H561" s="108"/>
      <c r="I561" s="108"/>
      <c r="J561" s="98"/>
      <c r="K561" s="98"/>
      <c r="L561" s="98"/>
      <c r="M561" s="98"/>
      <c r="N561" s="98"/>
      <c r="O561" s="98"/>
      <c r="P561" s="96"/>
    </row>
    <row r="562" spans="1:16" ht="16.5" customHeight="1" thickTop="1" thickBot="1" x14ac:dyDescent="0.3">
      <c r="A562" s="95"/>
      <c r="B562" s="106"/>
      <c r="C562" s="107"/>
      <c r="D562" s="107"/>
      <c r="E562" s="107"/>
      <c r="F562" s="107"/>
      <c r="G562" s="107"/>
      <c r="H562" s="108"/>
      <c r="I562" s="108"/>
      <c r="J562" s="98"/>
      <c r="K562" s="98"/>
      <c r="L562" s="98"/>
      <c r="M562" s="98"/>
      <c r="N562" s="98"/>
      <c r="O562" s="98"/>
      <c r="P562" s="96"/>
    </row>
    <row r="563" spans="1:16" ht="16.5" customHeight="1" thickTop="1" thickBot="1" x14ac:dyDescent="0.3">
      <c r="A563" s="95"/>
      <c r="B563" s="106"/>
      <c r="C563" s="107"/>
      <c r="D563" s="107"/>
      <c r="E563" s="107"/>
      <c r="F563" s="107"/>
      <c r="G563" s="107"/>
      <c r="H563" s="108"/>
      <c r="I563" s="108"/>
      <c r="J563" s="98"/>
      <c r="K563" s="98"/>
      <c r="L563" s="98"/>
      <c r="M563" s="98"/>
      <c r="N563" s="98"/>
      <c r="O563" s="98"/>
      <c r="P563" s="96"/>
    </row>
    <row r="564" spans="1:16" ht="16.5" customHeight="1" thickTop="1" thickBot="1" x14ac:dyDescent="0.3">
      <c r="A564" s="95"/>
      <c r="B564" s="106"/>
      <c r="C564" s="107"/>
      <c r="D564" s="107"/>
      <c r="E564" s="107"/>
      <c r="F564" s="107"/>
      <c r="G564" s="107"/>
      <c r="H564" s="108"/>
      <c r="I564" s="108"/>
      <c r="J564" s="98"/>
      <c r="K564" s="98"/>
      <c r="L564" s="98"/>
      <c r="M564" s="98"/>
      <c r="N564" s="98"/>
      <c r="O564" s="98"/>
      <c r="P564" s="96"/>
    </row>
    <row r="565" spans="1:16" ht="16.5" customHeight="1" thickTop="1" thickBot="1" x14ac:dyDescent="0.3">
      <c r="A565" s="95"/>
      <c r="B565" s="106"/>
      <c r="C565" s="107"/>
      <c r="D565" s="107"/>
      <c r="E565" s="107"/>
      <c r="F565" s="107"/>
      <c r="G565" s="107"/>
      <c r="H565" s="108"/>
      <c r="I565" s="108"/>
      <c r="J565" s="98"/>
      <c r="K565" s="98"/>
      <c r="L565" s="98"/>
      <c r="M565" s="98"/>
      <c r="N565" s="98"/>
      <c r="O565" s="98"/>
      <c r="P565" s="96"/>
    </row>
    <row r="566" spans="1:16" ht="16.5" customHeight="1" thickTop="1" thickBot="1" x14ac:dyDescent="0.3">
      <c r="A566" s="95"/>
      <c r="B566" s="106"/>
      <c r="C566" s="107"/>
      <c r="D566" s="107"/>
      <c r="E566" s="107"/>
      <c r="F566" s="107"/>
      <c r="G566" s="107"/>
      <c r="H566" s="108"/>
      <c r="I566" s="108"/>
      <c r="J566" s="98"/>
      <c r="K566" s="98"/>
      <c r="L566" s="98"/>
      <c r="M566" s="98"/>
      <c r="N566" s="98"/>
      <c r="O566" s="98"/>
      <c r="P566" s="96"/>
    </row>
    <row r="567" spans="1:16" ht="16.5" customHeight="1" thickTop="1" thickBot="1" x14ac:dyDescent="0.3">
      <c r="A567" s="95"/>
      <c r="B567" s="106"/>
      <c r="C567" s="107"/>
      <c r="D567" s="107"/>
      <c r="E567" s="107"/>
      <c r="F567" s="107"/>
      <c r="G567" s="107"/>
      <c r="H567" s="108"/>
      <c r="I567" s="108"/>
      <c r="J567" s="98"/>
      <c r="K567" s="98"/>
      <c r="L567" s="98"/>
      <c r="M567" s="98"/>
      <c r="N567" s="98"/>
      <c r="O567" s="98"/>
      <c r="P567" s="96"/>
    </row>
    <row r="568" spans="1:16" ht="16.5" customHeight="1" thickTop="1" thickBot="1" x14ac:dyDescent="0.3">
      <c r="A568" s="95"/>
      <c r="B568" s="106"/>
      <c r="C568" s="107"/>
      <c r="D568" s="107"/>
      <c r="E568" s="107"/>
      <c r="F568" s="107"/>
      <c r="G568" s="107"/>
      <c r="H568" s="108"/>
      <c r="I568" s="108"/>
      <c r="J568" s="98"/>
      <c r="K568" s="98"/>
      <c r="L568" s="98"/>
      <c r="M568" s="98"/>
      <c r="N568" s="98"/>
      <c r="O568" s="98"/>
      <c r="P568" s="96"/>
    </row>
    <row r="569" spans="1:16" ht="15.75" customHeight="1" thickTop="1" x14ac:dyDescent="0.25">
      <c r="A569" s="95"/>
      <c r="B569" s="58"/>
      <c r="C569" s="58"/>
      <c r="D569" s="58"/>
      <c r="E569" s="58"/>
      <c r="F569" s="58"/>
      <c r="G569" s="114"/>
      <c r="H569" s="58"/>
      <c r="I569" s="58"/>
      <c r="J569" s="98"/>
      <c r="K569" s="98"/>
      <c r="L569" s="98"/>
      <c r="M569" s="98"/>
      <c r="N569" s="98"/>
      <c r="O569" s="98"/>
      <c r="P569" s="96"/>
    </row>
    <row r="570" spans="1:16" ht="15" customHeight="1" x14ac:dyDescent="0.25">
      <c r="A570" s="95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6"/>
    </row>
    <row r="571" spans="1:16" ht="15" customHeight="1" x14ac:dyDescent="0.25">
      <c r="A571" s="103" t="s">
        <v>177</v>
      </c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6"/>
    </row>
    <row r="572" spans="1:16" ht="15.75" customHeight="1" x14ac:dyDescent="0.25">
      <c r="A572" s="95"/>
      <c r="B572" s="58" t="s">
        <v>10</v>
      </c>
      <c r="C572" s="58" t="s">
        <v>178</v>
      </c>
      <c r="D572" s="58" t="s">
        <v>172</v>
      </c>
      <c r="E572" s="58" t="s">
        <v>179</v>
      </c>
      <c r="F572" s="58" t="s">
        <v>16</v>
      </c>
      <c r="G572" s="114" t="s">
        <v>17</v>
      </c>
      <c r="H572" s="114" t="s">
        <v>175</v>
      </c>
      <c r="I572" s="58" t="s">
        <v>180</v>
      </c>
      <c r="J572" s="58" t="s">
        <v>181</v>
      </c>
      <c r="K572" s="58" t="s">
        <v>182</v>
      </c>
      <c r="L572" s="115" t="s">
        <v>183</v>
      </c>
      <c r="M572" s="115" t="s">
        <v>184</v>
      </c>
      <c r="N572" s="115" t="s">
        <v>185</v>
      </c>
      <c r="O572" s="98"/>
      <c r="P572" s="96"/>
    </row>
    <row r="573" spans="1:16" ht="16.5" customHeight="1" thickBot="1" x14ac:dyDescent="0.3">
      <c r="A573" s="95"/>
      <c r="B573" s="116" t="s">
        <v>249</v>
      </c>
      <c r="C573" s="117" t="e">
        <f>VLOOKUP(B573,'Gebouwgegevens Allacker'!$J$5:$Q$83,3,0)</f>
        <v>#N/A</v>
      </c>
      <c r="D573" s="117" t="e">
        <f>VLOOKUP(B573,'Gebouwgegevens Allacker'!$J$5:$Q$83,4,0)</f>
        <v>#N/A</v>
      </c>
      <c r="E573" s="117" t="e">
        <f>VLOOKUP(B573,'Gebouwgegevens Allacker'!$J$5:$Q$83,5,0)</f>
        <v>#N/A</v>
      </c>
      <c r="F573" s="117" t="e">
        <f>VLOOKUP(B573,'Gebouwgegevens Allacker'!$J$5:$Q$83,7,0)</f>
        <v>#N/A</v>
      </c>
      <c r="G573" s="118" t="e">
        <f>VLOOKUP(B573,'Gebouwgegevens Allacker'!$J$5:$Q$83,8,0)</f>
        <v>#N/A</v>
      </c>
      <c r="H573" s="118" t="e">
        <f>N573/F573</f>
        <v>#N/A</v>
      </c>
      <c r="I573" s="117" t="e">
        <f>VLOOKUP(C573,'Gebouwgegevens Allacker'!$A$35:$F$46,6,0)</f>
        <v>#N/A</v>
      </c>
      <c r="J573" s="116">
        <v>6.11</v>
      </c>
      <c r="K573" s="116">
        <v>0.33</v>
      </c>
      <c r="L573" s="119" t="e">
        <f>I573/(0.5*J573)</f>
        <v>#N/A</v>
      </c>
      <c r="M573" s="119" t="e">
        <f>K573+2*(1/F573)</f>
        <v>#N/A</v>
      </c>
      <c r="N573" s="120" t="e">
        <f>IF(M573&lt;L573,2*2/(PI()*L573+M573)*LN(PI()*L573/M573+1),2/(0.457*L573+M573))</f>
        <v>#N/A</v>
      </c>
      <c r="O573" s="98"/>
      <c r="P573" s="96"/>
    </row>
    <row r="574" spans="1:16" ht="16.5" customHeight="1" thickTop="1" thickBot="1" x14ac:dyDescent="0.3">
      <c r="A574" s="95"/>
      <c r="B574" s="116"/>
      <c r="C574" s="117"/>
      <c r="D574" s="117"/>
      <c r="E574" s="117"/>
      <c r="F574" s="117"/>
      <c r="G574" s="118"/>
      <c r="H574" s="118"/>
      <c r="I574" s="117"/>
      <c r="J574" s="116"/>
      <c r="K574" s="116"/>
      <c r="L574" s="119"/>
      <c r="M574" s="119"/>
      <c r="N574" s="120"/>
      <c r="O574" s="98"/>
      <c r="P574" s="96"/>
    </row>
    <row r="575" spans="1:16" ht="16.5" customHeight="1" thickTop="1" thickBot="1" x14ac:dyDescent="0.3">
      <c r="A575" s="95"/>
      <c r="B575" s="116"/>
      <c r="C575" s="117"/>
      <c r="D575" s="117"/>
      <c r="E575" s="117"/>
      <c r="F575" s="117"/>
      <c r="G575" s="118"/>
      <c r="H575" s="118"/>
      <c r="I575" s="117"/>
      <c r="J575" s="116"/>
      <c r="K575" s="116"/>
      <c r="L575" s="119"/>
      <c r="M575" s="119"/>
      <c r="N575" s="120"/>
      <c r="O575" s="98"/>
      <c r="P575" s="96"/>
    </row>
    <row r="576" spans="1:16" ht="16.5" customHeight="1" thickTop="1" thickBot="1" x14ac:dyDescent="0.3">
      <c r="A576" s="95"/>
      <c r="B576" s="116"/>
      <c r="C576" s="117"/>
      <c r="D576" s="117"/>
      <c r="E576" s="117"/>
      <c r="F576" s="117"/>
      <c r="G576" s="118"/>
      <c r="H576" s="118"/>
      <c r="I576" s="117"/>
      <c r="J576" s="116"/>
      <c r="K576" s="116"/>
      <c r="L576" s="119"/>
      <c r="M576" s="119"/>
      <c r="N576" s="120"/>
      <c r="O576" s="98"/>
      <c r="P576" s="96"/>
    </row>
    <row r="577" spans="1:16" ht="16.5" customHeight="1" thickTop="1" thickBot="1" x14ac:dyDescent="0.3">
      <c r="A577" s="138"/>
      <c r="B577" s="116"/>
      <c r="C577" s="117"/>
      <c r="D577" s="117"/>
      <c r="E577" s="117"/>
      <c r="F577" s="117"/>
      <c r="G577" s="118"/>
      <c r="H577" s="118"/>
      <c r="I577" s="117"/>
      <c r="J577" s="116"/>
      <c r="K577" s="116"/>
      <c r="L577" s="119"/>
      <c r="M577" s="119"/>
      <c r="N577" s="120"/>
      <c r="O577" s="98"/>
      <c r="P577" s="96"/>
    </row>
    <row r="578" spans="1:16" ht="15.75" customHeight="1" thickTop="1" x14ac:dyDescent="0.25">
      <c r="A578" s="95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6"/>
    </row>
    <row r="579" spans="1:16" ht="15" customHeight="1" x14ac:dyDescent="0.25">
      <c r="A579" s="103" t="s">
        <v>186</v>
      </c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6"/>
    </row>
    <row r="580" spans="1:16" ht="15.75" customHeight="1" thickBot="1" x14ac:dyDescent="0.3">
      <c r="A580" s="95"/>
      <c r="B580" s="58" t="s">
        <v>10</v>
      </c>
      <c r="C580" s="58" t="s">
        <v>187</v>
      </c>
      <c r="D580" s="58" t="s">
        <v>188</v>
      </c>
      <c r="E580" s="58" t="s">
        <v>135</v>
      </c>
      <c r="F580" s="58" t="s">
        <v>189</v>
      </c>
      <c r="G580" s="58" t="s">
        <v>190</v>
      </c>
      <c r="H580" s="58" t="s">
        <v>191</v>
      </c>
      <c r="I580" s="58" t="s">
        <v>16</v>
      </c>
      <c r="J580" s="114" t="s">
        <v>17</v>
      </c>
      <c r="K580" s="114" t="s">
        <v>175</v>
      </c>
      <c r="L580" s="98"/>
      <c r="M580" s="98"/>
      <c r="N580" s="98"/>
      <c r="O580" s="98"/>
      <c r="P580" s="96"/>
    </row>
    <row r="581" spans="1:16" ht="16.5" customHeight="1" thickTop="1" thickBot="1" x14ac:dyDescent="0.3">
      <c r="A581" s="95"/>
      <c r="B581" s="116" t="s">
        <v>250</v>
      </c>
      <c r="C581" s="122" t="e">
        <f>IF(VLOOKUP(B581,'Gebouwgegevens Allacker'!$J$5:$Q$83,2,0)=$B$551,VLOOKUP(B581,'Gebouwgegevens Allacker'!$J$5:$Q$83,2,0),VLOOKUP(B581,'Gebouwgegevens Allacker'!$J$5:$Q$83,3,0))</f>
        <v>#N/A</v>
      </c>
      <c r="D581" s="122" t="e">
        <f>IF(VLOOKUP(B581,'Gebouwgegevens Allacker'!$J$5:$Q$83,2,0)=$B$551,VLOOKUP(B581,'Gebouwgegevens Allacker'!$J$5:$Q$83,3,0),VLOOKUP(B581,'Gebouwgegevens Allacker'!$J$5:$Q$83,2,0))</f>
        <v>#N/A</v>
      </c>
      <c r="E581" s="122" t="e">
        <f>VLOOKUP(B581,'Gebouwgegevens Allacker'!$J$5:$Q$83,4,0)</f>
        <v>#N/A</v>
      </c>
      <c r="F581" s="122" t="e">
        <f>VLOOKUP(B581,'Gebouwgegevens Allacker'!$J$5:$Q$83,5,0)</f>
        <v>#N/A</v>
      </c>
      <c r="G581" s="122" t="e">
        <f>VLOOKUP('Verwarming Tabula 2zone Ref 1'!C581,'Gebouwgegevens Allacker'!$A$35:$F$46,5,0)</f>
        <v>#N/A</v>
      </c>
      <c r="H581" s="122" t="e">
        <f>VLOOKUP('Verwarming Tabula 2zone Ref 1'!D581,'Gebouwgegevens Allacker'!$A$35:$F$46,5,0)</f>
        <v>#N/A</v>
      </c>
      <c r="I581" s="122" t="e">
        <f>VLOOKUP(B581,'Gebouwgegevens Allacker'!$J$5:$Q$83,7,0)</f>
        <v>#N/A</v>
      </c>
      <c r="J581" s="118" t="e">
        <f>VLOOKUP(B581,'Gebouwgegevens Allacker'!$J$5:$Q$83,8,0)</f>
        <v>#N/A</v>
      </c>
      <c r="K581" s="118" t="e">
        <f>(G581-H581)/(G581-$B$4)</f>
        <v>#N/A</v>
      </c>
      <c r="L581" s="98"/>
      <c r="M581" s="98"/>
      <c r="N581" s="98"/>
      <c r="O581" s="98"/>
      <c r="P581" s="96"/>
    </row>
    <row r="582" spans="1:16" ht="16.5" customHeight="1" thickTop="1" thickBot="1" x14ac:dyDescent="0.3">
      <c r="A582" s="95"/>
      <c r="B582" s="116" t="s">
        <v>224</v>
      </c>
      <c r="C582" s="122" t="e">
        <f>IF(VLOOKUP(B582,'Gebouwgegevens Allacker'!$J$5:$Q$83,2,0)=$B$551,VLOOKUP(B582,'Gebouwgegevens Allacker'!$J$5:$Q$83,2,0),VLOOKUP(B582,'Gebouwgegevens Allacker'!$J$5:$Q$83,3,0))</f>
        <v>#N/A</v>
      </c>
      <c r="D582" s="122" t="e">
        <f>IF(VLOOKUP(B582,'Gebouwgegevens Allacker'!$J$5:$Q$83,2,0)=$B$551,VLOOKUP(B582,'Gebouwgegevens Allacker'!$J$5:$Q$83,3,0),VLOOKUP(B582,'Gebouwgegevens Allacker'!$J$5:$Q$83,2,0))</f>
        <v>#N/A</v>
      </c>
      <c r="E582" s="122" t="e">
        <f>VLOOKUP(B582,'Gebouwgegevens Allacker'!$J$5:$Q$83,4,0)</f>
        <v>#N/A</v>
      </c>
      <c r="F582" s="122" t="e">
        <f>VLOOKUP(B582,'Gebouwgegevens Allacker'!$J$5:$Q$83,5,0)</f>
        <v>#N/A</v>
      </c>
      <c r="G582" s="122" t="e">
        <f>VLOOKUP('Verwarming Tabula 2zone Ref 1'!C582,'Gebouwgegevens Allacker'!$A$35:$F$46,5,0)</f>
        <v>#N/A</v>
      </c>
      <c r="H582" s="122" t="e">
        <f>VLOOKUP('Verwarming Tabula 2zone Ref 1'!D582,'Gebouwgegevens Allacker'!$A$35:$F$46,5,0)</f>
        <v>#N/A</v>
      </c>
      <c r="I582" s="122" t="e">
        <f>VLOOKUP(B582,'Gebouwgegevens Allacker'!$J$5:$Q$83,7,0)</f>
        <v>#N/A</v>
      </c>
      <c r="J582" s="118" t="e">
        <f>VLOOKUP(B582,'Gebouwgegevens Allacker'!$J$5:$Q$83,8,0)</f>
        <v>#N/A</v>
      </c>
      <c r="K582" s="118" t="e">
        <f>(G582-H582)/(G582-$B$4)</f>
        <v>#N/A</v>
      </c>
      <c r="L582" s="98"/>
      <c r="M582" s="98"/>
      <c r="N582" s="98"/>
      <c r="O582" s="98"/>
      <c r="P582" s="96"/>
    </row>
    <row r="583" spans="1:16" ht="16.5" customHeight="1" thickTop="1" thickBot="1" x14ac:dyDescent="0.3">
      <c r="A583" s="95"/>
      <c r="B583" s="116" t="s">
        <v>230</v>
      </c>
      <c r="C583" s="122" t="e">
        <f>IF(VLOOKUP(B583,'Gebouwgegevens Allacker'!$J$5:$Q$83,2,0)=$B$551,VLOOKUP(B583,'Gebouwgegevens Allacker'!$J$5:$Q$83,2,0),VLOOKUP(B583,'Gebouwgegevens Allacker'!$J$5:$Q$83,3,0))</f>
        <v>#N/A</v>
      </c>
      <c r="D583" s="122" t="e">
        <f>IF(VLOOKUP(B583,'Gebouwgegevens Allacker'!$J$5:$Q$83,2,0)=$B$551,VLOOKUP(B583,'Gebouwgegevens Allacker'!$J$5:$Q$83,3,0),VLOOKUP(B583,'Gebouwgegevens Allacker'!$J$5:$Q$83,2,0))</f>
        <v>#N/A</v>
      </c>
      <c r="E583" s="122" t="e">
        <f>VLOOKUP(B583,'Gebouwgegevens Allacker'!$J$5:$Q$83,4,0)</f>
        <v>#N/A</v>
      </c>
      <c r="F583" s="122" t="e">
        <f>VLOOKUP(B583,'Gebouwgegevens Allacker'!$J$5:$Q$83,5,0)</f>
        <v>#N/A</v>
      </c>
      <c r="G583" s="122" t="e">
        <f>VLOOKUP('Verwarming Tabula 2zone Ref 1'!C583,'Gebouwgegevens Allacker'!$A$35:$F$46,5,0)</f>
        <v>#N/A</v>
      </c>
      <c r="H583" s="122" t="e">
        <f>VLOOKUP('Verwarming Tabula 2zone Ref 1'!D583,'Gebouwgegevens Allacker'!$A$35:$F$46,5,0)</f>
        <v>#N/A</v>
      </c>
      <c r="I583" s="122" t="e">
        <f>VLOOKUP(B583,'Gebouwgegevens Allacker'!$J$5:$Q$83,7,0)</f>
        <v>#N/A</v>
      </c>
      <c r="J583" s="118" t="e">
        <f>VLOOKUP(B583,'Gebouwgegevens Allacker'!$J$5:$Q$83,8,0)</f>
        <v>#N/A</v>
      </c>
      <c r="K583" s="118" t="e">
        <f>(G583-H583)/(G583-$B$4)</f>
        <v>#N/A</v>
      </c>
      <c r="L583" s="98"/>
      <c r="M583" s="98"/>
      <c r="N583" s="98"/>
      <c r="O583" s="98"/>
      <c r="P583" s="96"/>
    </row>
    <row r="584" spans="1:16" ht="16.5" customHeight="1" thickTop="1" thickBot="1" x14ac:dyDescent="0.3">
      <c r="A584" s="95"/>
      <c r="B584" s="116"/>
      <c r="C584" s="122"/>
      <c r="D584" s="122"/>
      <c r="E584" s="122"/>
      <c r="F584" s="122"/>
      <c r="G584" s="122"/>
      <c r="H584" s="122"/>
      <c r="I584" s="122"/>
      <c r="J584" s="118"/>
      <c r="K584" s="118"/>
      <c r="L584" s="98"/>
      <c r="M584" s="98"/>
      <c r="N584" s="98"/>
      <c r="O584" s="98"/>
      <c r="P584" s="96"/>
    </row>
    <row r="585" spans="1:16" ht="16.5" customHeight="1" thickTop="1" thickBot="1" x14ac:dyDescent="0.3">
      <c r="A585" s="95"/>
      <c r="B585" s="145"/>
      <c r="C585" s="122"/>
      <c r="D585" s="122"/>
      <c r="E585" s="122"/>
      <c r="F585" s="122"/>
      <c r="G585" s="122"/>
      <c r="H585" s="122"/>
      <c r="I585" s="122"/>
      <c r="J585" s="118"/>
      <c r="K585" s="118"/>
      <c r="L585" s="98"/>
      <c r="M585" s="98"/>
      <c r="N585" s="98"/>
      <c r="O585" s="98"/>
      <c r="P585" s="96"/>
    </row>
    <row r="586" spans="1:16" ht="16.5" customHeight="1" thickTop="1" thickBot="1" x14ac:dyDescent="0.3">
      <c r="A586" s="95"/>
      <c r="B586" s="123"/>
      <c r="C586" s="139"/>
      <c r="D586" s="122"/>
      <c r="E586" s="122"/>
      <c r="F586" s="122"/>
      <c r="G586" s="122"/>
      <c r="H586" s="122"/>
      <c r="I586" s="122"/>
      <c r="J586" s="118"/>
      <c r="K586" s="118"/>
      <c r="L586" s="98"/>
      <c r="M586" s="98"/>
      <c r="N586" s="98"/>
      <c r="O586" s="98"/>
      <c r="P586" s="96"/>
    </row>
    <row r="587" spans="1:16" ht="16.5" customHeight="1" thickTop="1" thickBot="1" x14ac:dyDescent="0.3">
      <c r="A587" s="95"/>
      <c r="B587" s="123"/>
      <c r="C587" s="139"/>
      <c r="D587" s="122"/>
      <c r="E587" s="122"/>
      <c r="F587" s="122"/>
      <c r="G587" s="122"/>
      <c r="H587" s="122"/>
      <c r="I587" s="122"/>
      <c r="J587" s="118"/>
      <c r="K587" s="118"/>
      <c r="L587" s="98"/>
      <c r="M587" s="98"/>
      <c r="N587" s="98"/>
      <c r="O587" s="98"/>
      <c r="P587" s="96"/>
    </row>
    <row r="588" spans="1:16" ht="16.5" customHeight="1" thickTop="1" thickBot="1" x14ac:dyDescent="0.3">
      <c r="A588" s="95"/>
      <c r="B588" s="123"/>
      <c r="C588" s="139"/>
      <c r="D588" s="122"/>
      <c r="E588" s="122"/>
      <c r="F588" s="122"/>
      <c r="G588" s="122"/>
      <c r="H588" s="122"/>
      <c r="I588" s="122"/>
      <c r="J588" s="118"/>
      <c r="K588" s="118"/>
      <c r="L588" s="98"/>
      <c r="M588" s="98"/>
      <c r="N588" s="98"/>
      <c r="O588" s="98"/>
      <c r="P588" s="96"/>
    </row>
    <row r="589" spans="1:16" ht="16.5" customHeight="1" thickTop="1" thickBot="1" x14ac:dyDescent="0.3">
      <c r="A589" s="95"/>
      <c r="B589" s="123"/>
      <c r="C589" s="139"/>
      <c r="D589" s="122"/>
      <c r="E589" s="122"/>
      <c r="F589" s="122"/>
      <c r="G589" s="122"/>
      <c r="H589" s="122"/>
      <c r="I589" s="122"/>
      <c r="J589" s="118"/>
      <c r="K589" s="118"/>
      <c r="L589" s="98"/>
      <c r="M589" s="98"/>
      <c r="N589" s="98"/>
      <c r="O589" s="98"/>
      <c r="P589" s="96"/>
    </row>
    <row r="590" spans="1:16" ht="16.5" customHeight="1" thickTop="1" thickBot="1" x14ac:dyDescent="0.3">
      <c r="A590" s="95"/>
      <c r="B590" s="123"/>
      <c r="C590" s="139"/>
      <c r="D590" s="122"/>
      <c r="E590" s="122"/>
      <c r="F590" s="122"/>
      <c r="G590" s="122"/>
      <c r="H590" s="122"/>
      <c r="I590" s="122"/>
      <c r="J590" s="118"/>
      <c r="K590" s="118"/>
      <c r="L590" s="98"/>
      <c r="M590" s="98"/>
      <c r="N590" s="98"/>
      <c r="O590" s="98"/>
      <c r="P590" s="96"/>
    </row>
    <row r="591" spans="1:16" ht="15.75" customHeight="1" thickTop="1" x14ac:dyDescent="0.25">
      <c r="A591" s="95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8"/>
      <c r="M591" s="98"/>
      <c r="N591" s="98"/>
      <c r="O591" s="98"/>
      <c r="P591" s="96"/>
    </row>
    <row r="592" spans="1:16" ht="15" customHeight="1" x14ac:dyDescent="0.25">
      <c r="A592" s="95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6"/>
    </row>
    <row r="593" spans="1:16" ht="15.75" customHeight="1" x14ac:dyDescent="0.25">
      <c r="A593" s="103" t="s">
        <v>192</v>
      </c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6"/>
    </row>
    <row r="594" spans="1:16" ht="16.5" customHeight="1" x14ac:dyDescent="0.25">
      <c r="A594" s="124" t="s">
        <v>193</v>
      </c>
      <c r="B594" s="118" t="e">
        <f>SUMPRODUCT(H557:H568,I557:I568)+SUMPRODUCT(G573:G577,H573:H577)+SUMPRODUCT(J581:J590,K581:K590)</f>
        <v>#N/A</v>
      </c>
      <c r="C594" s="118" t="s">
        <v>107</v>
      </c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6"/>
    </row>
    <row r="595" spans="1:16" ht="16.5" customHeight="1" x14ac:dyDescent="0.25">
      <c r="A595" s="124" t="s">
        <v>167</v>
      </c>
      <c r="B595" s="118" t="e">
        <f>B594*(G581-$B$4)</f>
        <v>#N/A</v>
      </c>
      <c r="C595" s="118" t="s">
        <v>169</v>
      </c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6"/>
    </row>
    <row r="596" spans="1:16" ht="15.75" customHeight="1" thickBot="1" x14ac:dyDescent="0.3">
      <c r="A596" s="109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1"/>
    </row>
    <row r="597" spans="1:16" ht="15.75" customHeight="1" thickTop="1" x14ac:dyDescent="0.25">
      <c r="A597" s="343" t="s">
        <v>194</v>
      </c>
      <c r="B597" s="343"/>
      <c r="C597" s="343"/>
      <c r="D597" s="125" t="s">
        <v>222</v>
      </c>
      <c r="E597" s="299"/>
      <c r="F597" s="299"/>
      <c r="G597" s="299"/>
      <c r="H597" s="299"/>
      <c r="I597" s="299"/>
      <c r="J597" s="299"/>
      <c r="K597" s="299"/>
      <c r="L597" s="299"/>
      <c r="M597" s="299"/>
      <c r="N597" s="299"/>
      <c r="O597" s="299"/>
      <c r="P597" s="94"/>
    </row>
    <row r="598" spans="1:16" ht="15" customHeight="1" x14ac:dyDescent="0.25">
      <c r="A598" s="95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6"/>
    </row>
    <row r="599" spans="1:16" ht="15" customHeight="1" thickBot="1" x14ac:dyDescent="0.3">
      <c r="A599" s="126" t="s">
        <v>195</v>
      </c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6"/>
    </row>
    <row r="600" spans="1:16" ht="15" customHeight="1" thickTop="1" thickBot="1" x14ac:dyDescent="0.3">
      <c r="A600" s="127" t="s">
        <v>196</v>
      </c>
      <c r="B600" s="121">
        <v>8</v>
      </c>
      <c r="C600" s="120" t="s">
        <v>197</v>
      </c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6"/>
    </row>
    <row r="601" spans="1:16" ht="15" customHeight="1" thickTop="1" thickBot="1" x14ac:dyDescent="0.3">
      <c r="A601" s="127" t="s">
        <v>198</v>
      </c>
      <c r="B601" s="121">
        <v>0.03</v>
      </c>
      <c r="C601" s="120" t="s">
        <v>199</v>
      </c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6"/>
    </row>
    <row r="602" spans="1:16" ht="15.75" customHeight="1" thickTop="1" thickBot="1" x14ac:dyDescent="0.3">
      <c r="A602" s="127" t="s">
        <v>200</v>
      </c>
      <c r="B602" s="121">
        <v>1</v>
      </c>
      <c r="C602" s="120" t="s">
        <v>201</v>
      </c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6"/>
    </row>
    <row r="603" spans="1:16" ht="16.5" customHeight="1" thickTop="1" x14ac:dyDescent="0.25">
      <c r="A603" s="124" t="s">
        <v>202</v>
      </c>
      <c r="B603" s="118" t="e">
        <f>2*VLOOKUP(B551,'Gebouwgegevens Allacker'!$A$35:$F$46,6,0)*B600*B601*B602</f>
        <v>#N/A</v>
      </c>
      <c r="C603" s="118" t="s">
        <v>203</v>
      </c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6"/>
    </row>
    <row r="604" spans="1:16" ht="15.75" customHeight="1" x14ac:dyDescent="0.25">
      <c r="A604" s="138"/>
      <c r="B604" s="58"/>
      <c r="C604" s="5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6"/>
    </row>
    <row r="605" spans="1:16" ht="15" customHeight="1" x14ac:dyDescent="0.25">
      <c r="A605" s="146" t="s">
        <v>204</v>
      </c>
      <c r="B605" s="58"/>
      <c r="C605" s="5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6"/>
    </row>
    <row r="606" spans="1:16" ht="15.75" customHeight="1" x14ac:dyDescent="0.25">
      <c r="A606" s="138" t="s">
        <v>180</v>
      </c>
      <c r="B606" s="58" t="e">
        <f>VLOOKUP(B551,'Gebouwgegevens Allacker'!$A$35:$F$46,6,0)</f>
        <v>#N/A</v>
      </c>
      <c r="C606" s="5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6"/>
    </row>
    <row r="607" spans="1:16" ht="16.5" customHeight="1" x14ac:dyDescent="0.25">
      <c r="A607" s="124" t="s">
        <v>205</v>
      </c>
      <c r="B607" s="128" t="e">
        <f>B606*3.6</f>
        <v>#N/A</v>
      </c>
      <c r="C607" s="118" t="s">
        <v>203</v>
      </c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6"/>
    </row>
    <row r="608" spans="1:16" ht="15.75" customHeight="1" x14ac:dyDescent="0.25">
      <c r="A608" s="138"/>
      <c r="B608" s="58"/>
      <c r="C608" s="5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6"/>
    </row>
    <row r="609" spans="1:16" ht="15.75" customHeight="1" x14ac:dyDescent="0.25">
      <c r="A609" s="138"/>
      <c r="B609" s="58"/>
      <c r="C609" s="5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6"/>
    </row>
    <row r="610" spans="1:16" ht="16.5" customHeight="1" x14ac:dyDescent="0.25">
      <c r="A610" s="124" t="s">
        <v>207</v>
      </c>
      <c r="B610" s="118" t="e">
        <f>MAX(B603,B607)</f>
        <v>#N/A</v>
      </c>
      <c r="C610" s="118" t="s">
        <v>203</v>
      </c>
      <c r="D610" s="98"/>
      <c r="E610" s="98"/>
      <c r="F610" s="118" t="s">
        <v>208</v>
      </c>
      <c r="G610" s="118" t="e">
        <f>B610/VLOOKUP(B551,'Gebouwgegevens Allacker'!$A$35:$B$46,2,0)</f>
        <v>#N/A</v>
      </c>
      <c r="H610" s="98"/>
      <c r="I610" s="98"/>
      <c r="J610" s="98"/>
      <c r="K610" s="98"/>
      <c r="L610" s="98"/>
      <c r="M610" s="98"/>
      <c r="N610" s="98"/>
      <c r="O610" s="98"/>
      <c r="P610" s="96"/>
    </row>
    <row r="611" spans="1:16" ht="16.5" customHeight="1" x14ac:dyDescent="0.25">
      <c r="A611" s="138"/>
      <c r="B611" s="58"/>
      <c r="C611" s="5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6"/>
    </row>
    <row r="612" spans="1:16" ht="16.5" customHeight="1" x14ac:dyDescent="0.25">
      <c r="A612" s="124" t="s">
        <v>209</v>
      </c>
      <c r="B612" s="118" t="e">
        <f>0.34*B610</f>
        <v>#N/A</v>
      </c>
      <c r="C612" s="118" t="s">
        <v>107</v>
      </c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6"/>
    </row>
    <row r="613" spans="1:16" ht="16.5" customHeight="1" x14ac:dyDescent="0.25">
      <c r="A613" s="124" t="s">
        <v>167</v>
      </c>
      <c r="B613" s="118" t="e">
        <f>B612*('Gebouwgegevens Allacker'!E573-$B$4)</f>
        <v>#N/A</v>
      </c>
      <c r="C613" s="118" t="s">
        <v>169</v>
      </c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6"/>
    </row>
    <row r="614" spans="1:16" ht="15.75" customHeight="1" thickBot="1" x14ac:dyDescent="0.3">
      <c r="A614" s="140"/>
      <c r="B614" s="141"/>
      <c r="C614" s="141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1"/>
    </row>
    <row r="615" spans="1:16" ht="15.75" customHeight="1" thickTop="1" x14ac:dyDescent="0.25">
      <c r="A615" s="343" t="s">
        <v>210</v>
      </c>
      <c r="B615" s="343"/>
      <c r="C615" s="343"/>
      <c r="D615" s="343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6"/>
    </row>
    <row r="616" spans="1:16" ht="15" customHeight="1" thickBot="1" x14ac:dyDescent="0.3">
      <c r="A616" s="95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6"/>
    </row>
    <row r="617" spans="1:16" ht="15" customHeight="1" thickTop="1" thickBot="1" x14ac:dyDescent="0.3">
      <c r="A617" s="127" t="s">
        <v>211</v>
      </c>
      <c r="B617" s="121">
        <v>45</v>
      </c>
      <c r="C617" s="58" t="s">
        <v>232</v>
      </c>
      <c r="D617" s="5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6"/>
    </row>
    <row r="618" spans="1:16" ht="15.75" customHeight="1" thickTop="1" x14ac:dyDescent="0.25">
      <c r="A618" s="3" t="s">
        <v>113</v>
      </c>
      <c r="B618" s="58" t="e">
        <f>VLOOKUP(B551,'Gebouwgegevens Allacker'!$A$35:$F$46,6,0)</f>
        <v>#N/A</v>
      </c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6"/>
    </row>
    <row r="619" spans="1:16" ht="16.5" customHeight="1" x14ac:dyDescent="0.25">
      <c r="A619" s="124" t="s">
        <v>213</v>
      </c>
      <c r="B619" s="118" t="e">
        <f>B620/('Gebouwgegevens Allacker'!E573-'Verwarming Tabula 2zone Ref 1'!$B$4)</f>
        <v>#N/A</v>
      </c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6"/>
    </row>
    <row r="620" spans="1:16" ht="16.5" customHeight="1" x14ac:dyDescent="0.25">
      <c r="A620" s="124" t="s">
        <v>167</v>
      </c>
      <c r="B620" s="118" t="e">
        <f>B617*B618</f>
        <v>#N/A</v>
      </c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6"/>
    </row>
    <row r="621" spans="1:16" ht="15.75" customHeight="1" x14ac:dyDescent="0.25">
      <c r="A621" s="95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6"/>
    </row>
    <row r="622" spans="1:16" ht="15.75" customHeight="1" thickBot="1" x14ac:dyDescent="0.3">
      <c r="A622" s="95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6"/>
    </row>
    <row r="623" spans="1:16" ht="15.75" customHeight="1" thickTop="1" thickBot="1" x14ac:dyDescent="0.3">
      <c r="A623" s="129" t="s">
        <v>214</v>
      </c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1"/>
    </row>
    <row r="624" spans="1:16" ht="16.5" customHeight="1" thickTop="1" x14ac:dyDescent="0.25">
      <c r="A624" s="124" t="s">
        <v>215</v>
      </c>
      <c r="B624" s="118" t="e">
        <f>SUM(B594,B612,B619)</f>
        <v>#N/A</v>
      </c>
      <c r="C624" s="118" t="s">
        <v>107</v>
      </c>
      <c r="D624" s="132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  <c r="O624" s="132"/>
      <c r="P624" s="133"/>
    </row>
    <row r="625" spans="1:16" ht="16.5" customHeight="1" x14ac:dyDescent="0.25">
      <c r="A625" s="124" t="s">
        <v>167</v>
      </c>
      <c r="B625" s="118" t="e">
        <f>SUM(B595,B613,B620)</f>
        <v>#N/A</v>
      </c>
      <c r="C625" s="118" t="s">
        <v>169</v>
      </c>
      <c r="D625" s="132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  <c r="O625" s="132"/>
      <c r="P625" s="133"/>
    </row>
    <row r="626" spans="1:16" ht="16.5" customHeight="1" thickBot="1" x14ac:dyDescent="0.3">
      <c r="A626" s="134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6"/>
    </row>
    <row r="627" spans="1:16" ht="15" customHeight="1" thickTop="1" x14ac:dyDescent="0.25">
      <c r="A627" s="137"/>
      <c r="B627" s="137"/>
      <c r="C627" s="137"/>
      <c r="D627" s="137"/>
      <c r="E627" s="137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</row>
    <row r="628" spans="1:16" ht="15.75" customHeight="1" thickBot="1" x14ac:dyDescent="0.3">
      <c r="A628" s="137"/>
      <c r="B628" s="137"/>
      <c r="C628" s="137"/>
      <c r="D628" s="137"/>
      <c r="E628" s="137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</row>
    <row r="629" spans="1:16" ht="15" customHeight="1" thickTop="1" thickBot="1" x14ac:dyDescent="0.3">
      <c r="A629" s="93"/>
      <c r="B629" s="299"/>
      <c r="C629" s="299"/>
      <c r="D629" s="299"/>
      <c r="E629" s="299"/>
      <c r="F629" s="299"/>
      <c r="G629" s="299"/>
      <c r="H629" s="299"/>
      <c r="I629" s="299"/>
      <c r="J629" s="299"/>
      <c r="K629" s="299"/>
      <c r="L629" s="299"/>
      <c r="M629" s="299"/>
      <c r="N629" s="299"/>
      <c r="O629" s="299"/>
      <c r="P629" s="94"/>
    </row>
    <row r="630" spans="1:16" ht="17.25" customHeight="1" thickTop="1" thickBot="1" x14ac:dyDescent="0.35">
      <c r="A630" s="97" t="s">
        <v>166</v>
      </c>
      <c r="B630" s="92">
        <v>9</v>
      </c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6"/>
    </row>
    <row r="631" spans="1:16" ht="15.75" customHeight="1" thickTop="1" x14ac:dyDescent="0.25">
      <c r="A631" s="343" t="s">
        <v>168</v>
      </c>
      <c r="B631" s="343"/>
      <c r="C631" s="343"/>
      <c r="D631" s="343"/>
      <c r="E631" s="299"/>
      <c r="F631" s="299"/>
      <c r="G631" s="299"/>
      <c r="H631" s="299"/>
      <c r="I631" s="299"/>
      <c r="J631" s="299"/>
      <c r="K631" s="299"/>
      <c r="L631" s="299"/>
      <c r="M631" s="299"/>
      <c r="N631" s="299"/>
      <c r="O631" s="299"/>
      <c r="P631" s="94"/>
    </row>
    <row r="632" spans="1:16" ht="15" customHeight="1" x14ac:dyDescent="0.25">
      <c r="A632" s="95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6"/>
    </row>
    <row r="633" spans="1:16" ht="15" customHeight="1" x14ac:dyDescent="0.25">
      <c r="A633" s="103" t="s">
        <v>170</v>
      </c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6"/>
    </row>
    <row r="634" spans="1:16" ht="15" customHeight="1" x14ac:dyDescent="0.25">
      <c r="A634" s="95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6"/>
    </row>
    <row r="635" spans="1:16" ht="15.75" customHeight="1" thickBot="1" x14ac:dyDescent="0.3">
      <c r="A635" s="95"/>
      <c r="B635" s="104" t="s">
        <v>10</v>
      </c>
      <c r="C635" s="104" t="s">
        <v>171</v>
      </c>
      <c r="D635" s="104" t="s">
        <v>172</v>
      </c>
      <c r="E635" s="104" t="s">
        <v>173</v>
      </c>
      <c r="F635" s="104" t="s">
        <v>174</v>
      </c>
      <c r="G635" s="104" t="s">
        <v>16</v>
      </c>
      <c r="H635" s="105" t="s">
        <v>17</v>
      </c>
      <c r="I635" s="105" t="s">
        <v>175</v>
      </c>
      <c r="J635" s="98"/>
      <c r="K635" s="98"/>
      <c r="L635" s="98"/>
      <c r="M635" s="98"/>
      <c r="N635" s="98"/>
      <c r="O635" s="98"/>
      <c r="P635" s="96"/>
    </row>
    <row r="636" spans="1:16" ht="16.5" customHeight="1" thickTop="1" thickBot="1" x14ac:dyDescent="0.3">
      <c r="A636" s="95"/>
      <c r="B636" s="106" t="s">
        <v>251</v>
      </c>
      <c r="C636" s="107" t="e">
        <f>VLOOKUP(B636,'Gebouwgegevens Allacker'!$J$5:$Q$83,3,0)</f>
        <v>#N/A</v>
      </c>
      <c r="D636" s="107" t="e">
        <f>VLOOKUP(B636,'Gebouwgegevens Allacker'!$J$5:$Q$83,4,0)</f>
        <v>#N/A</v>
      </c>
      <c r="E636" s="107" t="e">
        <f>VLOOKUP(B636,'Gebouwgegevens Allacker'!$J$5:$Q$83,5,0)</f>
        <v>#N/A</v>
      </c>
      <c r="F636" s="107" t="e">
        <f>VLOOKUP(B636,'Gebouwgegevens Allacker'!$J$5:$Q$83,6,0)</f>
        <v>#N/A</v>
      </c>
      <c r="G636" s="107" t="e">
        <f>VLOOKUP(B636,'Gebouwgegevens Allacker'!$J$5:$Q$83,7,0)</f>
        <v>#N/A</v>
      </c>
      <c r="H636" s="108" t="e">
        <f>VLOOKUP(B636,'Gebouwgegevens Allacker'!$J$5:$Q$83,8,0)</f>
        <v>#N/A</v>
      </c>
      <c r="I636" s="108">
        <v>1</v>
      </c>
      <c r="J636" s="98"/>
      <c r="K636" s="98"/>
      <c r="L636" s="98"/>
      <c r="M636" s="98"/>
      <c r="N636" s="98"/>
      <c r="O636" s="98"/>
      <c r="P636" s="96"/>
    </row>
    <row r="637" spans="1:16" ht="16.5" customHeight="1" thickTop="1" thickBot="1" x14ac:dyDescent="0.3">
      <c r="A637" s="95"/>
      <c r="B637" s="106" t="s">
        <v>252</v>
      </c>
      <c r="C637" s="107" t="e">
        <f>VLOOKUP(B637,'Gebouwgegevens Allacker'!$J$5:$Q$83,3,0)</f>
        <v>#N/A</v>
      </c>
      <c r="D637" s="107" t="e">
        <f>VLOOKUP(B637,'Gebouwgegevens Allacker'!$J$5:$Q$83,4,0)</f>
        <v>#N/A</v>
      </c>
      <c r="E637" s="107" t="e">
        <f>VLOOKUP(B637,'Gebouwgegevens Allacker'!$J$5:$Q$83,5,0)</f>
        <v>#N/A</v>
      </c>
      <c r="F637" s="107" t="e">
        <f>VLOOKUP(B637,'Gebouwgegevens Allacker'!$J$5:$Q$83,6,0)</f>
        <v>#N/A</v>
      </c>
      <c r="G637" s="107" t="e">
        <f>VLOOKUP(B637,'Gebouwgegevens Allacker'!$J$5:$Q$83,7,0)</f>
        <v>#N/A</v>
      </c>
      <c r="H637" s="108" t="e">
        <f>VLOOKUP(B637,'Gebouwgegevens Allacker'!$J$5:$Q$83,8,0)</f>
        <v>#N/A</v>
      </c>
      <c r="I637" s="108">
        <v>1</v>
      </c>
      <c r="J637" s="98"/>
      <c r="K637" s="98"/>
      <c r="L637" s="98"/>
      <c r="M637" s="98"/>
      <c r="N637" s="98"/>
      <c r="O637" s="98"/>
      <c r="P637" s="96"/>
    </row>
    <row r="638" spans="1:16" ht="16.5" customHeight="1" thickTop="1" thickBot="1" x14ac:dyDescent="0.3">
      <c r="A638" s="95"/>
      <c r="B638" s="106"/>
      <c r="C638" s="107"/>
      <c r="D638" s="107"/>
      <c r="E638" s="107"/>
      <c r="F638" s="107"/>
      <c r="G638" s="107"/>
      <c r="H638" s="108"/>
      <c r="I638" s="108"/>
      <c r="J638" s="98"/>
      <c r="K638" s="98"/>
      <c r="L638" s="98"/>
      <c r="M638" s="98"/>
      <c r="N638" s="98"/>
      <c r="O638" s="98"/>
      <c r="P638" s="96"/>
    </row>
    <row r="639" spans="1:16" ht="16.5" customHeight="1" thickTop="1" thickBot="1" x14ac:dyDescent="0.3">
      <c r="A639" s="95"/>
      <c r="B639" s="106"/>
      <c r="C639" s="107"/>
      <c r="D639" s="107"/>
      <c r="E639" s="107"/>
      <c r="F639" s="107"/>
      <c r="G639" s="107"/>
      <c r="H639" s="108"/>
      <c r="I639" s="108"/>
      <c r="J639" s="98"/>
      <c r="K639" s="98"/>
      <c r="L639" s="98"/>
      <c r="M639" s="98"/>
      <c r="N639" s="98"/>
      <c r="O639" s="98"/>
      <c r="P639" s="96"/>
    </row>
    <row r="640" spans="1:16" ht="16.5" customHeight="1" thickTop="1" thickBot="1" x14ac:dyDescent="0.3">
      <c r="A640" s="95"/>
      <c r="B640" s="106"/>
      <c r="C640" s="107"/>
      <c r="D640" s="107"/>
      <c r="E640" s="107"/>
      <c r="F640" s="107"/>
      <c r="G640" s="107"/>
      <c r="H640" s="108"/>
      <c r="I640" s="108"/>
      <c r="J640" s="98"/>
      <c r="K640" s="98"/>
      <c r="L640" s="98"/>
      <c r="M640" s="98"/>
      <c r="N640" s="98"/>
      <c r="O640" s="98"/>
      <c r="P640" s="96"/>
    </row>
    <row r="641" spans="1:16" ht="16.5" customHeight="1" thickTop="1" thickBot="1" x14ac:dyDescent="0.3">
      <c r="A641" s="95"/>
      <c r="B641" s="106"/>
      <c r="C641" s="107"/>
      <c r="D641" s="107"/>
      <c r="E641" s="107"/>
      <c r="F641" s="107"/>
      <c r="G641" s="107"/>
      <c r="H641" s="108"/>
      <c r="I641" s="108"/>
      <c r="J641" s="98"/>
      <c r="K641" s="98"/>
      <c r="L641" s="98"/>
      <c r="M641" s="98"/>
      <c r="N641" s="98"/>
      <c r="O641" s="98"/>
      <c r="P641" s="96"/>
    </row>
    <row r="642" spans="1:16" ht="16.5" customHeight="1" thickTop="1" thickBot="1" x14ac:dyDescent="0.3">
      <c r="A642" s="95"/>
      <c r="B642" s="106"/>
      <c r="C642" s="107"/>
      <c r="D642" s="107"/>
      <c r="E642" s="107"/>
      <c r="F642" s="107"/>
      <c r="G642" s="107"/>
      <c r="H642" s="108"/>
      <c r="I642" s="108"/>
      <c r="J642" s="98"/>
      <c r="K642" s="98"/>
      <c r="L642" s="98"/>
      <c r="M642" s="98"/>
      <c r="N642" s="98"/>
      <c r="O642" s="98"/>
      <c r="P642" s="96"/>
    </row>
    <row r="643" spans="1:16" ht="16.5" customHeight="1" thickTop="1" thickBot="1" x14ac:dyDescent="0.3">
      <c r="A643" s="95"/>
      <c r="B643" s="106"/>
      <c r="C643" s="107"/>
      <c r="D643" s="107"/>
      <c r="E643" s="107"/>
      <c r="F643" s="107"/>
      <c r="G643" s="107"/>
      <c r="H643" s="108"/>
      <c r="I643" s="108"/>
      <c r="J643" s="98"/>
      <c r="K643" s="98"/>
      <c r="L643" s="98"/>
      <c r="M643" s="98"/>
      <c r="N643" s="98"/>
      <c r="O643" s="98"/>
      <c r="P643" s="96"/>
    </row>
    <row r="644" spans="1:16" ht="16.5" customHeight="1" thickTop="1" thickBot="1" x14ac:dyDescent="0.3">
      <c r="A644" s="95"/>
      <c r="B644" s="106"/>
      <c r="C644" s="107"/>
      <c r="D644" s="107"/>
      <c r="E644" s="107"/>
      <c r="F644" s="107"/>
      <c r="G644" s="107"/>
      <c r="H644" s="108"/>
      <c r="I644" s="108"/>
      <c r="J644" s="98"/>
      <c r="K644" s="98"/>
      <c r="L644" s="98"/>
      <c r="M644" s="98"/>
      <c r="N644" s="98"/>
      <c r="O644" s="98"/>
      <c r="P644" s="96"/>
    </row>
    <row r="645" spans="1:16" ht="16.5" customHeight="1" thickTop="1" thickBot="1" x14ac:dyDescent="0.3">
      <c r="A645" s="95"/>
      <c r="B645" s="106"/>
      <c r="C645" s="107"/>
      <c r="D645" s="107"/>
      <c r="E645" s="107"/>
      <c r="F645" s="107"/>
      <c r="G645" s="107"/>
      <c r="H645" s="108"/>
      <c r="I645" s="108"/>
      <c r="J645" s="98"/>
      <c r="K645" s="98"/>
      <c r="L645" s="98"/>
      <c r="M645" s="98"/>
      <c r="N645" s="98"/>
      <c r="O645" s="98"/>
      <c r="P645" s="96"/>
    </row>
    <row r="646" spans="1:16" ht="16.5" customHeight="1" thickTop="1" thickBot="1" x14ac:dyDescent="0.3">
      <c r="A646" s="95"/>
      <c r="B646" s="106"/>
      <c r="C646" s="107"/>
      <c r="D646" s="107"/>
      <c r="E646" s="107"/>
      <c r="F646" s="107"/>
      <c r="G646" s="107"/>
      <c r="H646" s="108"/>
      <c r="I646" s="108"/>
      <c r="J646" s="98"/>
      <c r="K646" s="98"/>
      <c r="L646" s="98"/>
      <c r="M646" s="98"/>
      <c r="N646" s="98"/>
      <c r="O646" s="98"/>
      <c r="P646" s="96"/>
    </row>
    <row r="647" spans="1:16" ht="16.5" customHeight="1" thickTop="1" thickBot="1" x14ac:dyDescent="0.3">
      <c r="A647" s="95"/>
      <c r="B647" s="106"/>
      <c r="C647" s="107"/>
      <c r="D647" s="107"/>
      <c r="E647" s="107"/>
      <c r="F647" s="107"/>
      <c r="G647" s="107"/>
      <c r="H647" s="108"/>
      <c r="I647" s="108"/>
      <c r="J647" s="98"/>
      <c r="K647" s="98"/>
      <c r="L647" s="98"/>
      <c r="M647" s="98"/>
      <c r="N647" s="98"/>
      <c r="O647" s="98"/>
      <c r="P647" s="96"/>
    </row>
    <row r="648" spans="1:16" ht="15.75" customHeight="1" thickTop="1" x14ac:dyDescent="0.25">
      <c r="A648" s="95"/>
      <c r="B648" s="58"/>
      <c r="C648" s="58"/>
      <c r="D648" s="58"/>
      <c r="E648" s="58"/>
      <c r="F648" s="58"/>
      <c r="G648" s="114"/>
      <c r="H648" s="58"/>
      <c r="I648" s="58"/>
      <c r="J648" s="98"/>
      <c r="K648" s="98"/>
      <c r="L648" s="98"/>
      <c r="M648" s="98"/>
      <c r="N648" s="98"/>
      <c r="O648" s="98"/>
      <c r="P648" s="96"/>
    </row>
    <row r="649" spans="1:16" ht="15" customHeight="1" x14ac:dyDescent="0.25">
      <c r="A649" s="95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6"/>
    </row>
    <row r="650" spans="1:16" ht="15" customHeight="1" x14ac:dyDescent="0.25">
      <c r="A650" s="103" t="s">
        <v>177</v>
      </c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6"/>
    </row>
    <row r="651" spans="1:16" ht="15.75" customHeight="1" x14ac:dyDescent="0.25">
      <c r="A651" s="95"/>
      <c r="B651" s="58" t="s">
        <v>10</v>
      </c>
      <c r="C651" s="58" t="s">
        <v>178</v>
      </c>
      <c r="D651" s="58" t="s">
        <v>172</v>
      </c>
      <c r="E651" s="58" t="s">
        <v>179</v>
      </c>
      <c r="F651" s="58" t="s">
        <v>16</v>
      </c>
      <c r="G651" s="114" t="s">
        <v>17</v>
      </c>
      <c r="H651" s="114" t="s">
        <v>175</v>
      </c>
      <c r="I651" s="58" t="s">
        <v>180</v>
      </c>
      <c r="J651" s="58" t="s">
        <v>181</v>
      </c>
      <c r="K651" s="58" t="s">
        <v>182</v>
      </c>
      <c r="L651" s="115" t="s">
        <v>183</v>
      </c>
      <c r="M651" s="115" t="s">
        <v>184</v>
      </c>
      <c r="N651" s="115" t="s">
        <v>185</v>
      </c>
      <c r="O651" s="98"/>
      <c r="P651" s="96"/>
    </row>
    <row r="652" spans="1:16" ht="16.5" customHeight="1" thickBot="1" x14ac:dyDescent="0.3">
      <c r="A652" s="95"/>
      <c r="B652" s="116" t="s">
        <v>253</v>
      </c>
      <c r="C652" s="117" t="e">
        <f>VLOOKUP(B652,'Gebouwgegevens Allacker'!$J$5:$Q$83,3,0)</f>
        <v>#N/A</v>
      </c>
      <c r="D652" s="117" t="e">
        <f>VLOOKUP(B652,'Gebouwgegevens Allacker'!$J$5:$Q$83,4,0)</f>
        <v>#N/A</v>
      </c>
      <c r="E652" s="117" t="e">
        <f>VLOOKUP(B652,'Gebouwgegevens Allacker'!$J$5:$Q$83,5,0)</f>
        <v>#N/A</v>
      </c>
      <c r="F652" s="117" t="e">
        <f>VLOOKUP(B652,'Gebouwgegevens Allacker'!$J$5:$Q$83,7,0)</f>
        <v>#N/A</v>
      </c>
      <c r="G652" s="118" t="e">
        <f>VLOOKUP(B652,'Gebouwgegevens Allacker'!$J$5:$Q$83,8,0)</f>
        <v>#N/A</v>
      </c>
      <c r="H652" s="118" t="e">
        <f>N652/F652</f>
        <v>#N/A</v>
      </c>
      <c r="I652" s="117" t="e">
        <f>VLOOKUP(C652,'Gebouwgegevens Allacker'!$A$35:$F$46,6,0)</f>
        <v>#N/A</v>
      </c>
      <c r="J652" s="116">
        <v>6.52</v>
      </c>
      <c r="K652" s="116">
        <v>0.33</v>
      </c>
      <c r="L652" s="119" t="e">
        <f>I652/(0.5*J652)</f>
        <v>#N/A</v>
      </c>
      <c r="M652" s="119" t="e">
        <f>K652+2*(1/F652)</f>
        <v>#N/A</v>
      </c>
      <c r="N652" s="120" t="e">
        <f>IF(M652&lt;L652,2*2/(PI()*L652+M652)*LN(PI()*L652/M652+1),2/(0.457*L652+M652))</f>
        <v>#N/A</v>
      </c>
      <c r="O652" s="98"/>
      <c r="P652" s="96"/>
    </row>
    <row r="653" spans="1:16" ht="16.5" customHeight="1" thickTop="1" thickBot="1" x14ac:dyDescent="0.3">
      <c r="A653" s="95"/>
      <c r="B653" s="116"/>
      <c r="C653" s="117"/>
      <c r="D653" s="117"/>
      <c r="E653" s="117"/>
      <c r="F653" s="117"/>
      <c r="G653" s="118"/>
      <c r="H653" s="118"/>
      <c r="I653" s="117"/>
      <c r="J653" s="116"/>
      <c r="K653" s="116"/>
      <c r="L653" s="119"/>
      <c r="M653" s="119"/>
      <c r="N653" s="120"/>
      <c r="O653" s="98"/>
      <c r="P653" s="96"/>
    </row>
    <row r="654" spans="1:16" ht="16.5" customHeight="1" thickTop="1" thickBot="1" x14ac:dyDescent="0.3">
      <c r="A654" s="95"/>
      <c r="B654" s="116"/>
      <c r="C654" s="117"/>
      <c r="D654" s="117"/>
      <c r="E654" s="117"/>
      <c r="F654" s="117"/>
      <c r="G654" s="118"/>
      <c r="H654" s="118"/>
      <c r="I654" s="117"/>
      <c r="J654" s="116"/>
      <c r="K654" s="116"/>
      <c r="L654" s="119"/>
      <c r="M654" s="119"/>
      <c r="N654" s="120"/>
      <c r="O654" s="98"/>
      <c r="P654" s="96"/>
    </row>
    <row r="655" spans="1:16" ht="16.5" customHeight="1" thickTop="1" thickBot="1" x14ac:dyDescent="0.3">
      <c r="A655" s="95"/>
      <c r="B655" s="116"/>
      <c r="C655" s="117"/>
      <c r="D655" s="117"/>
      <c r="E655" s="117"/>
      <c r="F655" s="117"/>
      <c r="G655" s="118"/>
      <c r="H655" s="118"/>
      <c r="I655" s="117"/>
      <c r="J655" s="116"/>
      <c r="K655" s="116"/>
      <c r="L655" s="119"/>
      <c r="M655" s="119"/>
      <c r="N655" s="120"/>
      <c r="O655" s="98"/>
      <c r="P655" s="96"/>
    </row>
    <row r="656" spans="1:16" ht="16.5" customHeight="1" thickTop="1" thickBot="1" x14ac:dyDescent="0.3">
      <c r="A656" s="138"/>
      <c r="B656" s="116"/>
      <c r="C656" s="117"/>
      <c r="D656" s="117"/>
      <c r="E656" s="117"/>
      <c r="F656" s="117"/>
      <c r="G656" s="118"/>
      <c r="H656" s="118"/>
      <c r="I656" s="117"/>
      <c r="J656" s="116"/>
      <c r="K656" s="116"/>
      <c r="L656" s="119"/>
      <c r="M656" s="119"/>
      <c r="N656" s="120"/>
      <c r="O656" s="98"/>
      <c r="P656" s="96"/>
    </row>
    <row r="657" spans="1:16" ht="15.75" customHeight="1" thickTop="1" x14ac:dyDescent="0.25">
      <c r="A657" s="95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6"/>
    </row>
    <row r="658" spans="1:16" ht="15" customHeight="1" x14ac:dyDescent="0.25">
      <c r="A658" s="103" t="s">
        <v>186</v>
      </c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6"/>
    </row>
    <row r="659" spans="1:16" ht="15.75" customHeight="1" thickBot="1" x14ac:dyDescent="0.3">
      <c r="A659" s="95"/>
      <c r="B659" s="58" t="s">
        <v>10</v>
      </c>
      <c r="C659" s="58" t="s">
        <v>187</v>
      </c>
      <c r="D659" s="58" t="s">
        <v>188</v>
      </c>
      <c r="E659" s="58" t="s">
        <v>135</v>
      </c>
      <c r="F659" s="58" t="s">
        <v>189</v>
      </c>
      <c r="G659" s="58" t="s">
        <v>190</v>
      </c>
      <c r="H659" s="58" t="s">
        <v>191</v>
      </c>
      <c r="I659" s="58" t="s">
        <v>16</v>
      </c>
      <c r="J659" s="114" t="s">
        <v>17</v>
      </c>
      <c r="K659" s="114" t="s">
        <v>175</v>
      </c>
      <c r="L659" s="98"/>
      <c r="M659" s="98"/>
      <c r="N659" s="98"/>
      <c r="O659" s="98"/>
      <c r="P659" s="96"/>
    </row>
    <row r="660" spans="1:16" ht="16.5" customHeight="1" thickTop="1" thickBot="1" x14ac:dyDescent="0.3">
      <c r="A660" s="95"/>
      <c r="B660" s="116" t="s">
        <v>219</v>
      </c>
      <c r="C660" s="122" t="e">
        <f>IF(VLOOKUP(B660,'Gebouwgegevens Allacker'!$J$5:$Q$83,2,0)=$B$630,VLOOKUP(B660,'Gebouwgegevens Allacker'!$J$5:$Q$83,2,0),VLOOKUP(B660,'Gebouwgegevens Allacker'!$J$5:$Q$83,3,0))</f>
        <v>#N/A</v>
      </c>
      <c r="D660" s="122" t="e">
        <f>IF(VLOOKUP(B660,'Gebouwgegevens Allacker'!$J$5:$Q$83,2,0)=$B$630,VLOOKUP(B660,'Gebouwgegevens Allacker'!$J$5:$Q$83,3,0),VLOOKUP(B660,'Gebouwgegevens Allacker'!$J$5:$Q$83,2,0))</f>
        <v>#N/A</v>
      </c>
      <c r="E660" s="122" t="e">
        <f>VLOOKUP(B660,'Gebouwgegevens Allacker'!$J$5:$Q$83,4,0)</f>
        <v>#N/A</v>
      </c>
      <c r="F660" s="122" t="e">
        <f>VLOOKUP(B660,'Gebouwgegevens Allacker'!$J$5:$Q$83,5,0)</f>
        <v>#N/A</v>
      </c>
      <c r="G660" s="122" t="e">
        <f>VLOOKUP('Verwarming Tabula 2zone Ref 1'!C660,'Gebouwgegevens Allacker'!$A$35:$F$46,5,0)</f>
        <v>#N/A</v>
      </c>
      <c r="H660" s="122" t="e">
        <f>VLOOKUP('Verwarming Tabula 2zone Ref 1'!D660,'Gebouwgegevens Allacker'!$A$35:$F$46,5,0)</f>
        <v>#N/A</v>
      </c>
      <c r="I660" s="122" t="e">
        <f>VLOOKUP(B660,'Gebouwgegevens Allacker'!$J$5:$Q$83,7,0)</f>
        <v>#N/A</v>
      </c>
      <c r="J660" s="118" t="e">
        <f>VLOOKUP(B660,'Gebouwgegevens Allacker'!$J$5:$Q$83,8,0)</f>
        <v>#N/A</v>
      </c>
      <c r="K660" s="118" t="e">
        <f>(G660-H660)/(G660-$B$4)</f>
        <v>#N/A</v>
      </c>
      <c r="L660" s="98"/>
      <c r="M660" s="98"/>
      <c r="N660" s="98"/>
      <c r="O660" s="98"/>
      <c r="P660" s="96"/>
    </row>
    <row r="661" spans="1:16" ht="16.5" customHeight="1" thickTop="1" thickBot="1" x14ac:dyDescent="0.3">
      <c r="A661" s="95"/>
      <c r="B661" s="116" t="s">
        <v>254</v>
      </c>
      <c r="C661" s="122" t="e">
        <f>IF(VLOOKUP(B661,'Gebouwgegevens Allacker'!$J$5:$Q$83,2,0)=$B$630,VLOOKUP(B661,'Gebouwgegevens Allacker'!$J$5:$Q$83,2,0),VLOOKUP(B661,'Gebouwgegevens Allacker'!$J$5:$Q$83,3,0))</f>
        <v>#N/A</v>
      </c>
      <c r="D661" s="122" t="e">
        <f>IF(VLOOKUP(B661,'Gebouwgegevens Allacker'!$J$5:$Q$83,2,0)=$B$630,VLOOKUP(B661,'Gebouwgegevens Allacker'!$J$5:$Q$83,3,0),VLOOKUP(B661,'Gebouwgegevens Allacker'!$J$5:$Q$83,2,0))</f>
        <v>#N/A</v>
      </c>
      <c r="E661" s="122" t="e">
        <f>VLOOKUP(B661,'Gebouwgegevens Allacker'!$J$5:$Q$83,4,0)</f>
        <v>#N/A</v>
      </c>
      <c r="F661" s="122" t="e">
        <f>VLOOKUP(B661,'Gebouwgegevens Allacker'!$J$5:$Q$83,5,0)</f>
        <v>#N/A</v>
      </c>
      <c r="G661" s="122" t="e">
        <f>VLOOKUP('Verwarming Tabula 2zone Ref 1'!C661,'Gebouwgegevens Allacker'!$A$35:$F$46,5,0)</f>
        <v>#N/A</v>
      </c>
      <c r="H661" s="122" t="e">
        <f>VLOOKUP('Verwarming Tabula 2zone Ref 1'!D661,'Gebouwgegevens Allacker'!$A$35:$F$46,5,0)</f>
        <v>#N/A</v>
      </c>
      <c r="I661" s="122" t="e">
        <f>VLOOKUP(B661,'Gebouwgegevens Allacker'!$J$5:$Q$83,7,0)</f>
        <v>#N/A</v>
      </c>
      <c r="J661" s="118" t="e">
        <f>VLOOKUP(B661,'Gebouwgegevens Allacker'!$J$5:$Q$83,8,0)</f>
        <v>#N/A</v>
      </c>
      <c r="K661" s="118" t="e">
        <f>(G661-H661)/(G661-$B$4)</f>
        <v>#N/A</v>
      </c>
      <c r="L661" s="98"/>
      <c r="M661" s="98"/>
      <c r="N661" s="98"/>
      <c r="O661" s="98"/>
      <c r="P661" s="96"/>
    </row>
    <row r="662" spans="1:16" ht="16.5" customHeight="1" thickTop="1" thickBot="1" x14ac:dyDescent="0.3">
      <c r="A662" s="95"/>
      <c r="B662" s="116"/>
      <c r="C662" s="122"/>
      <c r="D662" s="122"/>
      <c r="E662" s="122"/>
      <c r="F662" s="122"/>
      <c r="G662" s="122"/>
      <c r="H662" s="122"/>
      <c r="I662" s="122"/>
      <c r="J662" s="118"/>
      <c r="K662" s="118"/>
      <c r="L662" s="98"/>
      <c r="M662" s="98"/>
      <c r="N662" s="98"/>
      <c r="O662" s="98"/>
      <c r="P662" s="96"/>
    </row>
    <row r="663" spans="1:16" ht="16.5" customHeight="1" thickTop="1" thickBot="1" x14ac:dyDescent="0.3">
      <c r="A663" s="95"/>
      <c r="B663" s="116"/>
      <c r="C663" s="122"/>
      <c r="D663" s="122"/>
      <c r="E663" s="122"/>
      <c r="F663" s="122"/>
      <c r="G663" s="122"/>
      <c r="H663" s="122"/>
      <c r="I663" s="122"/>
      <c r="J663" s="118"/>
      <c r="K663" s="118"/>
      <c r="L663" s="98"/>
      <c r="M663" s="98"/>
      <c r="N663" s="98"/>
      <c r="O663" s="98"/>
      <c r="P663" s="96"/>
    </row>
    <row r="664" spans="1:16" ht="16.5" customHeight="1" thickTop="1" thickBot="1" x14ac:dyDescent="0.3">
      <c r="A664" s="95"/>
      <c r="B664" s="145"/>
      <c r="C664" s="122"/>
      <c r="D664" s="122"/>
      <c r="E664" s="122"/>
      <c r="F664" s="122"/>
      <c r="G664" s="122"/>
      <c r="H664" s="122"/>
      <c r="I664" s="122"/>
      <c r="J664" s="118"/>
      <c r="K664" s="118"/>
      <c r="L664" s="98"/>
      <c r="M664" s="98"/>
      <c r="N664" s="98"/>
      <c r="O664" s="98"/>
      <c r="P664" s="96"/>
    </row>
    <row r="665" spans="1:16" ht="16.5" customHeight="1" thickTop="1" thickBot="1" x14ac:dyDescent="0.3">
      <c r="A665" s="95"/>
      <c r="B665" s="123"/>
      <c r="C665" s="139"/>
      <c r="D665" s="122"/>
      <c r="E665" s="122"/>
      <c r="F665" s="122"/>
      <c r="G665" s="122"/>
      <c r="H665" s="122"/>
      <c r="I665" s="122"/>
      <c r="J665" s="118"/>
      <c r="K665" s="118"/>
      <c r="L665" s="98"/>
      <c r="M665" s="98"/>
      <c r="N665" s="98"/>
      <c r="O665" s="98"/>
      <c r="P665" s="96"/>
    </row>
    <row r="666" spans="1:16" ht="16.5" customHeight="1" thickTop="1" thickBot="1" x14ac:dyDescent="0.3">
      <c r="A666" s="95"/>
      <c r="B666" s="123"/>
      <c r="C666" s="139"/>
      <c r="D666" s="122"/>
      <c r="E666" s="122"/>
      <c r="F666" s="122"/>
      <c r="G666" s="122"/>
      <c r="H666" s="122"/>
      <c r="I666" s="122"/>
      <c r="J666" s="118"/>
      <c r="K666" s="118"/>
      <c r="L666" s="98"/>
      <c r="M666" s="98"/>
      <c r="N666" s="98"/>
      <c r="O666" s="98"/>
      <c r="P666" s="96"/>
    </row>
    <row r="667" spans="1:16" ht="16.5" customHeight="1" thickTop="1" thickBot="1" x14ac:dyDescent="0.3">
      <c r="A667" s="95"/>
      <c r="B667" s="123"/>
      <c r="C667" s="139"/>
      <c r="D667" s="122"/>
      <c r="E667" s="122"/>
      <c r="F667" s="122"/>
      <c r="G667" s="122"/>
      <c r="H667" s="122"/>
      <c r="I667" s="122"/>
      <c r="J667" s="118"/>
      <c r="K667" s="118"/>
      <c r="L667" s="98"/>
      <c r="M667" s="98"/>
      <c r="N667" s="98"/>
      <c r="O667" s="98"/>
      <c r="P667" s="96"/>
    </row>
    <row r="668" spans="1:16" ht="16.5" customHeight="1" thickTop="1" thickBot="1" x14ac:dyDescent="0.3">
      <c r="A668" s="95"/>
      <c r="B668" s="123"/>
      <c r="C668" s="139"/>
      <c r="D668" s="122"/>
      <c r="E668" s="122"/>
      <c r="F668" s="122"/>
      <c r="G668" s="122"/>
      <c r="H668" s="122"/>
      <c r="I668" s="122"/>
      <c r="J668" s="118"/>
      <c r="K668" s="118"/>
      <c r="L668" s="98"/>
      <c r="M668" s="98"/>
      <c r="N668" s="98"/>
      <c r="O668" s="98"/>
      <c r="P668" s="96"/>
    </row>
    <row r="669" spans="1:16" ht="16.5" customHeight="1" thickTop="1" thickBot="1" x14ac:dyDescent="0.3">
      <c r="A669" s="95"/>
      <c r="B669" s="123"/>
      <c r="C669" s="139"/>
      <c r="D669" s="122"/>
      <c r="E669" s="122"/>
      <c r="F669" s="122"/>
      <c r="G669" s="122"/>
      <c r="H669" s="122"/>
      <c r="I669" s="122"/>
      <c r="J669" s="118"/>
      <c r="K669" s="118"/>
      <c r="L669" s="98"/>
      <c r="M669" s="98"/>
      <c r="N669" s="98"/>
      <c r="O669" s="98"/>
      <c r="P669" s="96"/>
    </row>
    <row r="670" spans="1:16" ht="15.75" customHeight="1" thickTop="1" x14ac:dyDescent="0.25">
      <c r="A670" s="95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8"/>
      <c r="M670" s="98"/>
      <c r="N670" s="98"/>
      <c r="O670" s="98"/>
      <c r="P670" s="96"/>
    </row>
    <row r="671" spans="1:16" ht="15" customHeight="1" x14ac:dyDescent="0.25">
      <c r="A671" s="95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6"/>
    </row>
    <row r="672" spans="1:16" ht="15.75" customHeight="1" x14ac:dyDescent="0.25">
      <c r="A672" s="103" t="s">
        <v>192</v>
      </c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6"/>
    </row>
    <row r="673" spans="1:16" ht="16.5" customHeight="1" x14ac:dyDescent="0.25">
      <c r="A673" s="124" t="s">
        <v>193</v>
      </c>
      <c r="B673" s="118" t="e">
        <f>SUMPRODUCT(H636:H647,I636:I647)+SUMPRODUCT(G652:G656,H652:H656)+SUMPRODUCT(J660:J669,K660:K669)</f>
        <v>#N/A</v>
      </c>
      <c r="C673" s="118" t="s">
        <v>107</v>
      </c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6"/>
    </row>
    <row r="674" spans="1:16" ht="16.5" customHeight="1" x14ac:dyDescent="0.25">
      <c r="A674" s="124" t="s">
        <v>167</v>
      </c>
      <c r="B674" s="118" t="e">
        <f>B673*(G660-$B$4)</f>
        <v>#N/A</v>
      </c>
      <c r="C674" s="118" t="s">
        <v>169</v>
      </c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6"/>
    </row>
    <row r="675" spans="1:16" ht="15.75" customHeight="1" thickBot="1" x14ac:dyDescent="0.3">
      <c r="A675" s="109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1"/>
    </row>
    <row r="676" spans="1:16" ht="15.75" customHeight="1" thickTop="1" x14ac:dyDescent="0.25">
      <c r="A676" s="343" t="s">
        <v>194</v>
      </c>
      <c r="B676" s="343"/>
      <c r="C676" s="343"/>
      <c r="D676" s="125" t="s">
        <v>222</v>
      </c>
      <c r="E676" s="299"/>
      <c r="F676" s="299"/>
      <c r="G676" s="299"/>
      <c r="H676" s="299"/>
      <c r="I676" s="299"/>
      <c r="J676" s="299"/>
      <c r="K676" s="299"/>
      <c r="L676" s="299"/>
      <c r="M676" s="299"/>
      <c r="N676" s="299"/>
      <c r="O676" s="299"/>
      <c r="P676" s="94"/>
    </row>
    <row r="677" spans="1:16" ht="15" customHeight="1" x14ac:dyDescent="0.25">
      <c r="A677" s="95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6"/>
    </row>
    <row r="678" spans="1:16" ht="15" customHeight="1" thickBot="1" x14ac:dyDescent="0.3">
      <c r="A678" s="126" t="s">
        <v>195</v>
      </c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6"/>
    </row>
    <row r="679" spans="1:16" ht="15" customHeight="1" thickTop="1" thickBot="1" x14ac:dyDescent="0.3">
      <c r="A679" s="127" t="s">
        <v>196</v>
      </c>
      <c r="B679" s="121">
        <v>8</v>
      </c>
      <c r="C679" s="120" t="s">
        <v>197</v>
      </c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6"/>
    </row>
    <row r="680" spans="1:16" ht="15" customHeight="1" thickTop="1" thickBot="1" x14ac:dyDescent="0.3">
      <c r="A680" s="127" t="s">
        <v>198</v>
      </c>
      <c r="B680" s="121">
        <v>0.03</v>
      </c>
      <c r="C680" s="120" t="s">
        <v>199</v>
      </c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6"/>
    </row>
    <row r="681" spans="1:16" ht="15.75" customHeight="1" thickTop="1" thickBot="1" x14ac:dyDescent="0.3">
      <c r="A681" s="127" t="s">
        <v>200</v>
      </c>
      <c r="B681" s="121">
        <v>1</v>
      </c>
      <c r="C681" s="120" t="s">
        <v>201</v>
      </c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6"/>
    </row>
    <row r="682" spans="1:16" ht="16.5" customHeight="1" thickTop="1" x14ac:dyDescent="0.25">
      <c r="A682" s="124" t="s">
        <v>202</v>
      </c>
      <c r="B682" s="118" t="e">
        <f>2*VLOOKUP(B630,'Gebouwgegevens Allacker'!$A$35:$F$46,6,0)*B679*B680*B681</f>
        <v>#N/A</v>
      </c>
      <c r="C682" s="118" t="s">
        <v>203</v>
      </c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6"/>
    </row>
    <row r="683" spans="1:16" ht="15.75" customHeight="1" x14ac:dyDescent="0.25">
      <c r="A683" s="138"/>
      <c r="B683" s="58"/>
      <c r="C683" s="5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6"/>
    </row>
    <row r="684" spans="1:16" ht="15" customHeight="1" x14ac:dyDescent="0.25">
      <c r="A684" s="146" t="s">
        <v>204</v>
      </c>
      <c r="B684" s="58"/>
      <c r="C684" s="5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6"/>
    </row>
    <row r="685" spans="1:16" ht="15.75" customHeight="1" x14ac:dyDescent="0.25">
      <c r="A685" s="138" t="s">
        <v>180</v>
      </c>
      <c r="B685" s="58" t="e">
        <f>VLOOKUP(B630,'Gebouwgegevens Allacker'!$A$35:$F$46,6,0)</f>
        <v>#N/A</v>
      </c>
      <c r="C685" s="5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6"/>
    </row>
    <row r="686" spans="1:16" ht="16.5" customHeight="1" x14ac:dyDescent="0.25">
      <c r="A686" s="124" t="s">
        <v>205</v>
      </c>
      <c r="B686" s="128">
        <v>50</v>
      </c>
      <c r="C686" s="118" t="s">
        <v>203</v>
      </c>
      <c r="D686" s="147" t="s">
        <v>255</v>
      </c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6"/>
    </row>
    <row r="687" spans="1:16" ht="15.75" customHeight="1" x14ac:dyDescent="0.25">
      <c r="A687" s="138"/>
      <c r="B687" s="58"/>
      <c r="C687" s="5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6"/>
    </row>
    <row r="688" spans="1:16" ht="15.75" customHeight="1" x14ac:dyDescent="0.25">
      <c r="A688" s="138"/>
      <c r="B688" s="58"/>
      <c r="C688" s="5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6"/>
    </row>
    <row r="689" spans="1:16" ht="16.5" customHeight="1" x14ac:dyDescent="0.25">
      <c r="A689" s="124" t="s">
        <v>207</v>
      </c>
      <c r="B689" s="118" t="e">
        <f>MAX(B682,B686)</f>
        <v>#N/A</v>
      </c>
      <c r="C689" s="118" t="s">
        <v>203</v>
      </c>
      <c r="D689" s="98"/>
      <c r="E689" s="98"/>
      <c r="F689" s="118" t="s">
        <v>208</v>
      </c>
      <c r="G689" s="118" t="e">
        <f>B689/VLOOKUP(B630,'Gebouwgegevens Allacker'!$A$35:$B$46,2,0)</f>
        <v>#N/A</v>
      </c>
      <c r="H689" s="98"/>
      <c r="I689" s="98"/>
      <c r="J689" s="98"/>
      <c r="K689" s="98"/>
      <c r="L689" s="98"/>
      <c r="M689" s="98"/>
      <c r="N689" s="98"/>
      <c r="O689" s="98"/>
      <c r="P689" s="96"/>
    </row>
    <row r="690" spans="1:16" ht="16.5" customHeight="1" x14ac:dyDescent="0.25">
      <c r="A690" s="138"/>
      <c r="B690" s="58"/>
      <c r="C690" s="5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6"/>
    </row>
    <row r="691" spans="1:16" ht="16.5" customHeight="1" x14ac:dyDescent="0.25">
      <c r="A691" s="124" t="s">
        <v>209</v>
      </c>
      <c r="B691" s="118" t="e">
        <f>0.34*B689</f>
        <v>#N/A</v>
      </c>
      <c r="C691" s="118" t="s">
        <v>107</v>
      </c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6"/>
    </row>
    <row r="692" spans="1:16" ht="16.5" customHeight="1" x14ac:dyDescent="0.25">
      <c r="A692" s="124" t="s">
        <v>167</v>
      </c>
      <c r="B692" s="118" t="e">
        <f>B691*('Gebouwgegevens Allacker'!E652-$B$4)</f>
        <v>#N/A</v>
      </c>
      <c r="C692" s="118" t="s">
        <v>169</v>
      </c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6"/>
    </row>
    <row r="693" spans="1:16" ht="15.75" customHeight="1" thickBot="1" x14ac:dyDescent="0.3">
      <c r="A693" s="140"/>
      <c r="B693" s="141"/>
      <c r="C693" s="141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1"/>
    </row>
    <row r="694" spans="1:16" ht="15.75" customHeight="1" thickTop="1" x14ac:dyDescent="0.25">
      <c r="A694" s="343" t="s">
        <v>210</v>
      </c>
      <c r="B694" s="343"/>
      <c r="C694" s="343"/>
      <c r="D694" s="343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6"/>
    </row>
    <row r="695" spans="1:16" ht="15" customHeight="1" thickBot="1" x14ac:dyDescent="0.3">
      <c r="A695" s="95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6"/>
    </row>
    <row r="696" spans="1:16" ht="15" customHeight="1" thickTop="1" thickBot="1" x14ac:dyDescent="0.3">
      <c r="A696" s="127" t="s">
        <v>211</v>
      </c>
      <c r="B696" s="121">
        <v>0</v>
      </c>
      <c r="C696" s="58" t="s">
        <v>232</v>
      </c>
      <c r="D696" s="5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6"/>
    </row>
    <row r="697" spans="1:16" ht="15.75" customHeight="1" thickTop="1" x14ac:dyDescent="0.25">
      <c r="A697" s="3" t="s">
        <v>113</v>
      </c>
      <c r="B697" s="58" t="e">
        <f>VLOOKUP(B630,'Gebouwgegevens Allacker'!$A$35:$F$46,6,0)</f>
        <v>#N/A</v>
      </c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6"/>
    </row>
    <row r="698" spans="1:16" ht="16.5" customHeight="1" x14ac:dyDescent="0.25">
      <c r="A698" s="124" t="s">
        <v>213</v>
      </c>
      <c r="B698" s="118" t="e">
        <f>B699/('Gebouwgegevens Allacker'!E652-'Verwarming Tabula 2zone Ref 1'!$B$4)</f>
        <v>#N/A</v>
      </c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6"/>
    </row>
    <row r="699" spans="1:16" ht="16.5" customHeight="1" x14ac:dyDescent="0.25">
      <c r="A699" s="124" t="s">
        <v>167</v>
      </c>
      <c r="B699" s="118" t="e">
        <f>B696*B697</f>
        <v>#N/A</v>
      </c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6"/>
    </row>
    <row r="700" spans="1:16" ht="15.75" customHeight="1" x14ac:dyDescent="0.25">
      <c r="A700" s="95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6"/>
    </row>
    <row r="701" spans="1:16" ht="15.75" customHeight="1" thickBot="1" x14ac:dyDescent="0.3">
      <c r="A701" s="95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6"/>
    </row>
    <row r="702" spans="1:16" ht="15.75" customHeight="1" thickTop="1" thickBot="1" x14ac:dyDescent="0.3">
      <c r="A702" s="129" t="s">
        <v>214</v>
      </c>
      <c r="B702" s="130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1"/>
    </row>
    <row r="703" spans="1:16" ht="16.5" customHeight="1" thickTop="1" x14ac:dyDescent="0.25">
      <c r="A703" s="124" t="s">
        <v>215</v>
      </c>
      <c r="B703" s="118" t="e">
        <f>SUM(B673,B691,B698)</f>
        <v>#N/A</v>
      </c>
      <c r="C703" s="118" t="s">
        <v>107</v>
      </c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3"/>
    </row>
    <row r="704" spans="1:16" ht="16.5" customHeight="1" x14ac:dyDescent="0.25">
      <c r="A704" s="124" t="s">
        <v>167</v>
      </c>
      <c r="B704" s="118" t="e">
        <f>SUM(B674,B692,B699)</f>
        <v>#N/A</v>
      </c>
      <c r="C704" s="118" t="s">
        <v>169</v>
      </c>
      <c r="D704" s="132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  <c r="O704" s="132"/>
      <c r="P704" s="133"/>
    </row>
    <row r="705" spans="1:16" ht="16.5" customHeight="1" thickBot="1" x14ac:dyDescent="0.3">
      <c r="A705" s="134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6"/>
    </row>
    <row r="706" spans="1:16" ht="15" customHeight="1" thickTop="1" x14ac:dyDescent="0.25">
      <c r="A706" s="137"/>
      <c r="B706" s="137"/>
      <c r="C706" s="137"/>
      <c r="D706" s="137"/>
      <c r="E706" s="137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</row>
    <row r="707" spans="1:16" ht="15.75" customHeight="1" thickBot="1" x14ac:dyDescent="0.3">
      <c r="A707" s="137"/>
      <c r="B707" s="137"/>
      <c r="C707" s="137"/>
      <c r="D707" s="137"/>
      <c r="E707" s="137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</row>
    <row r="708" spans="1:16" ht="15" customHeight="1" thickTop="1" thickBot="1" x14ac:dyDescent="0.3">
      <c r="A708" s="93"/>
      <c r="B708" s="299"/>
      <c r="C708" s="299"/>
      <c r="D708" s="299"/>
      <c r="E708" s="299"/>
      <c r="F708" s="299"/>
      <c r="G708" s="299"/>
      <c r="H708" s="299"/>
      <c r="I708" s="299"/>
      <c r="J708" s="299"/>
      <c r="K708" s="299"/>
      <c r="L708" s="299"/>
      <c r="M708" s="299"/>
      <c r="N708" s="299"/>
      <c r="O708" s="299"/>
      <c r="P708" s="94"/>
    </row>
    <row r="709" spans="1:16" ht="17.25" customHeight="1" thickTop="1" thickBot="1" x14ac:dyDescent="0.35">
      <c r="A709" s="97" t="s">
        <v>166</v>
      </c>
      <c r="B709" s="92">
        <v>10</v>
      </c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6"/>
    </row>
    <row r="710" spans="1:16" ht="15.75" customHeight="1" thickTop="1" x14ac:dyDescent="0.25">
      <c r="A710" s="343" t="s">
        <v>168</v>
      </c>
      <c r="B710" s="343"/>
      <c r="C710" s="343"/>
      <c r="D710" s="343"/>
      <c r="E710" s="299"/>
      <c r="F710" s="299"/>
      <c r="G710" s="299"/>
      <c r="H710" s="299"/>
      <c r="I710" s="299"/>
      <c r="J710" s="299"/>
      <c r="K710" s="299"/>
      <c r="L710" s="299"/>
      <c r="M710" s="299"/>
      <c r="N710" s="299"/>
      <c r="O710" s="299"/>
      <c r="P710" s="94"/>
    </row>
    <row r="711" spans="1:16" ht="15" customHeight="1" x14ac:dyDescent="0.25">
      <c r="A711" s="95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6"/>
    </row>
    <row r="712" spans="1:16" ht="15" customHeight="1" x14ac:dyDescent="0.25">
      <c r="A712" s="103" t="s">
        <v>170</v>
      </c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6"/>
    </row>
    <row r="713" spans="1:16" ht="15" customHeight="1" x14ac:dyDescent="0.25">
      <c r="A713" s="95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6"/>
    </row>
    <row r="714" spans="1:16" ht="15.75" customHeight="1" thickBot="1" x14ac:dyDescent="0.3">
      <c r="A714" s="95"/>
      <c r="B714" s="104" t="s">
        <v>10</v>
      </c>
      <c r="C714" s="104" t="s">
        <v>171</v>
      </c>
      <c r="D714" s="104" t="s">
        <v>172</v>
      </c>
      <c r="E714" s="104" t="s">
        <v>173</v>
      </c>
      <c r="F714" s="104" t="s">
        <v>174</v>
      </c>
      <c r="G714" s="104" t="s">
        <v>16</v>
      </c>
      <c r="H714" s="105" t="s">
        <v>17</v>
      </c>
      <c r="I714" s="105" t="s">
        <v>175</v>
      </c>
      <c r="J714" s="98"/>
      <c r="K714" s="98"/>
      <c r="L714" s="98"/>
      <c r="M714" s="98"/>
      <c r="N714" s="98"/>
      <c r="O714" s="98"/>
      <c r="P714" s="96"/>
    </row>
    <row r="715" spans="1:16" ht="16.5" customHeight="1" thickTop="1" thickBot="1" x14ac:dyDescent="0.3">
      <c r="A715" s="95"/>
      <c r="B715" s="106" t="s">
        <v>256</v>
      </c>
      <c r="C715" s="107" t="e">
        <f>VLOOKUP(B715,'Gebouwgegevens Allacker'!$J$5:$Q$83,3,0)</f>
        <v>#N/A</v>
      </c>
      <c r="D715" s="107" t="e">
        <f>VLOOKUP(B715,'Gebouwgegevens Allacker'!$J$5:$Q$83,4,0)</f>
        <v>#N/A</v>
      </c>
      <c r="E715" s="107" t="e">
        <f>VLOOKUP(B715,'Gebouwgegevens Allacker'!$J$5:$Q$83,5,0)</f>
        <v>#N/A</v>
      </c>
      <c r="F715" s="107" t="e">
        <f>VLOOKUP(B715,'Gebouwgegevens Allacker'!$J$5:$Q$83,6,0)</f>
        <v>#N/A</v>
      </c>
      <c r="G715" s="107" t="e">
        <f>VLOOKUP(B715,'Gebouwgegevens Allacker'!$J$5:$Q$83,7,0)</f>
        <v>#N/A</v>
      </c>
      <c r="H715" s="108" t="e">
        <f>VLOOKUP(B715,'Gebouwgegevens Allacker'!$J$5:$Q$83,8,0)</f>
        <v>#N/A</v>
      </c>
      <c r="I715" s="108">
        <v>1</v>
      </c>
      <c r="J715" s="98"/>
      <c r="K715" s="98"/>
      <c r="L715" s="98"/>
      <c r="M715" s="98"/>
      <c r="N715" s="98"/>
      <c r="O715" s="98"/>
      <c r="P715" s="96"/>
    </row>
    <row r="716" spans="1:16" ht="16.5" customHeight="1" thickTop="1" thickBot="1" x14ac:dyDescent="0.3">
      <c r="A716" s="95"/>
      <c r="B716" s="106" t="s">
        <v>257</v>
      </c>
      <c r="C716" s="107" t="e">
        <f>VLOOKUP(B716,'Gebouwgegevens Allacker'!$J$5:$Q$83,3,0)</f>
        <v>#N/A</v>
      </c>
      <c r="D716" s="107" t="e">
        <f>VLOOKUP(B716,'Gebouwgegevens Allacker'!$J$5:$Q$83,4,0)</f>
        <v>#N/A</v>
      </c>
      <c r="E716" s="107" t="e">
        <f>VLOOKUP(B716,'Gebouwgegevens Allacker'!$J$5:$Q$83,5,0)</f>
        <v>#N/A</v>
      </c>
      <c r="F716" s="107" t="e">
        <f>VLOOKUP(B716,'Gebouwgegevens Allacker'!$J$5:$Q$83,6,0)</f>
        <v>#N/A</v>
      </c>
      <c r="G716" s="107" t="e">
        <f>VLOOKUP(B716,'Gebouwgegevens Allacker'!$J$5:$Q$83,7,0)</f>
        <v>#N/A</v>
      </c>
      <c r="H716" s="108" t="e">
        <f>VLOOKUP(B716,'Gebouwgegevens Allacker'!$J$5:$Q$83,8,0)</f>
        <v>#N/A</v>
      </c>
      <c r="I716" s="108">
        <v>1</v>
      </c>
      <c r="J716" s="98"/>
      <c r="K716" s="98"/>
      <c r="L716" s="98"/>
      <c r="M716" s="98"/>
      <c r="N716" s="98"/>
      <c r="O716" s="98"/>
      <c r="P716" s="96"/>
    </row>
    <row r="717" spans="1:16" ht="16.5" customHeight="1" thickTop="1" thickBot="1" x14ac:dyDescent="0.3">
      <c r="A717" s="95"/>
      <c r="B717" s="106" t="s">
        <v>258</v>
      </c>
      <c r="C717" s="107" t="e">
        <f>VLOOKUP(B717,'Gebouwgegevens Allacker'!$J$5:$Q$83,3,0)</f>
        <v>#N/A</v>
      </c>
      <c r="D717" s="107" t="e">
        <f>VLOOKUP(B717,'Gebouwgegevens Allacker'!$J$5:$Q$83,4,0)</f>
        <v>#N/A</v>
      </c>
      <c r="E717" s="107" t="e">
        <f>VLOOKUP(B717,'Gebouwgegevens Allacker'!$J$5:$Q$83,5,0)</f>
        <v>#N/A</v>
      </c>
      <c r="F717" s="107" t="e">
        <f>VLOOKUP(B717,'Gebouwgegevens Allacker'!$J$5:$Q$83,6,0)</f>
        <v>#N/A</v>
      </c>
      <c r="G717" s="107" t="e">
        <f>VLOOKUP(B717,'Gebouwgegevens Allacker'!$J$5:$Q$83,7,0)</f>
        <v>#N/A</v>
      </c>
      <c r="H717" s="108" t="e">
        <f>VLOOKUP(B717,'Gebouwgegevens Allacker'!$J$5:$Q$83,8,0)</f>
        <v>#N/A</v>
      </c>
      <c r="I717" s="108">
        <v>1</v>
      </c>
      <c r="J717" s="98"/>
      <c r="K717" s="98"/>
      <c r="L717" s="98"/>
      <c r="M717" s="98"/>
      <c r="N717" s="98"/>
      <c r="O717" s="98"/>
      <c r="P717" s="96"/>
    </row>
    <row r="718" spans="1:16" ht="16.5" customHeight="1" thickTop="1" thickBot="1" x14ac:dyDescent="0.3">
      <c r="A718" s="95"/>
      <c r="B718" s="106"/>
      <c r="C718" s="107"/>
      <c r="D718" s="107"/>
      <c r="E718" s="107"/>
      <c r="F718" s="107"/>
      <c r="G718" s="107"/>
      <c r="H718" s="108"/>
      <c r="I718" s="108"/>
      <c r="J718" s="98"/>
      <c r="K718" s="98"/>
      <c r="L718" s="98"/>
      <c r="M718" s="98"/>
      <c r="N718" s="98"/>
      <c r="O718" s="98"/>
      <c r="P718" s="96"/>
    </row>
    <row r="719" spans="1:16" ht="16.5" customHeight="1" thickTop="1" thickBot="1" x14ac:dyDescent="0.3">
      <c r="A719" s="95"/>
      <c r="B719" s="106"/>
      <c r="C719" s="107"/>
      <c r="D719" s="107"/>
      <c r="E719" s="107"/>
      <c r="F719" s="107"/>
      <c r="G719" s="107"/>
      <c r="H719" s="108"/>
      <c r="I719" s="108"/>
      <c r="J719" s="98"/>
      <c r="K719" s="98"/>
      <c r="L719" s="98"/>
      <c r="M719" s="98"/>
      <c r="N719" s="98"/>
      <c r="O719" s="98"/>
      <c r="P719" s="96"/>
    </row>
    <row r="720" spans="1:16" ht="16.5" customHeight="1" thickTop="1" thickBot="1" x14ac:dyDescent="0.3">
      <c r="A720" s="95"/>
      <c r="B720" s="106"/>
      <c r="C720" s="107"/>
      <c r="D720" s="107"/>
      <c r="E720" s="107"/>
      <c r="F720" s="107"/>
      <c r="G720" s="107"/>
      <c r="H720" s="108"/>
      <c r="I720" s="108"/>
      <c r="J720" s="98"/>
      <c r="K720" s="98"/>
      <c r="L720" s="98"/>
      <c r="M720" s="98"/>
      <c r="N720" s="98"/>
      <c r="O720" s="98"/>
      <c r="P720" s="96"/>
    </row>
    <row r="721" spans="1:16" ht="16.5" customHeight="1" thickTop="1" thickBot="1" x14ac:dyDescent="0.3">
      <c r="A721" s="95"/>
      <c r="B721" s="106"/>
      <c r="C721" s="107"/>
      <c r="D721" s="107"/>
      <c r="E721" s="107"/>
      <c r="F721" s="107"/>
      <c r="G721" s="107"/>
      <c r="H721" s="108"/>
      <c r="I721" s="108"/>
      <c r="J721" s="98"/>
      <c r="K721" s="98"/>
      <c r="L721" s="98"/>
      <c r="M721" s="98"/>
      <c r="N721" s="98"/>
      <c r="O721" s="98"/>
      <c r="P721" s="96"/>
    </row>
    <row r="722" spans="1:16" ht="16.5" customHeight="1" thickTop="1" thickBot="1" x14ac:dyDescent="0.3">
      <c r="A722" s="95"/>
      <c r="B722" s="106"/>
      <c r="C722" s="107"/>
      <c r="D722" s="107"/>
      <c r="E722" s="107"/>
      <c r="F722" s="107"/>
      <c r="G722" s="107"/>
      <c r="H722" s="108"/>
      <c r="I722" s="108"/>
      <c r="J722" s="98"/>
      <c r="K722" s="98"/>
      <c r="L722" s="98"/>
      <c r="M722" s="98"/>
      <c r="N722" s="98"/>
      <c r="O722" s="98"/>
      <c r="P722" s="96"/>
    </row>
    <row r="723" spans="1:16" ht="16.5" customHeight="1" thickTop="1" thickBot="1" x14ac:dyDescent="0.3">
      <c r="A723" s="95"/>
      <c r="B723" s="106"/>
      <c r="C723" s="107"/>
      <c r="D723" s="107"/>
      <c r="E723" s="107"/>
      <c r="F723" s="107"/>
      <c r="G723" s="107"/>
      <c r="H723" s="108"/>
      <c r="I723" s="108"/>
      <c r="J723" s="98"/>
      <c r="K723" s="98"/>
      <c r="L723" s="98"/>
      <c r="M723" s="98"/>
      <c r="N723" s="98"/>
      <c r="O723" s="98"/>
      <c r="P723" s="96"/>
    </row>
    <row r="724" spans="1:16" ht="16.5" customHeight="1" thickTop="1" thickBot="1" x14ac:dyDescent="0.3">
      <c r="A724" s="95"/>
      <c r="B724" s="106"/>
      <c r="C724" s="107"/>
      <c r="D724" s="107"/>
      <c r="E724" s="107"/>
      <c r="F724" s="107"/>
      <c r="G724" s="107"/>
      <c r="H724" s="108"/>
      <c r="I724" s="108"/>
      <c r="J724" s="98"/>
      <c r="K724" s="98"/>
      <c r="L724" s="98"/>
      <c r="M724" s="98"/>
      <c r="N724" s="98"/>
      <c r="O724" s="98"/>
      <c r="P724" s="96"/>
    </row>
    <row r="725" spans="1:16" ht="16.5" customHeight="1" thickTop="1" thickBot="1" x14ac:dyDescent="0.3">
      <c r="A725" s="95"/>
      <c r="B725" s="106"/>
      <c r="C725" s="107"/>
      <c r="D725" s="107"/>
      <c r="E725" s="107"/>
      <c r="F725" s="107"/>
      <c r="G725" s="107"/>
      <c r="H725" s="108"/>
      <c r="I725" s="108"/>
      <c r="J725" s="98"/>
      <c r="K725" s="98"/>
      <c r="L725" s="98"/>
      <c r="M725" s="98"/>
      <c r="N725" s="98"/>
      <c r="O725" s="98"/>
      <c r="P725" s="96"/>
    </row>
    <row r="726" spans="1:16" ht="16.5" customHeight="1" thickTop="1" thickBot="1" x14ac:dyDescent="0.3">
      <c r="A726" s="95"/>
      <c r="B726" s="106"/>
      <c r="C726" s="107"/>
      <c r="D726" s="107"/>
      <c r="E726" s="107"/>
      <c r="F726" s="107"/>
      <c r="G726" s="107"/>
      <c r="H726" s="108"/>
      <c r="I726" s="108"/>
      <c r="J726" s="98"/>
      <c r="K726" s="98"/>
      <c r="L726" s="98"/>
      <c r="M726" s="98"/>
      <c r="N726" s="98"/>
      <c r="O726" s="98"/>
      <c r="P726" s="96"/>
    </row>
    <row r="727" spans="1:16" ht="15.75" customHeight="1" thickTop="1" x14ac:dyDescent="0.25">
      <c r="A727" s="95"/>
      <c r="B727" s="58"/>
      <c r="C727" s="58"/>
      <c r="D727" s="58"/>
      <c r="E727" s="58"/>
      <c r="F727" s="58"/>
      <c r="G727" s="114"/>
      <c r="H727" s="58"/>
      <c r="I727" s="58"/>
      <c r="J727" s="98"/>
      <c r="K727" s="98"/>
      <c r="L727" s="98"/>
      <c r="M727" s="98"/>
      <c r="N727" s="98"/>
      <c r="O727" s="98"/>
      <c r="P727" s="96"/>
    </row>
    <row r="728" spans="1:16" ht="15" customHeight="1" x14ac:dyDescent="0.25">
      <c r="A728" s="95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6"/>
    </row>
    <row r="729" spans="1:16" ht="15" customHeight="1" x14ac:dyDescent="0.25">
      <c r="A729" s="103" t="s">
        <v>177</v>
      </c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6"/>
    </row>
    <row r="730" spans="1:16" ht="15.75" customHeight="1" x14ac:dyDescent="0.25">
      <c r="A730" s="95"/>
      <c r="B730" s="58" t="s">
        <v>10</v>
      </c>
      <c r="C730" s="58" t="s">
        <v>178</v>
      </c>
      <c r="D730" s="58" t="s">
        <v>172</v>
      </c>
      <c r="E730" s="58" t="s">
        <v>179</v>
      </c>
      <c r="F730" s="58" t="s">
        <v>16</v>
      </c>
      <c r="G730" s="114" t="s">
        <v>17</v>
      </c>
      <c r="H730" s="114" t="s">
        <v>175</v>
      </c>
      <c r="I730" s="58" t="s">
        <v>180</v>
      </c>
      <c r="J730" s="58" t="s">
        <v>181</v>
      </c>
      <c r="K730" s="58" t="s">
        <v>182</v>
      </c>
      <c r="L730" s="115" t="s">
        <v>183</v>
      </c>
      <c r="M730" s="115" t="s">
        <v>184</v>
      </c>
      <c r="N730" s="115" t="s">
        <v>185</v>
      </c>
      <c r="O730" s="98"/>
      <c r="P730" s="96"/>
    </row>
    <row r="731" spans="1:16" ht="16.5" customHeight="1" thickBot="1" x14ac:dyDescent="0.3">
      <c r="A731" s="95"/>
      <c r="B731" s="116" t="s">
        <v>259</v>
      </c>
      <c r="C731" s="117" t="e">
        <f>VLOOKUP(B731,'Gebouwgegevens Allacker'!$J$5:$Q$83,3,0)</f>
        <v>#N/A</v>
      </c>
      <c r="D731" s="117" t="e">
        <f>VLOOKUP(B731,'Gebouwgegevens Allacker'!$J$5:$Q$83,4,0)</f>
        <v>#N/A</v>
      </c>
      <c r="E731" s="117" t="e">
        <f>VLOOKUP(B731,'Gebouwgegevens Allacker'!$J$5:$Q$83,5,0)</f>
        <v>#N/A</v>
      </c>
      <c r="F731" s="117" t="e">
        <f>VLOOKUP(B731,'Gebouwgegevens Allacker'!$J$5:$Q$83,7,0)</f>
        <v>#N/A</v>
      </c>
      <c r="G731" s="118" t="e">
        <f>VLOOKUP(B731,'Gebouwgegevens Allacker'!$J$5:$Q$83,8,0)</f>
        <v>#N/A</v>
      </c>
      <c r="H731" s="118" t="e">
        <f>N731/F731</f>
        <v>#N/A</v>
      </c>
      <c r="I731" s="117" t="e">
        <f>VLOOKUP(C731,'Gebouwgegevens Allacker'!$A$35:$F$46,6,0)</f>
        <v>#N/A</v>
      </c>
      <c r="J731" s="116">
        <v>4.68</v>
      </c>
      <c r="K731" s="116">
        <v>0.33</v>
      </c>
      <c r="L731" s="119" t="e">
        <f>I731/(0.5*J731)</f>
        <v>#N/A</v>
      </c>
      <c r="M731" s="119" t="e">
        <f>K731+2*(1/F731)</f>
        <v>#N/A</v>
      </c>
      <c r="N731" s="120" t="e">
        <f>IF(M731&lt;L731,2*2/(PI()*L731+M731)*LN(PI()*L731/M731+1),2/(0.457*L731+M731))</f>
        <v>#N/A</v>
      </c>
      <c r="O731" s="98"/>
      <c r="P731" s="96"/>
    </row>
    <row r="732" spans="1:16" ht="16.5" customHeight="1" thickTop="1" thickBot="1" x14ac:dyDescent="0.3">
      <c r="A732" s="95"/>
      <c r="B732" s="116"/>
      <c r="C732" s="117"/>
      <c r="D732" s="117"/>
      <c r="E732" s="117"/>
      <c r="F732" s="117"/>
      <c r="G732" s="118"/>
      <c r="H732" s="118"/>
      <c r="I732" s="117"/>
      <c r="J732" s="116"/>
      <c r="K732" s="116"/>
      <c r="L732" s="119"/>
      <c r="M732" s="119"/>
      <c r="N732" s="120"/>
      <c r="O732" s="98"/>
      <c r="P732" s="96"/>
    </row>
    <row r="733" spans="1:16" ht="16.5" customHeight="1" thickTop="1" thickBot="1" x14ac:dyDescent="0.3">
      <c r="A733" s="95"/>
      <c r="B733" s="116"/>
      <c r="C733" s="117"/>
      <c r="D733" s="117"/>
      <c r="E733" s="117"/>
      <c r="F733" s="117"/>
      <c r="G733" s="118"/>
      <c r="H733" s="118"/>
      <c r="I733" s="117"/>
      <c r="J733" s="116"/>
      <c r="K733" s="116"/>
      <c r="L733" s="119"/>
      <c r="M733" s="119"/>
      <c r="N733" s="120"/>
      <c r="O733" s="98"/>
      <c r="P733" s="96"/>
    </row>
    <row r="734" spans="1:16" ht="16.5" customHeight="1" thickTop="1" thickBot="1" x14ac:dyDescent="0.3">
      <c r="A734" s="95"/>
      <c r="B734" s="116"/>
      <c r="C734" s="117"/>
      <c r="D734" s="117"/>
      <c r="E734" s="117"/>
      <c r="F734" s="117"/>
      <c r="G734" s="118"/>
      <c r="H734" s="118"/>
      <c r="I734" s="117"/>
      <c r="J734" s="116"/>
      <c r="K734" s="116"/>
      <c r="L734" s="119"/>
      <c r="M734" s="119"/>
      <c r="N734" s="120"/>
      <c r="O734" s="98"/>
      <c r="P734" s="96"/>
    </row>
    <row r="735" spans="1:16" ht="16.5" customHeight="1" thickTop="1" thickBot="1" x14ac:dyDescent="0.3">
      <c r="A735" s="138"/>
      <c r="B735" s="116"/>
      <c r="C735" s="117"/>
      <c r="D735" s="117"/>
      <c r="E735" s="117"/>
      <c r="F735" s="117"/>
      <c r="G735" s="118"/>
      <c r="H735" s="118"/>
      <c r="I735" s="117"/>
      <c r="J735" s="116"/>
      <c r="K735" s="116"/>
      <c r="L735" s="119"/>
      <c r="M735" s="119"/>
      <c r="N735" s="120"/>
      <c r="O735" s="98"/>
      <c r="P735" s="96"/>
    </row>
    <row r="736" spans="1:16" ht="15.75" customHeight="1" thickTop="1" x14ac:dyDescent="0.25">
      <c r="A736" s="95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6"/>
    </row>
    <row r="737" spans="1:16" ht="15" customHeight="1" x14ac:dyDescent="0.25">
      <c r="A737" s="103" t="s">
        <v>186</v>
      </c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6"/>
    </row>
    <row r="738" spans="1:16" ht="15.75" customHeight="1" thickBot="1" x14ac:dyDescent="0.3">
      <c r="A738" s="95"/>
      <c r="B738" s="58" t="s">
        <v>10</v>
      </c>
      <c r="C738" s="58" t="s">
        <v>187</v>
      </c>
      <c r="D738" s="58" t="s">
        <v>188</v>
      </c>
      <c r="E738" s="58" t="s">
        <v>135</v>
      </c>
      <c r="F738" s="58" t="s">
        <v>189</v>
      </c>
      <c r="G738" s="58" t="s">
        <v>190</v>
      </c>
      <c r="H738" s="58" t="s">
        <v>191</v>
      </c>
      <c r="I738" s="58" t="s">
        <v>16</v>
      </c>
      <c r="J738" s="114" t="s">
        <v>17</v>
      </c>
      <c r="K738" s="114" t="s">
        <v>175</v>
      </c>
      <c r="L738" s="98"/>
      <c r="M738" s="98"/>
      <c r="N738" s="98"/>
      <c r="O738" s="98"/>
      <c r="P738" s="96"/>
    </row>
    <row r="739" spans="1:16" ht="16.5" customHeight="1" thickTop="1" thickBot="1" x14ac:dyDescent="0.3">
      <c r="A739" s="95"/>
      <c r="B739" s="116" t="s">
        <v>260</v>
      </c>
      <c r="C739" s="122" t="e">
        <f>IF(VLOOKUP(B739,'Gebouwgegevens Allacker'!$J$5:$Q$83,2,0)=$B$709,VLOOKUP(B739,'Gebouwgegevens Allacker'!$J$5:$Q$83,2,0),VLOOKUP(B739,'Gebouwgegevens Allacker'!$J$5:$Q$83,3,0))</f>
        <v>#N/A</v>
      </c>
      <c r="D739" s="122" t="e">
        <f>IF(VLOOKUP(B739,'Gebouwgegevens Allacker'!$J$5:$Q$83,2,0)=$B$709,VLOOKUP(B739,'Gebouwgegevens Allacker'!$J$5:$Q$83,3,0),VLOOKUP(B739,'Gebouwgegevens Allacker'!$J$5:$Q$83,2,0))</f>
        <v>#N/A</v>
      </c>
      <c r="E739" s="122" t="e">
        <f>VLOOKUP(B739,'Gebouwgegevens Allacker'!$J$5:$Q$83,4,0)</f>
        <v>#N/A</v>
      </c>
      <c r="F739" s="122" t="e">
        <f>VLOOKUP(B739,'Gebouwgegevens Allacker'!$J$5:$Q$83,5,0)</f>
        <v>#N/A</v>
      </c>
      <c r="G739" s="122" t="e">
        <f>VLOOKUP('Verwarming Tabula 2zone Ref 1'!C739,'Gebouwgegevens Allacker'!$A$35:$F$46,5,0)</f>
        <v>#N/A</v>
      </c>
      <c r="H739" s="122" t="e">
        <f>VLOOKUP('Verwarming Tabula 2zone Ref 1'!D739,'Gebouwgegevens Allacker'!$A$35:$F$46,5,0)</f>
        <v>#N/A</v>
      </c>
      <c r="I739" s="122" t="e">
        <f>VLOOKUP(B739,'Gebouwgegevens Allacker'!$J$5:$Q$83,7,0)</f>
        <v>#N/A</v>
      </c>
      <c r="J739" s="118" t="e">
        <f>VLOOKUP(B739,'Gebouwgegevens Allacker'!$J$5:$Q$83,8,0)</f>
        <v>#N/A</v>
      </c>
      <c r="K739" s="118" t="e">
        <f t="shared" ref="K739:K750" si="0">(G739-H739)/(G739-$B$4)</f>
        <v>#N/A</v>
      </c>
      <c r="L739" s="98"/>
      <c r="M739" s="98"/>
      <c r="N739" s="98"/>
      <c r="O739" s="98"/>
      <c r="P739" s="96"/>
    </row>
    <row r="740" spans="1:16" ht="16.5" customHeight="1" thickTop="1" thickBot="1" x14ac:dyDescent="0.3">
      <c r="A740" s="95"/>
      <c r="B740" s="116" t="s">
        <v>220</v>
      </c>
      <c r="C740" s="122" t="e">
        <f>IF(VLOOKUP(B740,'Gebouwgegevens Allacker'!$J$5:$Q$83,2,0)=$B$709,VLOOKUP(B740,'Gebouwgegevens Allacker'!$J$5:$Q$83,2,0),VLOOKUP(B740,'Gebouwgegevens Allacker'!$J$5:$Q$83,3,0))</f>
        <v>#N/A</v>
      </c>
      <c r="D740" s="122" t="e">
        <f>IF(VLOOKUP(B740,'Gebouwgegevens Allacker'!$J$5:$Q$83,2,0)=$B$709,VLOOKUP(B740,'Gebouwgegevens Allacker'!$J$5:$Q$83,3,0),VLOOKUP(B740,'Gebouwgegevens Allacker'!$J$5:$Q$83,2,0))</f>
        <v>#N/A</v>
      </c>
      <c r="E740" s="122" t="e">
        <f>VLOOKUP(B740,'Gebouwgegevens Allacker'!$J$5:$Q$83,4,0)</f>
        <v>#N/A</v>
      </c>
      <c r="F740" s="122" t="e">
        <f>VLOOKUP(B740,'Gebouwgegevens Allacker'!$J$5:$Q$83,5,0)</f>
        <v>#N/A</v>
      </c>
      <c r="G740" s="122" t="e">
        <f>VLOOKUP('Verwarming Tabula 2zone Ref 1'!C740,'Gebouwgegevens Allacker'!$A$35:$F$46,5,0)</f>
        <v>#N/A</v>
      </c>
      <c r="H740" s="122" t="e">
        <f>VLOOKUP('Verwarming Tabula 2zone Ref 1'!D740,'Gebouwgegevens Allacker'!$A$35:$F$46,5,0)</f>
        <v>#N/A</v>
      </c>
      <c r="I740" s="122" t="e">
        <f>VLOOKUP(B740,'Gebouwgegevens Allacker'!$J$5:$Q$83,7,0)</f>
        <v>#N/A</v>
      </c>
      <c r="J740" s="118" t="e">
        <f>VLOOKUP(B740,'Gebouwgegevens Allacker'!$J$5:$Q$83,8,0)</f>
        <v>#N/A</v>
      </c>
      <c r="K740" s="118" t="e">
        <f t="shared" si="0"/>
        <v>#N/A</v>
      </c>
      <c r="L740" s="98"/>
      <c r="M740" s="98"/>
      <c r="N740" s="98"/>
      <c r="O740" s="98"/>
      <c r="P740" s="96"/>
    </row>
    <row r="741" spans="1:16" ht="16.5" customHeight="1" thickTop="1" thickBot="1" x14ac:dyDescent="0.3">
      <c r="A741" s="95"/>
      <c r="B741" s="116" t="s">
        <v>225</v>
      </c>
      <c r="C741" s="122" t="e">
        <f>IF(VLOOKUP(B741,'Gebouwgegevens Allacker'!$J$5:$Q$83,2,0)=$B$709,VLOOKUP(B741,'Gebouwgegevens Allacker'!$J$5:$Q$83,2,0),VLOOKUP(B741,'Gebouwgegevens Allacker'!$J$5:$Q$83,3,0))</f>
        <v>#N/A</v>
      </c>
      <c r="D741" s="122" t="e">
        <f>IF(VLOOKUP(B741,'Gebouwgegevens Allacker'!$J$5:$Q$83,2,0)=$B$709,VLOOKUP(B741,'Gebouwgegevens Allacker'!$J$5:$Q$83,3,0),VLOOKUP(B741,'Gebouwgegevens Allacker'!$J$5:$Q$83,2,0))</f>
        <v>#N/A</v>
      </c>
      <c r="E741" s="122" t="e">
        <f>VLOOKUP(B741,'Gebouwgegevens Allacker'!$J$5:$Q$83,4,0)</f>
        <v>#N/A</v>
      </c>
      <c r="F741" s="122" t="e">
        <f>VLOOKUP(B741,'Gebouwgegevens Allacker'!$J$5:$Q$83,5,0)</f>
        <v>#N/A</v>
      </c>
      <c r="G741" s="122" t="e">
        <f>VLOOKUP('Verwarming Tabula 2zone Ref 1'!C741,'Gebouwgegevens Allacker'!$A$35:$F$46,5,0)</f>
        <v>#N/A</v>
      </c>
      <c r="H741" s="122" t="e">
        <f>VLOOKUP('Verwarming Tabula 2zone Ref 1'!D741,'Gebouwgegevens Allacker'!$A$35:$F$46,5,0)</f>
        <v>#N/A</v>
      </c>
      <c r="I741" s="122" t="e">
        <f>VLOOKUP(B741,'Gebouwgegevens Allacker'!$J$5:$Q$83,7,0)</f>
        <v>#N/A</v>
      </c>
      <c r="J741" s="118" t="e">
        <f>VLOOKUP(B741,'Gebouwgegevens Allacker'!$J$5:$Q$83,8,0)</f>
        <v>#N/A</v>
      </c>
      <c r="K741" s="118" t="e">
        <f t="shared" si="0"/>
        <v>#N/A</v>
      </c>
      <c r="L741" s="98"/>
      <c r="M741" s="98"/>
      <c r="N741" s="98"/>
      <c r="O741" s="98"/>
      <c r="P741" s="96"/>
    </row>
    <row r="742" spans="1:16" ht="16.5" customHeight="1" thickTop="1" thickBot="1" x14ac:dyDescent="0.3">
      <c r="A742" s="95"/>
      <c r="B742" s="116" t="s">
        <v>229</v>
      </c>
      <c r="C742" s="122" t="e">
        <f>IF(VLOOKUP(B742,'Gebouwgegevens Allacker'!$J$5:$Q$83,2,0)=$B$709,VLOOKUP(B742,'Gebouwgegevens Allacker'!$J$5:$Q$83,2,0),VLOOKUP(B742,'Gebouwgegevens Allacker'!$J$5:$Q$83,3,0))</f>
        <v>#N/A</v>
      </c>
      <c r="D742" s="122" t="e">
        <f>IF(VLOOKUP(B742,'Gebouwgegevens Allacker'!$J$5:$Q$83,2,0)=$B$709,VLOOKUP(B742,'Gebouwgegevens Allacker'!$J$5:$Q$83,3,0),VLOOKUP(B742,'Gebouwgegevens Allacker'!$J$5:$Q$83,2,0))</f>
        <v>#N/A</v>
      </c>
      <c r="E742" s="122" t="e">
        <f>VLOOKUP(B742,'Gebouwgegevens Allacker'!$J$5:$Q$83,4,0)</f>
        <v>#N/A</v>
      </c>
      <c r="F742" s="122" t="e">
        <f>VLOOKUP(B742,'Gebouwgegevens Allacker'!$J$5:$Q$83,5,0)</f>
        <v>#N/A</v>
      </c>
      <c r="G742" s="122" t="e">
        <f>VLOOKUP('Verwarming Tabula 2zone Ref 1'!C742,'Gebouwgegevens Allacker'!$A$35:$F$46,5,0)</f>
        <v>#N/A</v>
      </c>
      <c r="H742" s="122" t="e">
        <f>VLOOKUP('Verwarming Tabula 2zone Ref 1'!D742,'Gebouwgegevens Allacker'!$A$35:$F$46,5,0)</f>
        <v>#N/A</v>
      </c>
      <c r="I742" s="122" t="e">
        <f>VLOOKUP(B742,'Gebouwgegevens Allacker'!$J$5:$Q$83,7,0)</f>
        <v>#N/A</v>
      </c>
      <c r="J742" s="118" t="e">
        <f>VLOOKUP(B742,'Gebouwgegevens Allacker'!$J$5:$Q$83,8,0)</f>
        <v>#N/A</v>
      </c>
      <c r="K742" s="118" t="e">
        <f t="shared" si="0"/>
        <v>#N/A</v>
      </c>
      <c r="L742" s="98"/>
      <c r="M742" s="98"/>
      <c r="N742" s="98"/>
      <c r="O742" s="98"/>
      <c r="P742" s="96"/>
    </row>
    <row r="743" spans="1:16" ht="16.5" customHeight="1" thickTop="1" thickBot="1" x14ac:dyDescent="0.3">
      <c r="A743" s="95"/>
      <c r="B743" s="145" t="s">
        <v>234</v>
      </c>
      <c r="C743" s="122" t="e">
        <f>IF(VLOOKUP(B743,'Gebouwgegevens Allacker'!$J$5:$Q$83,2,0)=$B$709,VLOOKUP(B743,'Gebouwgegevens Allacker'!$J$5:$Q$83,2,0),VLOOKUP(B743,'Gebouwgegevens Allacker'!$J$5:$Q$83,3,0))</f>
        <v>#N/A</v>
      </c>
      <c r="D743" s="122" t="e">
        <f>IF(VLOOKUP(B743,'Gebouwgegevens Allacker'!$J$5:$Q$83,2,0)=$B$709,VLOOKUP(B743,'Gebouwgegevens Allacker'!$J$5:$Q$83,3,0),VLOOKUP(B743,'Gebouwgegevens Allacker'!$J$5:$Q$83,2,0))</f>
        <v>#N/A</v>
      </c>
      <c r="E743" s="122" t="e">
        <f>VLOOKUP(B743,'Gebouwgegevens Allacker'!$J$5:$Q$83,4,0)</f>
        <v>#N/A</v>
      </c>
      <c r="F743" s="122" t="e">
        <f>VLOOKUP(B743,'Gebouwgegevens Allacker'!$J$5:$Q$83,5,0)</f>
        <v>#N/A</v>
      </c>
      <c r="G743" s="122" t="e">
        <f>VLOOKUP('Verwarming Tabula 2zone Ref 1'!C743,'Gebouwgegevens Allacker'!$A$35:$F$46,5,0)</f>
        <v>#N/A</v>
      </c>
      <c r="H743" s="122" t="e">
        <f>VLOOKUP('Verwarming Tabula 2zone Ref 1'!D743,'Gebouwgegevens Allacker'!$A$35:$F$46,5,0)</f>
        <v>#N/A</v>
      </c>
      <c r="I743" s="122" t="e">
        <f>VLOOKUP(B743,'Gebouwgegevens Allacker'!$J$5:$Q$83,7,0)</f>
        <v>#N/A</v>
      </c>
      <c r="J743" s="118" t="e">
        <f>VLOOKUP(B743,'Gebouwgegevens Allacker'!$J$5:$Q$83,8,0)</f>
        <v>#N/A</v>
      </c>
      <c r="K743" s="118" t="e">
        <f t="shared" si="0"/>
        <v>#N/A</v>
      </c>
      <c r="L743" s="98"/>
      <c r="M743" s="98"/>
      <c r="N743" s="98"/>
      <c r="O743" s="98"/>
      <c r="P743" s="96"/>
    </row>
    <row r="744" spans="1:16" ht="16.5" customHeight="1" thickTop="1" thickBot="1" x14ac:dyDescent="0.3">
      <c r="A744" s="95"/>
      <c r="B744" s="123" t="s">
        <v>238</v>
      </c>
      <c r="C744" s="122" t="e">
        <f>IF(VLOOKUP(B744,'Gebouwgegevens Allacker'!$J$5:$Q$83,2,0)=$B$709,VLOOKUP(B744,'Gebouwgegevens Allacker'!$J$5:$Q$83,2,0),VLOOKUP(B744,'Gebouwgegevens Allacker'!$J$5:$Q$83,3,0))</f>
        <v>#N/A</v>
      </c>
      <c r="D744" s="122" t="e">
        <f>IF(VLOOKUP(B744,'Gebouwgegevens Allacker'!$J$5:$Q$83,2,0)=$B$709,VLOOKUP(B744,'Gebouwgegevens Allacker'!$J$5:$Q$83,3,0),VLOOKUP(B744,'Gebouwgegevens Allacker'!$J$5:$Q$83,2,0))</f>
        <v>#N/A</v>
      </c>
      <c r="E744" s="122" t="e">
        <f>VLOOKUP(B744,'Gebouwgegevens Allacker'!$J$5:$Q$83,4,0)</f>
        <v>#N/A</v>
      </c>
      <c r="F744" s="122" t="e">
        <f>VLOOKUP(B744,'Gebouwgegevens Allacker'!$J$5:$Q$83,5,0)</f>
        <v>#N/A</v>
      </c>
      <c r="G744" s="122" t="e">
        <f>VLOOKUP('Verwarming Tabula 2zone Ref 1'!C744,'Gebouwgegevens Allacker'!$A$35:$F$46,5,0)</f>
        <v>#N/A</v>
      </c>
      <c r="H744" s="122" t="e">
        <f>VLOOKUP('Verwarming Tabula 2zone Ref 1'!D744,'Gebouwgegevens Allacker'!$A$35:$F$46,5,0)</f>
        <v>#N/A</v>
      </c>
      <c r="I744" s="122" t="e">
        <f>VLOOKUP(B744,'Gebouwgegevens Allacker'!$J$5:$Q$83,7,0)</f>
        <v>#N/A</v>
      </c>
      <c r="J744" s="118" t="e">
        <f>VLOOKUP(B744,'Gebouwgegevens Allacker'!$J$5:$Q$83,8,0)</f>
        <v>#N/A</v>
      </c>
      <c r="K744" s="118" t="e">
        <f t="shared" si="0"/>
        <v>#N/A</v>
      </c>
      <c r="L744" s="98"/>
      <c r="M744" s="98"/>
      <c r="N744" s="98"/>
      <c r="O744" s="98"/>
      <c r="P744" s="96"/>
    </row>
    <row r="745" spans="1:16" ht="16.5" customHeight="1" thickTop="1" thickBot="1" x14ac:dyDescent="0.3">
      <c r="A745" s="95"/>
      <c r="B745" s="123" t="s">
        <v>261</v>
      </c>
      <c r="C745" s="122" t="e">
        <f>IF(VLOOKUP(B745,'Gebouwgegevens Allacker'!$J$5:$Q$83,2,0)=$B$709,VLOOKUP(B745,'Gebouwgegevens Allacker'!$J$5:$Q$83,2,0),VLOOKUP(B745,'Gebouwgegevens Allacker'!$J$5:$Q$83,3,0))</f>
        <v>#N/A</v>
      </c>
      <c r="D745" s="122" t="e">
        <f>IF(VLOOKUP(B745,'Gebouwgegevens Allacker'!$J$5:$Q$83,2,0)=$B$709,VLOOKUP(B745,'Gebouwgegevens Allacker'!$J$5:$Q$83,3,0),VLOOKUP(B745,'Gebouwgegevens Allacker'!$J$5:$Q$83,2,0))</f>
        <v>#N/A</v>
      </c>
      <c r="E745" s="122" t="e">
        <f>VLOOKUP(B745,'Gebouwgegevens Allacker'!$J$5:$Q$83,4,0)</f>
        <v>#N/A</v>
      </c>
      <c r="F745" s="122" t="e">
        <f>VLOOKUP(B745,'Gebouwgegevens Allacker'!$J$5:$Q$83,5,0)</f>
        <v>#N/A</v>
      </c>
      <c r="G745" s="122" t="e">
        <f>VLOOKUP('Verwarming Tabula 2zone Ref 1'!C745,'Gebouwgegevens Allacker'!$A$35:$F$46,5,0)</f>
        <v>#N/A</v>
      </c>
      <c r="H745" s="122" t="e">
        <f>VLOOKUP('Verwarming Tabula 2zone Ref 1'!D745,'Gebouwgegevens Allacker'!$A$35:$F$46,5,0)</f>
        <v>#N/A</v>
      </c>
      <c r="I745" s="122" t="e">
        <f>VLOOKUP(B745,'Gebouwgegevens Allacker'!$J$5:$Q$83,7,0)</f>
        <v>#N/A</v>
      </c>
      <c r="J745" s="118" t="e">
        <f>VLOOKUP(B745,'Gebouwgegevens Allacker'!$J$5:$Q$83,8,0)</f>
        <v>#N/A</v>
      </c>
      <c r="K745" s="118" t="e">
        <f t="shared" si="0"/>
        <v>#N/A</v>
      </c>
      <c r="L745" s="98"/>
      <c r="M745" s="98"/>
      <c r="N745" s="98"/>
      <c r="O745" s="98"/>
      <c r="P745" s="96"/>
    </row>
    <row r="746" spans="1:16" ht="16.5" customHeight="1" thickTop="1" thickBot="1" x14ac:dyDescent="0.3">
      <c r="A746" s="95"/>
      <c r="B746" s="123" t="s">
        <v>262</v>
      </c>
      <c r="C746" s="122" t="e">
        <f>IF(VLOOKUP(B746,'Gebouwgegevens Allacker'!$J$5:$Q$83,2,0)=$B$709,VLOOKUP(B746,'Gebouwgegevens Allacker'!$J$5:$Q$83,2,0),VLOOKUP(B746,'Gebouwgegevens Allacker'!$J$5:$Q$83,3,0))</f>
        <v>#N/A</v>
      </c>
      <c r="D746" s="122" t="e">
        <f>IF(VLOOKUP(B746,'Gebouwgegevens Allacker'!$J$5:$Q$83,2,0)=$B$709,VLOOKUP(B746,'Gebouwgegevens Allacker'!$J$5:$Q$83,3,0),VLOOKUP(B746,'Gebouwgegevens Allacker'!$J$5:$Q$83,2,0))</f>
        <v>#N/A</v>
      </c>
      <c r="E746" s="122" t="e">
        <f>VLOOKUP(B746,'Gebouwgegevens Allacker'!$J$5:$Q$83,4,0)</f>
        <v>#N/A</v>
      </c>
      <c r="F746" s="122" t="e">
        <f>VLOOKUP(B746,'Gebouwgegevens Allacker'!$J$5:$Q$83,5,0)</f>
        <v>#N/A</v>
      </c>
      <c r="G746" s="122" t="e">
        <f>VLOOKUP('Verwarming Tabula 2zone Ref 1'!C746,'Gebouwgegevens Allacker'!$A$35:$F$46,5,0)</f>
        <v>#N/A</v>
      </c>
      <c r="H746" s="122" t="e">
        <f>VLOOKUP('Verwarming Tabula 2zone Ref 1'!D746,'Gebouwgegevens Allacker'!$A$35:$F$46,5,0)</f>
        <v>#N/A</v>
      </c>
      <c r="I746" s="122" t="e">
        <f>VLOOKUP(B746,'Gebouwgegevens Allacker'!$J$5:$Q$83,7,0)</f>
        <v>#N/A</v>
      </c>
      <c r="J746" s="118" t="e">
        <f>VLOOKUP(B746,'Gebouwgegevens Allacker'!$J$5:$Q$83,8,0)</f>
        <v>#N/A</v>
      </c>
      <c r="K746" s="118" t="e">
        <f t="shared" si="0"/>
        <v>#N/A</v>
      </c>
      <c r="L746" s="98"/>
      <c r="M746" s="98"/>
      <c r="N746" s="98"/>
      <c r="O746" s="98"/>
      <c r="P746" s="96"/>
    </row>
    <row r="747" spans="1:16" ht="16.5" customHeight="1" thickTop="1" thickBot="1" x14ac:dyDescent="0.3">
      <c r="A747" s="95"/>
      <c r="B747" s="123" t="s">
        <v>263</v>
      </c>
      <c r="C747" s="122" t="e">
        <f>IF(VLOOKUP(B747,'Gebouwgegevens Allacker'!$J$5:$Q$83,2,0)=$B$709,VLOOKUP(B747,'Gebouwgegevens Allacker'!$J$5:$Q$83,2,0),VLOOKUP(B747,'Gebouwgegevens Allacker'!$J$5:$Q$83,3,0))</f>
        <v>#N/A</v>
      </c>
      <c r="D747" s="122" t="e">
        <f>IF(VLOOKUP(B747,'Gebouwgegevens Allacker'!$J$5:$Q$83,2,0)=$B$709,VLOOKUP(B747,'Gebouwgegevens Allacker'!$J$5:$Q$83,3,0),VLOOKUP(B747,'Gebouwgegevens Allacker'!$J$5:$Q$83,2,0))</f>
        <v>#N/A</v>
      </c>
      <c r="E747" s="122" t="e">
        <f>VLOOKUP(B747,'Gebouwgegevens Allacker'!$J$5:$Q$83,4,0)</f>
        <v>#N/A</v>
      </c>
      <c r="F747" s="122" t="e">
        <f>VLOOKUP(B747,'Gebouwgegevens Allacker'!$J$5:$Q$83,5,0)</f>
        <v>#N/A</v>
      </c>
      <c r="G747" s="122" t="e">
        <f>VLOOKUP('Verwarming Tabula 2zone Ref 1'!C747,'Gebouwgegevens Allacker'!$A$35:$F$46,5,0)</f>
        <v>#N/A</v>
      </c>
      <c r="H747" s="122" t="e">
        <f>VLOOKUP('Verwarming Tabula 2zone Ref 1'!D747,'Gebouwgegevens Allacker'!$A$35:$F$46,5,0)</f>
        <v>#N/A</v>
      </c>
      <c r="I747" s="122" t="e">
        <f>VLOOKUP(B747,'Gebouwgegevens Allacker'!$J$5:$Q$83,7,0)</f>
        <v>#N/A</v>
      </c>
      <c r="J747" s="118" t="e">
        <f>VLOOKUP(B747,'Gebouwgegevens Allacker'!$J$5:$Q$83,8,0)</f>
        <v>#N/A</v>
      </c>
      <c r="K747" s="118" t="e">
        <f t="shared" si="0"/>
        <v>#N/A</v>
      </c>
      <c r="L747" s="98"/>
      <c r="M747" s="98"/>
      <c r="N747" s="98"/>
      <c r="O747" s="98"/>
      <c r="P747" s="96"/>
    </row>
    <row r="748" spans="1:16" ht="16.5" customHeight="1" thickTop="1" thickBot="1" x14ac:dyDescent="0.3">
      <c r="A748" s="95"/>
      <c r="B748" s="123" t="s">
        <v>226</v>
      </c>
      <c r="C748" s="122" t="e">
        <f>IF(VLOOKUP(B748,'Gebouwgegevens Allacker'!$J$5:$Q$83,2,0)=$B$709,VLOOKUP(B748,'Gebouwgegevens Allacker'!$J$5:$Q$83,2,0),VLOOKUP(B748,'Gebouwgegevens Allacker'!$J$5:$Q$83,3,0))</f>
        <v>#N/A</v>
      </c>
      <c r="D748" s="122" t="e">
        <f>IF(VLOOKUP(B748,'Gebouwgegevens Allacker'!$J$5:$Q$83,2,0)=$B$709,VLOOKUP(B748,'Gebouwgegevens Allacker'!$J$5:$Q$83,3,0),VLOOKUP(B748,'Gebouwgegevens Allacker'!$J$5:$Q$83,2,0))</f>
        <v>#N/A</v>
      </c>
      <c r="E748" s="122" t="e">
        <f>VLOOKUP(B748,'Gebouwgegevens Allacker'!$J$5:$Q$83,4,0)</f>
        <v>#N/A</v>
      </c>
      <c r="F748" s="122" t="e">
        <f>VLOOKUP(B748,'Gebouwgegevens Allacker'!$J$5:$Q$83,5,0)</f>
        <v>#N/A</v>
      </c>
      <c r="G748" s="122" t="e">
        <f>VLOOKUP('Verwarming Tabula 2zone Ref 1'!C748,'Gebouwgegevens Allacker'!$A$35:$F$46,5,0)</f>
        <v>#N/A</v>
      </c>
      <c r="H748" s="122" t="e">
        <f>VLOOKUP('Verwarming Tabula 2zone Ref 1'!D748,'Gebouwgegevens Allacker'!$A$35:$F$46,5,0)</f>
        <v>#N/A</v>
      </c>
      <c r="I748" s="122" t="e">
        <f>VLOOKUP(B748,'Gebouwgegevens Allacker'!$J$5:$Q$83,7,0)</f>
        <v>#N/A</v>
      </c>
      <c r="J748" s="118" t="e">
        <f>VLOOKUP(B748,'Gebouwgegevens Allacker'!$J$5:$Q$83,8,0)</f>
        <v>#N/A</v>
      </c>
      <c r="K748" s="118" t="e">
        <f t="shared" si="0"/>
        <v>#N/A</v>
      </c>
      <c r="L748" s="98"/>
      <c r="M748" s="98"/>
      <c r="N748" s="98"/>
      <c r="O748" s="98"/>
      <c r="P748" s="96"/>
    </row>
    <row r="749" spans="1:16" ht="16.5" customHeight="1" thickTop="1" thickBot="1" x14ac:dyDescent="0.3">
      <c r="A749" s="95"/>
      <c r="B749" s="123" t="s">
        <v>264</v>
      </c>
      <c r="C749" s="122" t="e">
        <f>IF(VLOOKUP(B749,'Gebouwgegevens Allacker'!$J$5:$Q$83,2,0)=$B$709,VLOOKUP(B749,'Gebouwgegevens Allacker'!$J$5:$Q$83,2,0),VLOOKUP(B749,'Gebouwgegevens Allacker'!$J$5:$Q$83,3,0))</f>
        <v>#N/A</v>
      </c>
      <c r="D749" s="122" t="e">
        <f>IF(VLOOKUP(B749,'Gebouwgegevens Allacker'!$J$5:$Q$83,2,0)=$B$709,VLOOKUP(B749,'Gebouwgegevens Allacker'!$J$5:$Q$83,3,0),VLOOKUP(B749,'Gebouwgegevens Allacker'!$J$5:$Q$83,2,0))</f>
        <v>#N/A</v>
      </c>
      <c r="E749" s="122" t="e">
        <f>VLOOKUP(B749,'Gebouwgegevens Allacker'!$J$5:$Q$83,4,0)</f>
        <v>#N/A</v>
      </c>
      <c r="F749" s="122" t="e">
        <f>VLOOKUP(B749,'Gebouwgegevens Allacker'!$J$5:$Q$83,5,0)</f>
        <v>#N/A</v>
      </c>
      <c r="G749" s="122" t="e">
        <f>VLOOKUP('Verwarming Tabula 2zone Ref 1'!C749,'Gebouwgegevens Allacker'!$A$35:$F$46,5,0)</f>
        <v>#N/A</v>
      </c>
      <c r="H749" s="122" t="e">
        <f>VLOOKUP('Verwarming Tabula 2zone Ref 1'!D749,'Gebouwgegevens Allacker'!$A$35:$F$46,5,0)</f>
        <v>#N/A</v>
      </c>
      <c r="I749" s="122" t="e">
        <f>VLOOKUP(B749,'Gebouwgegevens Allacker'!$J$5:$Q$83,7,0)</f>
        <v>#N/A</v>
      </c>
      <c r="J749" s="118" t="e">
        <f>VLOOKUP(B749,'Gebouwgegevens Allacker'!$J$5:$Q$83,8,0)</f>
        <v>#N/A</v>
      </c>
      <c r="K749" s="118" t="e">
        <f t="shared" si="0"/>
        <v>#N/A</v>
      </c>
      <c r="L749" s="98"/>
      <c r="M749" s="98"/>
      <c r="N749" s="98"/>
      <c r="O749" s="98"/>
      <c r="P749" s="96"/>
    </row>
    <row r="750" spans="1:16" ht="16.5" customHeight="1" thickTop="1" thickBot="1" x14ac:dyDescent="0.3">
      <c r="A750" s="95"/>
      <c r="B750" s="123" t="s">
        <v>265</v>
      </c>
      <c r="C750" s="122" t="e">
        <f>IF(VLOOKUP(B750,'Gebouwgegevens Allacker'!$J$5:$Q$83,2,0)=$B$709,VLOOKUP(B750,'Gebouwgegevens Allacker'!$J$5:$Q$83,2,0),VLOOKUP(B750,'Gebouwgegevens Allacker'!$J$5:$Q$83,3,0))</f>
        <v>#N/A</v>
      </c>
      <c r="D750" s="122" t="e">
        <f>IF(VLOOKUP(B750,'Gebouwgegevens Allacker'!$J$5:$Q$83,2,0)=$B$709,VLOOKUP(B750,'Gebouwgegevens Allacker'!$J$5:$Q$83,3,0),VLOOKUP(B750,'Gebouwgegevens Allacker'!$J$5:$Q$83,2,0))</f>
        <v>#N/A</v>
      </c>
      <c r="E750" s="122" t="e">
        <f>VLOOKUP(B750,'Gebouwgegevens Allacker'!$J$5:$Q$83,4,0)</f>
        <v>#N/A</v>
      </c>
      <c r="F750" s="122" t="e">
        <f>VLOOKUP(B750,'Gebouwgegevens Allacker'!$J$5:$Q$83,5,0)</f>
        <v>#N/A</v>
      </c>
      <c r="G750" s="122" t="e">
        <f>VLOOKUP('Verwarming Tabula 2zone Ref 1'!C750,'Gebouwgegevens Allacker'!$A$35:$F$46,5,0)</f>
        <v>#N/A</v>
      </c>
      <c r="H750" s="122" t="e">
        <f>VLOOKUP('Verwarming Tabula 2zone Ref 1'!D750,'Gebouwgegevens Allacker'!$A$35:$F$46,5,0)</f>
        <v>#N/A</v>
      </c>
      <c r="I750" s="122" t="e">
        <f>VLOOKUP(B750,'Gebouwgegevens Allacker'!$J$5:$Q$83,7,0)</f>
        <v>#N/A</v>
      </c>
      <c r="J750" s="118" t="e">
        <f>VLOOKUP(B750,'Gebouwgegevens Allacker'!$J$5:$Q$83,8,0)</f>
        <v>#N/A</v>
      </c>
      <c r="K750" s="118" t="e">
        <f t="shared" si="0"/>
        <v>#N/A</v>
      </c>
      <c r="L750" s="98"/>
      <c r="M750" s="98"/>
      <c r="N750" s="98"/>
      <c r="O750" s="98"/>
      <c r="P750" s="96"/>
    </row>
    <row r="751" spans="1:16" ht="16.5" customHeight="1" thickTop="1" x14ac:dyDescent="0.25">
      <c r="A751" s="103" t="s">
        <v>192</v>
      </c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6"/>
    </row>
    <row r="752" spans="1:16" ht="16.5" customHeight="1" x14ac:dyDescent="0.25">
      <c r="A752" s="124" t="s">
        <v>193</v>
      </c>
      <c r="B752" s="118" t="e">
        <f>SUMPRODUCT(H715:H726,I715:I726)+SUMPRODUCT(G731:G735,H731:H735)+SUMPRODUCT(J739:J750,K739:K750)</f>
        <v>#N/A</v>
      </c>
      <c r="C752" s="118" t="s">
        <v>107</v>
      </c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6"/>
    </row>
    <row r="753" spans="1:16" ht="16.5" customHeight="1" x14ac:dyDescent="0.25">
      <c r="A753" s="124" t="s">
        <v>167</v>
      </c>
      <c r="B753" s="118" t="e">
        <f>B752*(G739-$B$4)</f>
        <v>#N/A</v>
      </c>
      <c r="C753" s="118" t="s">
        <v>169</v>
      </c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6"/>
    </row>
    <row r="754" spans="1:16" ht="15.75" customHeight="1" thickBot="1" x14ac:dyDescent="0.3">
      <c r="A754" s="109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1"/>
    </row>
    <row r="755" spans="1:16" ht="15.75" customHeight="1" thickTop="1" x14ac:dyDescent="0.25">
      <c r="A755" s="343" t="s">
        <v>194</v>
      </c>
      <c r="B755" s="343"/>
      <c r="C755" s="343"/>
      <c r="D755" s="125" t="s">
        <v>222</v>
      </c>
      <c r="E755" s="299"/>
      <c r="F755" s="299"/>
      <c r="G755" s="299"/>
      <c r="H755" s="299"/>
      <c r="I755" s="299"/>
      <c r="J755" s="299"/>
      <c r="K755" s="299"/>
      <c r="L755" s="299"/>
      <c r="M755" s="299"/>
      <c r="N755" s="299"/>
      <c r="O755" s="299"/>
      <c r="P755" s="94"/>
    </row>
    <row r="756" spans="1:16" ht="15" customHeight="1" x14ac:dyDescent="0.25">
      <c r="A756" s="95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6"/>
    </row>
    <row r="757" spans="1:16" ht="15" customHeight="1" thickBot="1" x14ac:dyDescent="0.3">
      <c r="A757" s="126" t="s">
        <v>195</v>
      </c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6"/>
    </row>
    <row r="758" spans="1:16" ht="15" customHeight="1" thickTop="1" thickBot="1" x14ac:dyDescent="0.3">
      <c r="A758" s="127" t="s">
        <v>196</v>
      </c>
      <c r="B758" s="121">
        <v>8</v>
      </c>
      <c r="C758" s="120" t="s">
        <v>197</v>
      </c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6"/>
    </row>
    <row r="759" spans="1:16" ht="15" customHeight="1" thickTop="1" thickBot="1" x14ac:dyDescent="0.3">
      <c r="A759" s="127" t="s">
        <v>198</v>
      </c>
      <c r="B759" s="121">
        <v>0.03</v>
      </c>
      <c r="C759" s="120" t="s">
        <v>199</v>
      </c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6"/>
    </row>
    <row r="760" spans="1:16" ht="15.75" customHeight="1" thickTop="1" thickBot="1" x14ac:dyDescent="0.3">
      <c r="A760" s="127" t="s">
        <v>200</v>
      </c>
      <c r="B760" s="121">
        <v>1</v>
      </c>
      <c r="C760" s="120" t="s">
        <v>201</v>
      </c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6"/>
    </row>
    <row r="761" spans="1:16" ht="16.5" customHeight="1" thickTop="1" x14ac:dyDescent="0.25">
      <c r="A761" s="124" t="s">
        <v>202</v>
      </c>
      <c r="B761" s="118" t="e">
        <f>2*VLOOKUP(B709,'Gebouwgegevens Allacker'!$A$35:$F$46,6,0)*B758*B759*B760</f>
        <v>#N/A</v>
      </c>
      <c r="C761" s="118" t="s">
        <v>203</v>
      </c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6"/>
    </row>
    <row r="762" spans="1:16" ht="15.75" customHeight="1" x14ac:dyDescent="0.25">
      <c r="A762" s="138"/>
      <c r="B762" s="58"/>
      <c r="C762" s="5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6"/>
    </row>
    <row r="763" spans="1:16" ht="15" customHeight="1" x14ac:dyDescent="0.25">
      <c r="A763" s="146" t="s">
        <v>204</v>
      </c>
      <c r="B763" s="58"/>
      <c r="C763" s="5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6"/>
    </row>
    <row r="764" spans="1:16" ht="15.75" customHeight="1" x14ac:dyDescent="0.25">
      <c r="A764" s="138" t="s">
        <v>180</v>
      </c>
      <c r="B764" s="58" t="e">
        <f>VLOOKUP(B709,'Gebouwgegevens Allacker'!$A$35:$F$46,6,0)</f>
        <v>#N/A</v>
      </c>
      <c r="C764" s="5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6"/>
    </row>
    <row r="765" spans="1:16" ht="16.5" customHeight="1" x14ac:dyDescent="0.25">
      <c r="A765" s="124" t="s">
        <v>205</v>
      </c>
      <c r="B765" s="118">
        <v>0</v>
      </c>
      <c r="C765" s="118" t="s">
        <v>203</v>
      </c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6"/>
    </row>
    <row r="766" spans="1:16" ht="15.75" customHeight="1" x14ac:dyDescent="0.25">
      <c r="A766" s="138"/>
      <c r="B766" s="58"/>
      <c r="C766" s="5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6"/>
    </row>
    <row r="767" spans="1:16" ht="15.75" customHeight="1" x14ac:dyDescent="0.25">
      <c r="A767" s="138"/>
      <c r="B767" s="58"/>
      <c r="C767" s="5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6"/>
    </row>
    <row r="768" spans="1:16" ht="16.5" customHeight="1" x14ac:dyDescent="0.25">
      <c r="A768" s="124" t="s">
        <v>207</v>
      </c>
      <c r="B768" s="118" t="e">
        <f>MAX(B761,B765)</f>
        <v>#N/A</v>
      </c>
      <c r="C768" s="118" t="s">
        <v>203</v>
      </c>
      <c r="D768" s="98"/>
      <c r="E768" s="98"/>
      <c r="F768" s="118" t="s">
        <v>208</v>
      </c>
      <c r="G768" s="118" t="e">
        <f>B768/VLOOKUP(B709,'Gebouwgegevens Allacker'!$A$35:$B$46,2,0)</f>
        <v>#N/A</v>
      </c>
      <c r="H768" s="98"/>
      <c r="I768" s="98"/>
      <c r="J768" s="98"/>
      <c r="K768" s="98"/>
      <c r="L768" s="98"/>
      <c r="M768" s="98"/>
      <c r="N768" s="98"/>
      <c r="O768" s="98"/>
      <c r="P768" s="96"/>
    </row>
    <row r="769" spans="1:16" ht="16.5" customHeight="1" x14ac:dyDescent="0.25">
      <c r="A769" s="138"/>
      <c r="B769" s="58"/>
      <c r="C769" s="5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6"/>
    </row>
    <row r="770" spans="1:16" ht="16.5" customHeight="1" x14ac:dyDescent="0.25">
      <c r="A770" s="124" t="s">
        <v>209</v>
      </c>
      <c r="B770" s="118" t="e">
        <f>0.34*B768</f>
        <v>#N/A</v>
      </c>
      <c r="C770" s="118" t="s">
        <v>107</v>
      </c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6"/>
    </row>
    <row r="771" spans="1:16" ht="16.5" customHeight="1" x14ac:dyDescent="0.25">
      <c r="A771" s="124" t="s">
        <v>167</v>
      </c>
      <c r="B771" s="118" t="e">
        <f>B770*('Gebouwgegevens Allacker'!E731-$B$4)</f>
        <v>#N/A</v>
      </c>
      <c r="C771" s="118" t="s">
        <v>169</v>
      </c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6"/>
    </row>
    <row r="772" spans="1:16" ht="15.75" customHeight="1" thickBot="1" x14ac:dyDescent="0.3">
      <c r="A772" s="140"/>
      <c r="B772" s="141"/>
      <c r="C772" s="141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1"/>
    </row>
    <row r="773" spans="1:16" ht="15.75" customHeight="1" thickTop="1" x14ac:dyDescent="0.25">
      <c r="A773" s="343" t="s">
        <v>210</v>
      </c>
      <c r="B773" s="343"/>
      <c r="C773" s="343"/>
      <c r="D773" s="343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6"/>
    </row>
    <row r="774" spans="1:16" ht="15" customHeight="1" thickBot="1" x14ac:dyDescent="0.3">
      <c r="A774" s="95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6"/>
    </row>
    <row r="775" spans="1:16" ht="15" customHeight="1" thickTop="1" thickBot="1" x14ac:dyDescent="0.3">
      <c r="A775" s="127" t="s">
        <v>211</v>
      </c>
      <c r="B775" s="121">
        <v>0</v>
      </c>
      <c r="C775" s="58" t="s">
        <v>232</v>
      </c>
      <c r="D775" s="5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6"/>
    </row>
    <row r="776" spans="1:16" ht="15.75" customHeight="1" thickTop="1" x14ac:dyDescent="0.25">
      <c r="A776" s="3" t="s">
        <v>113</v>
      </c>
      <c r="B776" s="58" t="e">
        <f>VLOOKUP(B709,'Gebouwgegevens Allacker'!$A$35:$F$46,6,0)</f>
        <v>#N/A</v>
      </c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6"/>
    </row>
    <row r="777" spans="1:16" ht="16.5" customHeight="1" x14ac:dyDescent="0.25">
      <c r="A777" s="124" t="s">
        <v>213</v>
      </c>
      <c r="B777" s="118" t="e">
        <f>B778/('Gebouwgegevens Allacker'!E731-'Verwarming Tabula 2zone Ref 1'!$B$4)</f>
        <v>#N/A</v>
      </c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6"/>
    </row>
    <row r="778" spans="1:16" ht="16.5" customHeight="1" x14ac:dyDescent="0.25">
      <c r="A778" s="124" t="s">
        <v>167</v>
      </c>
      <c r="B778" s="118" t="e">
        <f>B775*B776</f>
        <v>#N/A</v>
      </c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6"/>
    </row>
    <row r="779" spans="1:16" ht="15.75" customHeight="1" x14ac:dyDescent="0.25">
      <c r="A779" s="95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6"/>
    </row>
    <row r="780" spans="1:16" ht="15.75" customHeight="1" thickBot="1" x14ac:dyDescent="0.3">
      <c r="A780" s="95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6"/>
    </row>
    <row r="781" spans="1:16" ht="15.75" customHeight="1" thickTop="1" thickBot="1" x14ac:dyDescent="0.3">
      <c r="A781" s="129" t="s">
        <v>214</v>
      </c>
      <c r="B781" s="130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1"/>
    </row>
    <row r="782" spans="1:16" ht="16.5" customHeight="1" thickTop="1" x14ac:dyDescent="0.25">
      <c r="A782" s="124" t="s">
        <v>215</v>
      </c>
      <c r="B782" s="118" t="e">
        <f>SUM(B752,B770,B777)</f>
        <v>#N/A</v>
      </c>
      <c r="C782" s="118" t="s">
        <v>107</v>
      </c>
      <c r="D782" s="132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P782" s="133"/>
    </row>
    <row r="783" spans="1:16" ht="16.5" customHeight="1" x14ac:dyDescent="0.25">
      <c r="A783" s="124" t="s">
        <v>167</v>
      </c>
      <c r="B783" s="118" t="e">
        <f>SUM(B753,B771,B778)</f>
        <v>#N/A</v>
      </c>
      <c r="C783" s="118" t="s">
        <v>169</v>
      </c>
      <c r="D783" s="132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  <c r="O783" s="132"/>
      <c r="P783" s="133"/>
    </row>
    <row r="784" spans="1:16" ht="16.5" customHeight="1" thickBot="1" x14ac:dyDescent="0.3">
      <c r="A784" s="134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6"/>
    </row>
  </sheetData>
  <mergeCells count="32"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755:C755"/>
    <mergeCell ref="A773:D773"/>
    <mergeCell ref="A597:C597"/>
    <mergeCell ref="A615:D615"/>
    <mergeCell ref="A631:D631"/>
    <mergeCell ref="A676:C676"/>
    <mergeCell ref="A694:D694"/>
    <mergeCell ref="A710:D7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topLeftCell="K1" zoomScaleNormal="100" workbookViewId="0">
      <selection activeCell="C58" sqref="C58"/>
    </sheetView>
  </sheetViews>
  <sheetFormatPr defaultRowHeight="15" x14ac:dyDescent="0.25"/>
  <cols>
    <col min="1" max="1025" width="9.140625" style="3"/>
    <col min="1026" max="16384" width="9.140625" style="81"/>
  </cols>
  <sheetData>
    <row r="1" spans="1:26" ht="20.25" customHeight="1" x14ac:dyDescent="0.25">
      <c r="A1" s="341" t="s">
        <v>161</v>
      </c>
      <c r="B1" s="341"/>
      <c r="C1" s="341"/>
      <c r="D1" s="341"/>
      <c r="E1" s="341"/>
      <c r="F1" s="341"/>
      <c r="G1" s="341"/>
      <c r="H1" s="341"/>
      <c r="I1" s="341"/>
      <c r="J1" s="91"/>
      <c r="K1" s="91"/>
      <c r="L1" s="91"/>
      <c r="M1" s="91"/>
      <c r="N1" s="91"/>
      <c r="O1" s="91"/>
      <c r="P1" s="91"/>
    </row>
    <row r="2" spans="1:26" ht="15.75" customHeight="1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26" ht="15.75" customHeight="1" thickBot="1" x14ac:dyDescent="0.3">
      <c r="A3" s="91" t="s">
        <v>162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26" ht="15.75" customHeight="1" thickTop="1" thickBot="1" x14ac:dyDescent="0.3">
      <c r="A4" s="92" t="s">
        <v>163</v>
      </c>
      <c r="B4" s="92">
        <v>-8</v>
      </c>
      <c r="C4" s="92" t="s">
        <v>164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U4" s="93"/>
      <c r="V4" s="299"/>
      <c r="W4" s="299"/>
      <c r="X4" s="299"/>
      <c r="Y4" s="94"/>
    </row>
    <row r="5" spans="1:26" ht="18" customHeight="1" thickTop="1" thickBot="1" x14ac:dyDescent="0.3">
      <c r="A5" s="93"/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94"/>
      <c r="U5" s="95"/>
      <c r="V5" s="338" t="s">
        <v>165</v>
      </c>
      <c r="W5" s="338"/>
      <c r="X5" s="338"/>
      <c r="Y5" s="96"/>
    </row>
    <row r="6" spans="1:26" ht="18.75" customHeight="1" thickTop="1" thickBot="1" x14ac:dyDescent="0.35">
      <c r="A6" s="97" t="s">
        <v>166</v>
      </c>
      <c r="B6" s="92">
        <v>1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6"/>
      <c r="U6" s="95"/>
      <c r="V6" s="99" t="s">
        <v>166</v>
      </c>
      <c r="W6" s="100" t="s">
        <v>167</v>
      </c>
      <c r="X6" s="299"/>
      <c r="Y6" s="96"/>
    </row>
    <row r="7" spans="1:26" ht="16.5" customHeight="1" thickTop="1" x14ac:dyDescent="0.25">
      <c r="A7" s="343" t="s">
        <v>168</v>
      </c>
      <c r="B7" s="343"/>
      <c r="C7" s="343"/>
      <c r="D7" s="343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94"/>
      <c r="U7" s="95"/>
      <c r="V7" s="101">
        <f>B6</f>
        <v>1</v>
      </c>
      <c r="W7" s="102">
        <f>B73</f>
        <v>4290.4812601528802</v>
      </c>
      <c r="X7" s="98" t="s">
        <v>169</v>
      </c>
      <c r="Y7" s="96"/>
      <c r="Z7" s="3">
        <f>0.7*W7</f>
        <v>3003.3368821070158</v>
      </c>
    </row>
    <row r="8" spans="1:26" ht="15" customHeight="1" x14ac:dyDescent="0.25">
      <c r="A8" s="95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6"/>
      <c r="U8" s="95"/>
      <c r="V8" s="101">
        <f>B78</f>
        <v>2</v>
      </c>
      <c r="W8" s="102">
        <f>B152</f>
        <v>2884.3245350936522</v>
      </c>
      <c r="X8" s="98" t="s">
        <v>169</v>
      </c>
      <c r="Y8" s="96"/>
      <c r="Z8" s="3">
        <f>0.7*W8</f>
        <v>2019.0271745655564</v>
      </c>
    </row>
    <row r="9" spans="1:26" ht="15" customHeight="1" x14ac:dyDescent="0.25">
      <c r="A9" s="103" t="s">
        <v>170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6"/>
      <c r="U9" s="95"/>
      <c r="V9" s="101">
        <f>B158</f>
        <v>3</v>
      </c>
      <c r="W9" s="102" t="e">
        <f>B232</f>
        <v>#N/A</v>
      </c>
      <c r="X9" s="98" t="s">
        <v>169</v>
      </c>
      <c r="Y9" s="96"/>
    </row>
    <row r="10" spans="1:26" ht="15" customHeight="1" x14ac:dyDescent="0.25">
      <c r="A10" s="95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6"/>
      <c r="U10" s="95"/>
      <c r="V10" s="101">
        <f>B237</f>
        <v>4</v>
      </c>
      <c r="W10" s="102" t="e">
        <f>B311</f>
        <v>#N/A</v>
      </c>
      <c r="X10" s="98" t="s">
        <v>169</v>
      </c>
      <c r="Y10" s="96"/>
    </row>
    <row r="11" spans="1:26" ht="15.75" customHeight="1" thickBot="1" x14ac:dyDescent="0.3">
      <c r="A11" s="95"/>
      <c r="B11" s="104" t="s">
        <v>10</v>
      </c>
      <c r="C11" s="104" t="s">
        <v>171</v>
      </c>
      <c r="D11" s="104" t="s">
        <v>172</v>
      </c>
      <c r="E11" s="104" t="s">
        <v>173</v>
      </c>
      <c r="F11" s="104" t="s">
        <v>174</v>
      </c>
      <c r="G11" s="104" t="s">
        <v>16</v>
      </c>
      <c r="H11" s="105" t="s">
        <v>17</v>
      </c>
      <c r="I11" s="105" t="s">
        <v>175</v>
      </c>
      <c r="J11" s="98"/>
      <c r="K11" s="98"/>
      <c r="L11" s="98"/>
      <c r="M11" s="98"/>
      <c r="N11" s="98"/>
      <c r="O11" s="98"/>
      <c r="P11" s="96"/>
      <c r="U11" s="95"/>
      <c r="V11" s="101">
        <f>B316</f>
        <v>5</v>
      </c>
      <c r="W11" s="102" t="e">
        <f>B390</f>
        <v>#N/A</v>
      </c>
      <c r="X11" s="98" t="s">
        <v>169</v>
      </c>
      <c r="Y11" s="96"/>
    </row>
    <row r="12" spans="1:26" ht="16.5" customHeight="1" thickTop="1" thickBot="1" x14ac:dyDescent="0.3">
      <c r="A12" s="95"/>
      <c r="B12" s="106" t="str">
        <f>'Tabula 2zone Ref 2'!J6</f>
        <v>W1</v>
      </c>
      <c r="C12" s="107">
        <f>VLOOKUP(B12,'Tabula 2zone Ref 2'!$J$5:$Q$83,3,0)</f>
        <v>1</v>
      </c>
      <c r="D12" s="107" t="str">
        <f>VLOOKUP(B12,'Tabula 2zone Ref 2'!$J$5:$Q$83,4,0)</f>
        <v>Wall External</v>
      </c>
      <c r="E12" s="107">
        <f>VLOOKUP(B12,'Tabula 2zone Ref 2'!$J$5:$Q$83,5,0)</f>
        <v>17.590457494591035</v>
      </c>
      <c r="F12" s="107" t="str">
        <f>VLOOKUP(B12,'Tabula 2zone Ref 2'!$J$5:$Q$83,6,0)</f>
        <v>front</v>
      </c>
      <c r="G12" s="107">
        <f>VLOOKUP(B12,'Tabula 2zone Ref 2'!$J$5:$Q$83,7,0)</f>
        <v>0.22509582884017654</v>
      </c>
      <c r="H12" s="108">
        <f>VLOOKUP(B12,'Tabula 2zone Ref 2'!$J$5:$Q$83,8,0)</f>
        <v>3.9595386094228644</v>
      </c>
      <c r="I12" s="108">
        <v>1</v>
      </c>
      <c r="J12" s="98"/>
      <c r="K12" s="98"/>
      <c r="L12" s="98"/>
      <c r="M12" s="98"/>
      <c r="N12" s="98"/>
      <c r="O12" s="98"/>
      <c r="P12" s="96"/>
      <c r="U12" s="95"/>
      <c r="V12" s="101">
        <f>6</f>
        <v>6</v>
      </c>
      <c r="W12" s="102" t="e">
        <f>B468</f>
        <v>#N/A</v>
      </c>
      <c r="X12" s="98" t="s">
        <v>169</v>
      </c>
      <c r="Y12" s="96"/>
    </row>
    <row r="13" spans="1:26" ht="16.5" customHeight="1" thickTop="1" thickBot="1" x14ac:dyDescent="0.3">
      <c r="A13" s="95"/>
      <c r="B13" s="106" t="str">
        <f>'Tabula 2zone Ref 2'!J7</f>
        <v>W2</v>
      </c>
      <c r="C13" s="107">
        <f>VLOOKUP(B13,'Tabula 2zone Ref 2'!$J$5:$Q$83,3,0)</f>
        <v>1</v>
      </c>
      <c r="D13" s="107" t="str">
        <f>VLOOKUP(B13,'Tabula 2zone Ref 2'!$J$5:$Q$83,4,0)</f>
        <v>Wall External</v>
      </c>
      <c r="E13" s="107">
        <f>VLOOKUP(B13,'Tabula 2zone Ref 2'!$J$5:$Q$83,5,0)</f>
        <v>30.921227867960802</v>
      </c>
      <c r="F13" s="107" t="str">
        <f>VLOOKUP(B13,'Tabula 2zone Ref 2'!$J$5:$Q$83,6,0)</f>
        <v>right</v>
      </c>
      <c r="G13" s="107">
        <f>VLOOKUP(B13,'Tabula 2zone Ref 2'!$J$5:$Q$83,7,0)</f>
        <v>0.22509582884017654</v>
      </c>
      <c r="H13" s="108">
        <f>VLOOKUP(B13,'Tabula 2zone Ref 2'!$J$5:$Q$83,8,0)</f>
        <v>6.9602394156946019</v>
      </c>
      <c r="I13" s="108">
        <v>1</v>
      </c>
      <c r="J13" s="98"/>
      <c r="K13" s="98"/>
      <c r="L13" s="98"/>
      <c r="M13" s="98"/>
      <c r="N13" s="98"/>
      <c r="O13" s="98"/>
      <c r="P13" s="96"/>
      <c r="U13" s="95"/>
      <c r="V13" s="101">
        <v>7</v>
      </c>
      <c r="W13" s="102" t="e">
        <f>B546</f>
        <v>#N/A</v>
      </c>
      <c r="X13" s="98" t="s">
        <v>169</v>
      </c>
      <c r="Y13" s="96"/>
    </row>
    <row r="14" spans="1:26" ht="16.5" customHeight="1" thickTop="1" thickBot="1" x14ac:dyDescent="0.3">
      <c r="A14" s="95"/>
      <c r="B14" s="106" t="str">
        <f>'Tabula 2zone Ref 2'!J8</f>
        <v>W3</v>
      </c>
      <c r="C14" s="107">
        <f>VLOOKUP(B14,'Tabula 2zone Ref 2'!$J$5:$Q$83,3,0)</f>
        <v>1</v>
      </c>
      <c r="D14" s="107" t="str">
        <f>VLOOKUP(B14,'Tabula 2zone Ref 2'!$J$5:$Q$83,4,0)</f>
        <v>Wall External</v>
      </c>
      <c r="E14" s="107">
        <f>VLOOKUP(B14,'Tabula 2zone Ref 2'!$J$5:$Q$83,5,0)</f>
        <v>17.590457494591035</v>
      </c>
      <c r="F14" s="107" t="str">
        <f>VLOOKUP(B14,'Tabula 2zone Ref 2'!$J$5:$Q$83,6,0)</f>
        <v>back</v>
      </c>
      <c r="G14" s="107">
        <f>VLOOKUP(B14,'Tabula 2zone Ref 2'!$J$5:$Q$83,7,0)</f>
        <v>0.22509582884017654</v>
      </c>
      <c r="H14" s="108">
        <f>VLOOKUP(B14,'Tabula 2zone Ref 2'!$J$5:$Q$83,8,0)</f>
        <v>3.9595386094228644</v>
      </c>
      <c r="I14" s="108">
        <v>1</v>
      </c>
      <c r="J14" s="98"/>
      <c r="K14" s="98"/>
      <c r="L14" s="98"/>
      <c r="M14" s="98"/>
      <c r="N14" s="98"/>
      <c r="O14" s="98"/>
      <c r="P14" s="96"/>
      <c r="U14" s="95"/>
      <c r="V14" s="101">
        <v>8</v>
      </c>
      <c r="W14" s="102" t="e">
        <f>B625</f>
        <v>#N/A</v>
      </c>
      <c r="X14" s="98" t="s">
        <v>169</v>
      </c>
      <c r="Y14" s="96"/>
    </row>
    <row r="15" spans="1:26" ht="16.5" customHeight="1" thickTop="1" thickBot="1" x14ac:dyDescent="0.3">
      <c r="A15" s="95"/>
      <c r="B15" s="106" t="str">
        <f>'Tabula 2zone Ref 2'!J9</f>
        <v>W4</v>
      </c>
      <c r="C15" s="107">
        <f>VLOOKUP(B15,'Tabula 2zone Ref 2'!$J$5:$Q$83,3,0)</f>
        <v>1</v>
      </c>
      <c r="D15" s="107" t="str">
        <f>VLOOKUP(B15,'Tabula 2zone Ref 2'!$J$5:$Q$83,4,0)</f>
        <v>Wall External</v>
      </c>
      <c r="E15" s="107">
        <f>VLOOKUP(B15,'Tabula 2zone Ref 2'!$J$5:$Q$83,5,0)</f>
        <v>0</v>
      </c>
      <c r="F15" s="107" t="str">
        <f>VLOOKUP(B15,'Tabula 2zone Ref 2'!$J$5:$Q$83,6,0)</f>
        <v>left</v>
      </c>
      <c r="G15" s="107">
        <f>VLOOKUP(B15,'Tabula 2zone Ref 2'!$J$5:$Q$83,7,0)</f>
        <v>0.22509582884017654</v>
      </c>
      <c r="H15" s="108">
        <f>VLOOKUP(B15,'Tabula 2zone Ref 2'!$J$5:$Q$83,8,0)</f>
        <v>0</v>
      </c>
      <c r="I15" s="108">
        <v>1</v>
      </c>
      <c r="J15" s="98"/>
      <c r="K15" s="98"/>
      <c r="L15" s="98"/>
      <c r="M15" s="98"/>
      <c r="N15" s="98"/>
      <c r="O15" s="98"/>
      <c r="P15" s="96"/>
      <c r="U15" s="95"/>
      <c r="V15" s="101">
        <v>9</v>
      </c>
      <c r="W15" s="102" t="e">
        <f>B704</f>
        <v>#N/A</v>
      </c>
      <c r="X15" s="98" t="s">
        <v>169</v>
      </c>
      <c r="Y15" s="96"/>
    </row>
    <row r="16" spans="1:26" ht="16.5" customHeight="1" thickTop="1" thickBot="1" x14ac:dyDescent="0.3">
      <c r="A16" s="95"/>
      <c r="B16" s="106" t="str">
        <f>'Tabula 2zone Ref 2'!J10</f>
        <v>W5</v>
      </c>
      <c r="C16" s="107">
        <f>VLOOKUP(B16,'Tabula 2zone Ref 2'!$J$5:$Q$83,3,0)</f>
        <v>1</v>
      </c>
      <c r="D16" s="107" t="str">
        <f>VLOOKUP(B16,'Tabula 2zone Ref 2'!$J$5:$Q$83,4,0)</f>
        <v>Window</v>
      </c>
      <c r="E16" s="107">
        <f>VLOOKUP(B16,'Tabula 2zone Ref 2'!$J$5:$Q$83,5,0)</f>
        <v>4.05</v>
      </c>
      <c r="F16" s="107" t="str">
        <f>VLOOKUP(B16,'Tabula 2zone Ref 2'!$J$5:$Q$83,6,0)</f>
        <v>front</v>
      </c>
      <c r="G16" s="107">
        <f>VLOOKUP(B16,'Tabula 2zone Ref 2'!$J$5:$Q$83,7,0)</f>
        <v>1.1000000000000001</v>
      </c>
      <c r="H16" s="108">
        <f>VLOOKUP(B16,'Tabula 2zone Ref 2'!$J$5:$Q$83,8,0)</f>
        <v>4.4550000000000001</v>
      </c>
      <c r="I16" s="108">
        <v>1</v>
      </c>
      <c r="J16" s="98"/>
      <c r="K16" s="98"/>
      <c r="L16" s="98"/>
      <c r="M16" s="98"/>
      <c r="N16" s="98"/>
      <c r="O16" s="98"/>
      <c r="P16" s="96"/>
      <c r="U16" s="95"/>
      <c r="V16" s="101">
        <v>10</v>
      </c>
      <c r="W16" s="102" t="e">
        <f>B783</f>
        <v>#N/A</v>
      </c>
      <c r="X16" s="98" t="s">
        <v>169</v>
      </c>
      <c r="Y16" s="96"/>
    </row>
    <row r="17" spans="1:25" ht="16.5" customHeight="1" thickTop="1" thickBot="1" x14ac:dyDescent="0.3">
      <c r="A17" s="95"/>
      <c r="B17" s="106" t="str">
        <f>'Tabula 2zone Ref 2'!J11</f>
        <v>W6</v>
      </c>
      <c r="C17" s="107">
        <f>VLOOKUP(B17,'Tabula 2zone Ref 2'!$J$5:$Q$83,3,0)</f>
        <v>1</v>
      </c>
      <c r="D17" s="107" t="str">
        <f>VLOOKUP(B17,'Tabula 2zone Ref 2'!$J$5:$Q$83,4,0)</f>
        <v>Window</v>
      </c>
      <c r="E17" s="107">
        <f>VLOOKUP(B17,'Tabula 2zone Ref 2'!$J$5:$Q$83,5,0)</f>
        <v>3.45</v>
      </c>
      <c r="F17" s="107" t="str">
        <f>VLOOKUP(B17,'Tabula 2zone Ref 2'!$J$5:$Q$83,6,0)</f>
        <v>right</v>
      </c>
      <c r="G17" s="107">
        <f>VLOOKUP(B17,'Tabula 2zone Ref 2'!$J$5:$Q$83,7,0)</f>
        <v>1.1000000000000001</v>
      </c>
      <c r="H17" s="108">
        <f>VLOOKUP(B17,'Tabula 2zone Ref 2'!$J$5:$Q$83,8,0)</f>
        <v>3.7950000000000004</v>
      </c>
      <c r="I17" s="108">
        <v>1</v>
      </c>
      <c r="J17" s="98"/>
      <c r="K17" s="98"/>
      <c r="L17" s="98"/>
      <c r="M17" s="98"/>
      <c r="N17" s="98"/>
      <c r="O17" s="98"/>
      <c r="P17" s="96"/>
      <c r="U17" s="95"/>
      <c r="V17" s="101"/>
      <c r="W17" s="102"/>
      <c r="X17" s="98"/>
      <c r="Y17" s="96"/>
    </row>
    <row r="18" spans="1:25" ht="16.5" customHeight="1" thickTop="1" thickBot="1" x14ac:dyDescent="0.3">
      <c r="A18" s="95"/>
      <c r="B18" s="106" t="str">
        <f>'Tabula 2zone Ref 2'!J12</f>
        <v>W7</v>
      </c>
      <c r="C18" s="107">
        <f>VLOOKUP(B18,'Tabula 2zone Ref 2'!$J$5:$Q$83,3,0)</f>
        <v>1</v>
      </c>
      <c r="D18" s="107" t="str">
        <f>VLOOKUP(B18,'Tabula 2zone Ref 2'!$J$5:$Q$83,4,0)</f>
        <v>Window</v>
      </c>
      <c r="E18" s="107">
        <f>VLOOKUP(B18,'Tabula 2zone Ref 2'!$J$5:$Q$83,5,0)</f>
        <v>4.5</v>
      </c>
      <c r="F18" s="107" t="str">
        <f>VLOOKUP(B18,'Tabula 2zone Ref 2'!$J$5:$Q$83,6,0)</f>
        <v>back</v>
      </c>
      <c r="G18" s="107">
        <f>VLOOKUP(B18,'Tabula 2zone Ref 2'!$J$5:$Q$83,7,0)</f>
        <v>1.1000000000000001</v>
      </c>
      <c r="H18" s="108">
        <f>VLOOKUP(B18,'Tabula 2zone Ref 2'!$J$5:$Q$83,8,0)</f>
        <v>4.95</v>
      </c>
      <c r="I18" s="108">
        <v>1</v>
      </c>
      <c r="J18" s="98"/>
      <c r="K18" s="98"/>
      <c r="L18" s="98"/>
      <c r="M18" s="98"/>
      <c r="N18" s="98"/>
      <c r="O18" s="98"/>
      <c r="P18" s="96"/>
      <c r="U18" s="95"/>
      <c r="V18" s="99" t="s">
        <v>176</v>
      </c>
      <c r="W18" s="100" t="e">
        <f>SUM(W7:W16)</f>
        <v>#N/A</v>
      </c>
      <c r="X18" s="299" t="s">
        <v>169</v>
      </c>
      <c r="Y18" s="96"/>
    </row>
    <row r="19" spans="1:25" ht="16.5" customHeight="1" thickTop="1" thickBot="1" x14ac:dyDescent="0.3">
      <c r="A19" s="95"/>
      <c r="B19" s="106" t="str">
        <f>'Tabula 2zone Ref 2'!J13</f>
        <v>W8</v>
      </c>
      <c r="C19" s="107">
        <f>VLOOKUP(B19,'Tabula 2zone Ref 2'!$J$5:$Q$83,3,0)</f>
        <v>1</v>
      </c>
      <c r="D19" s="107" t="str">
        <f>VLOOKUP(B19,'Tabula 2zone Ref 2'!$J$5:$Q$83,4,0)</f>
        <v>Window</v>
      </c>
      <c r="E19" s="107">
        <f>VLOOKUP(B19,'Tabula 2zone Ref 2'!$J$5:$Q$83,5,0)</f>
        <v>5.05</v>
      </c>
      <c r="F19" s="107" t="str">
        <f>VLOOKUP(B19,'Tabula 2zone Ref 2'!$J$5:$Q$83,6,0)</f>
        <v>left</v>
      </c>
      <c r="G19" s="107">
        <f>VLOOKUP(B19,'Tabula 2zone Ref 2'!$J$5:$Q$83,7,0)</f>
        <v>1.1000000000000001</v>
      </c>
      <c r="H19" s="108">
        <f>VLOOKUP(B19,'Tabula 2zone Ref 2'!$J$5:$Q$83,8,0)</f>
        <v>5.5550000000000006</v>
      </c>
      <c r="I19" s="108">
        <v>1</v>
      </c>
      <c r="J19" s="98"/>
      <c r="K19" s="98"/>
      <c r="L19" s="98"/>
      <c r="M19" s="98"/>
      <c r="N19" s="98"/>
      <c r="O19" s="98"/>
      <c r="P19" s="96"/>
      <c r="U19" s="109"/>
      <c r="V19" s="110"/>
      <c r="W19" s="110"/>
      <c r="X19" s="110"/>
      <c r="Y19" s="111"/>
    </row>
    <row r="20" spans="1:25" ht="16.5" customHeight="1" thickTop="1" thickBot="1" x14ac:dyDescent="0.3">
      <c r="A20" s="95"/>
      <c r="B20" s="106"/>
      <c r="C20" s="107"/>
      <c r="D20" s="107"/>
      <c r="E20" s="107"/>
      <c r="F20" s="107"/>
      <c r="G20" s="107"/>
      <c r="H20" s="108"/>
      <c r="I20" s="108"/>
      <c r="J20" s="98"/>
      <c r="K20" s="98"/>
      <c r="L20" s="98"/>
      <c r="M20" s="98"/>
      <c r="N20" s="98"/>
      <c r="O20" s="98"/>
      <c r="P20" s="96"/>
      <c r="U20" s="98"/>
      <c r="V20" s="98"/>
      <c r="W20" s="98"/>
      <c r="X20" s="98"/>
      <c r="Y20" s="98"/>
    </row>
    <row r="21" spans="1:25" ht="16.5" customHeight="1" thickTop="1" thickBot="1" x14ac:dyDescent="0.3">
      <c r="A21" s="95"/>
      <c r="B21" s="106" t="str">
        <f>'Gebouwgegevens Allacker'!J15</f>
        <v>W10</v>
      </c>
      <c r="C21" s="107">
        <f>VLOOKUP(B21,'Tabula 2zone Ref 2'!$J$5:$Q$83,3,0)</f>
        <v>1</v>
      </c>
      <c r="D21" s="107" t="str">
        <f>VLOOKUP(B21,'Tabula 2zone Ref 2'!$J$5:$Q$83,4,0)</f>
        <v>Roof</v>
      </c>
      <c r="E21" s="107">
        <f>VLOOKUP(B21,'Tabula 2zone Ref 2'!$J$5:$Q$83,5,0)</f>
        <v>0</v>
      </c>
      <c r="F21" s="107">
        <f>VLOOKUP(B21,'Tabula 2zone Ref 2'!$J$5:$Q$83,6,0)</f>
        <v>0</v>
      </c>
      <c r="G21" s="107">
        <f>VLOOKUP(B21,'Tabula 2zone Ref 2'!$J$5:$Q$83,7,0)</f>
        <v>0.16141672417624836</v>
      </c>
      <c r="H21" s="108">
        <f>VLOOKUP(B21,'Tabula 2zone Ref 2'!$J$5:$Q$83,8,0)</f>
        <v>0</v>
      </c>
      <c r="I21" s="108">
        <v>1</v>
      </c>
      <c r="J21" s="98"/>
      <c r="K21" s="98"/>
      <c r="L21" s="98"/>
      <c r="M21" s="98"/>
      <c r="N21" s="98"/>
      <c r="O21" s="98"/>
      <c r="P21" s="96"/>
      <c r="U21" s="98"/>
      <c r="V21" s="98" t="s">
        <v>266</v>
      </c>
      <c r="W21" s="98">
        <f>1.1*W7</f>
        <v>4719.5293861681685</v>
      </c>
      <c r="X21" s="98"/>
      <c r="Y21" s="98"/>
    </row>
    <row r="22" spans="1:25" ht="16.5" customHeight="1" thickTop="1" thickBot="1" x14ac:dyDescent="0.3">
      <c r="A22" s="95"/>
      <c r="B22" s="106" t="s">
        <v>67</v>
      </c>
      <c r="C22" s="107">
        <f>VLOOKUP(B22,'Tabula 2zone Ref 2'!$J$5:$Q$83,3,0)</f>
        <v>1</v>
      </c>
      <c r="D22" s="107" t="str">
        <f>VLOOKUP(B22,'Tabula 2zone Ref 2'!$J$5:$Q$83,4,0)</f>
        <v>Door</v>
      </c>
      <c r="E22" s="107">
        <f>VLOOKUP(B22,'Tabula 2zone Ref 2'!$J$5:$Q$83,5,0)</f>
        <v>9.5</v>
      </c>
      <c r="F22" s="107">
        <f>VLOOKUP(B22,'Tabula 2zone Ref 2'!$J$5:$Q$83,6,0)</f>
        <v>0</v>
      </c>
      <c r="G22" s="107">
        <f>VLOOKUP(B22,'Tabula 2zone Ref 2'!$J$5:$Q$83,7,0)</f>
        <v>3.5</v>
      </c>
      <c r="H22" s="108">
        <f>VLOOKUP(B22,'Tabula 2zone Ref 2'!$J$5:$Q$83,8,0)</f>
        <v>33.25</v>
      </c>
      <c r="I22" s="108">
        <v>1</v>
      </c>
      <c r="J22" s="98"/>
      <c r="K22" s="98"/>
      <c r="L22" s="98"/>
      <c r="M22" s="98"/>
      <c r="N22" s="98"/>
      <c r="O22" s="98"/>
      <c r="P22" s="96"/>
      <c r="U22" s="98"/>
      <c r="V22" s="98"/>
      <c r="W22" s="98"/>
      <c r="X22" s="98"/>
      <c r="Y22" s="98"/>
    </row>
    <row r="23" spans="1:25" ht="16.5" customHeight="1" thickTop="1" thickBot="1" x14ac:dyDescent="0.3">
      <c r="A23" s="95"/>
      <c r="B23" s="106"/>
      <c r="C23" s="107"/>
      <c r="D23" s="107"/>
      <c r="E23" s="107"/>
      <c r="F23" s="107"/>
      <c r="G23" s="107"/>
      <c r="H23" s="108"/>
      <c r="I23" s="108"/>
      <c r="J23" s="98"/>
      <c r="K23" s="98"/>
      <c r="L23" s="98"/>
      <c r="M23" s="98"/>
      <c r="N23" s="98"/>
      <c r="O23" s="98"/>
      <c r="P23" s="96"/>
      <c r="U23" s="98"/>
      <c r="V23" s="98"/>
      <c r="W23" s="98"/>
      <c r="X23" s="98"/>
      <c r="Y23" s="98"/>
    </row>
    <row r="24" spans="1:25" ht="15.75" customHeight="1" thickTop="1" x14ac:dyDescent="0.25">
      <c r="A24" s="95"/>
      <c r="B24" s="112"/>
      <c r="C24" s="113"/>
      <c r="D24" s="113"/>
      <c r="E24" s="113"/>
      <c r="F24" s="113"/>
      <c r="G24" s="113"/>
      <c r="H24" s="108"/>
      <c r="I24" s="108"/>
      <c r="J24" s="98"/>
      <c r="K24" s="98"/>
      <c r="L24" s="98"/>
      <c r="M24" s="98"/>
      <c r="N24" s="98"/>
      <c r="O24" s="98"/>
      <c r="P24" s="96"/>
      <c r="U24" s="98"/>
      <c r="V24" s="98"/>
      <c r="W24" s="98"/>
      <c r="X24" s="98"/>
      <c r="Y24" s="98"/>
    </row>
    <row r="25" spans="1:25" ht="15" customHeight="1" x14ac:dyDescent="0.25">
      <c r="A25" s="95"/>
      <c r="B25" s="112"/>
      <c r="C25" s="113"/>
      <c r="D25" s="113"/>
      <c r="E25" s="113"/>
      <c r="F25" s="113"/>
      <c r="G25" s="113"/>
      <c r="H25" s="108"/>
      <c r="I25" s="108"/>
      <c r="J25" s="98"/>
      <c r="K25" s="98"/>
      <c r="L25" s="98"/>
      <c r="M25" s="98"/>
      <c r="N25" s="98"/>
      <c r="O25" s="98"/>
      <c r="P25" s="96"/>
      <c r="U25" s="98"/>
      <c r="V25" s="98"/>
      <c r="W25" s="98"/>
      <c r="X25" s="98"/>
      <c r="Y25" s="98"/>
    </row>
    <row r="26" spans="1:25" ht="15" customHeight="1" x14ac:dyDescent="0.25">
      <c r="A26" s="103" t="s">
        <v>177</v>
      </c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6"/>
    </row>
    <row r="27" spans="1:25" ht="15.75" customHeight="1" x14ac:dyDescent="0.25">
      <c r="A27" s="95"/>
      <c r="B27" s="58" t="s">
        <v>10</v>
      </c>
      <c r="C27" s="58" t="s">
        <v>178</v>
      </c>
      <c r="D27" s="58" t="s">
        <v>172</v>
      </c>
      <c r="E27" s="58" t="s">
        <v>179</v>
      </c>
      <c r="F27" s="58" t="s">
        <v>16</v>
      </c>
      <c r="G27" s="114" t="s">
        <v>17</v>
      </c>
      <c r="H27" s="114" t="s">
        <v>175</v>
      </c>
      <c r="I27" s="58" t="s">
        <v>180</v>
      </c>
      <c r="J27" s="58" t="s">
        <v>181</v>
      </c>
      <c r="K27" s="58" t="s">
        <v>182</v>
      </c>
      <c r="L27" s="115" t="s">
        <v>183</v>
      </c>
      <c r="M27" s="115" t="s">
        <v>184</v>
      </c>
      <c r="N27" s="115" t="s">
        <v>185</v>
      </c>
      <c r="O27" s="98"/>
      <c r="P27" s="96"/>
    </row>
    <row r="28" spans="1:25" ht="16.5" customHeight="1" thickBot="1" x14ac:dyDescent="0.3">
      <c r="A28" s="95"/>
      <c r="B28" s="116" t="s">
        <v>61</v>
      </c>
      <c r="C28" s="117">
        <f>VLOOKUP(B28,'Tabula 2zone Ref 2'!$J$5:$Q$83,3,0)</f>
        <v>1</v>
      </c>
      <c r="D28" s="117" t="str">
        <f>VLOOKUP(B28,'Tabula 2zone Ref 2'!$J$5:$Q$83,4,0)</f>
        <v>Floor</v>
      </c>
      <c r="E28" s="117">
        <f>VLOOKUP(B28,'Tabula 2zone Ref 2'!$J$5:$Q$83,5,0)</f>
        <v>103.4</v>
      </c>
      <c r="F28" s="117">
        <f>VLOOKUP(B28,'Tabula 2zone Ref 2'!$J$5:$Q$83,7,0)</f>
        <v>0.22994798795510538</v>
      </c>
      <c r="G28" s="118">
        <f>VLOOKUP(B28,'Tabula 2zone Ref 2'!$J$5:$Q$83,8,0)</f>
        <v>23.776621954557896</v>
      </c>
      <c r="H28" s="118">
        <f>N28/F28*1.45*(G34-12)/(G34+8)</f>
        <v>0.34989091811473338</v>
      </c>
      <c r="I28" s="117">
        <f>'Tabula 2zone Ref 2'!N14</f>
        <v>103.4</v>
      </c>
      <c r="J28" s="116">
        <f>SQRT(I28)*4</f>
        <v>40.67431622043572</v>
      </c>
      <c r="K28" s="116">
        <f>SUM('Tabula 2zone Ref 2'!Y17:Y19)</f>
        <v>0.16500000000000001</v>
      </c>
      <c r="L28" s="119">
        <f>I28/(0.5*J28)</f>
        <v>5.0842895275544642</v>
      </c>
      <c r="M28" s="119">
        <f>K28+2*(1/F28)</f>
        <v>8.862619047619047</v>
      </c>
      <c r="N28" s="120">
        <f>IF(M28&lt;L28,2*2/(PI()*L28+M28)*LN(PI()*L28/M28+1),2/(0.457*L28+M28))</f>
        <v>0.17879269472054993</v>
      </c>
      <c r="O28" s="98"/>
      <c r="P28" s="96"/>
    </row>
    <row r="29" spans="1:25" ht="15.75" customHeight="1" thickTop="1" x14ac:dyDescent="0.25">
      <c r="A29" s="95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8"/>
      <c r="P29" s="96"/>
    </row>
    <row r="30" spans="1:25" ht="15" customHeight="1" x14ac:dyDescent="0.25">
      <c r="A30" s="95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6"/>
    </row>
    <row r="31" spans="1:25" ht="15" customHeight="1" x14ac:dyDescent="0.25">
      <c r="A31" s="103" t="s">
        <v>186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6"/>
      <c r="V31" s="3" t="e">
        <f>1.1*W18</f>
        <v>#N/A</v>
      </c>
    </row>
    <row r="32" spans="1:25" ht="15.75" customHeight="1" thickBot="1" x14ac:dyDescent="0.3">
      <c r="A32" s="95"/>
      <c r="B32" s="58" t="s">
        <v>10</v>
      </c>
      <c r="C32" s="58" t="s">
        <v>187</v>
      </c>
      <c r="D32" s="58" t="s">
        <v>188</v>
      </c>
      <c r="E32" s="58" t="s">
        <v>135</v>
      </c>
      <c r="F32" s="58" t="s">
        <v>189</v>
      </c>
      <c r="G32" s="58" t="s">
        <v>190</v>
      </c>
      <c r="H32" s="58" t="s">
        <v>191</v>
      </c>
      <c r="I32" s="58" t="s">
        <v>16</v>
      </c>
      <c r="J32" s="114" t="s">
        <v>17</v>
      </c>
      <c r="K32" s="114" t="s">
        <v>175</v>
      </c>
      <c r="L32" s="98"/>
      <c r="M32" s="98"/>
      <c r="N32" s="98"/>
      <c r="O32" s="98"/>
      <c r="P32" s="96"/>
    </row>
    <row r="33" spans="1:16" ht="16.5" customHeight="1" thickTop="1" thickBot="1" x14ac:dyDescent="0.3">
      <c r="A33" s="95"/>
      <c r="B33" s="121" t="s">
        <v>98</v>
      </c>
      <c r="C33" s="122">
        <f>IF(VLOOKUP(B33,'Tabula 2zone Ref 2'!$J$5:$Q$83,2,0)=B$6,VLOOKUP(B33,'Tabula 2zone Ref 2'!$J$5:$Q$83,2,0),VLOOKUP(B33,'Tabula 2zone Ref 2'!$J$5:$Q$83,3,0))</f>
        <v>1</v>
      </c>
      <c r="D33" s="122">
        <f>IF(VLOOKUP(B33,'Tabula 2zone Ref 2'!$J$5:$Q$83,2,0)=B$6,VLOOKUP(B33,'Tabula 2zone Ref 2'!$J$5:$Q$83,3,0),VLOOKUP(B33,'Tabula 2zone Ref 2'!$J$5:$Q$83,2,0))</f>
        <v>2</v>
      </c>
      <c r="E33" s="122" t="str">
        <f>VLOOKUP(B33,'Tabula 2zone Ref 2'!$J$5:$Q$83,4,0)</f>
        <v>Floor internal</v>
      </c>
      <c r="F33" s="122">
        <f>VLOOKUP(B33,'Tabula 2zone Ref 2'!$J$5:$Q$83,5,0)</f>
        <v>89.300000000000011</v>
      </c>
      <c r="G33" s="122">
        <f>VLOOKUP('Verwarming Tabula 2zone Ref 2'!C33,'Tabula 2zone Ref 2'!$A$34:$F$45,5,0)</f>
        <v>21</v>
      </c>
      <c r="H33" s="122">
        <f>VLOOKUP('Verwarming Tabula 2zone Ref 2'!D33,'Tabula 2zone Ref 2'!$A$34:$F$45,5,0)</f>
        <v>18</v>
      </c>
      <c r="I33" s="122">
        <f>VLOOKUP(B33,'Tabula 2zone Ref 2'!$J$5:$Q$83,7,0)</f>
        <v>1.4549653579676673</v>
      </c>
      <c r="J33" s="118">
        <f>VLOOKUP(B33,'Tabula 2zone Ref 2'!$J$5:$Q$83,8,0)</f>
        <v>129.92840646651271</v>
      </c>
      <c r="K33" s="118">
        <f>(G33-H33)/(G33-$B$4)</f>
        <v>0.10344827586206896</v>
      </c>
      <c r="L33" s="98"/>
      <c r="M33" s="98"/>
      <c r="N33" s="98"/>
      <c r="O33" s="98"/>
      <c r="P33" s="96"/>
    </row>
    <row r="34" spans="1:16" ht="16.5" customHeight="1" thickTop="1" thickBot="1" x14ac:dyDescent="0.3">
      <c r="A34" s="95"/>
      <c r="B34" s="121" t="s">
        <v>101</v>
      </c>
      <c r="C34" s="122">
        <f>IF(VLOOKUP(B34,'Tabula 2zone Ref 2'!$J$5:$Q$83,2,0)=B$6,VLOOKUP(B34,'Tabula 2zone Ref 2'!$J$5:$Q$83,2,0),VLOOKUP(B34,'Tabula 2zone Ref 2'!$J$5:$Q$83,3,0))</f>
        <v>1</v>
      </c>
      <c r="D34" s="122">
        <f>IF(VLOOKUP(B34,'Tabula 2zone Ref 2'!$J$5:$Q$83,2,0)=B$6,VLOOKUP(B34,'Tabula 2zone Ref 2'!$J$5:$Q$83,3,0),VLOOKUP(B34,'Tabula 2zone Ref 2'!$J$5:$Q$83,2,0))</f>
        <v>1</v>
      </c>
      <c r="E34" s="122" t="str">
        <f>VLOOKUP(B34,'Tabula 2zone Ref 2'!$J$5:$Q$83,4,0)</f>
        <v>Wall internal</v>
      </c>
      <c r="F34" s="122">
        <f>VLOOKUP(B34,'Tabula 2zone Ref 2'!$J$5:$Q$83,5,0)</f>
        <v>66.102142857142866</v>
      </c>
      <c r="G34" s="122">
        <f>VLOOKUP('Verwarming Tabula 2zone Ref 2'!C34,'Tabula 2zone Ref 2'!$A$34:$F$45,5,0)</f>
        <v>21</v>
      </c>
      <c r="H34" s="122">
        <f>VLOOKUP('Verwarming Tabula 2zone Ref 2'!D34,'Tabula 2zone Ref 2'!$A$34:$F$45,5,0)</f>
        <v>21</v>
      </c>
      <c r="I34" s="122">
        <f>VLOOKUP(B34,'Tabula 2zone Ref 2'!$J$5:$Q$83,7,0)</f>
        <v>1.7363344051446945</v>
      </c>
      <c r="J34" s="118">
        <f>VLOOKUP(B34,'Tabula 2zone Ref 2'!$J$5:$Q$83,8,0)</f>
        <v>114.77542489664677</v>
      </c>
      <c r="K34" s="118">
        <f>(G34-H34)/(G34-$B$4)</f>
        <v>0</v>
      </c>
      <c r="L34" s="98"/>
      <c r="M34" s="98"/>
      <c r="N34" s="98"/>
      <c r="O34" s="98"/>
      <c r="P34" s="96"/>
    </row>
    <row r="35" spans="1:16" ht="16.5" customHeight="1" thickTop="1" thickBot="1" x14ac:dyDescent="0.3">
      <c r="A35" s="95"/>
      <c r="B35" s="121"/>
      <c r="C35" s="122"/>
      <c r="D35" s="122"/>
      <c r="E35" s="122"/>
      <c r="F35" s="122"/>
      <c r="G35" s="122"/>
      <c r="H35" s="122"/>
      <c r="I35" s="122"/>
      <c r="J35" s="118"/>
      <c r="K35" s="118"/>
      <c r="L35" s="98"/>
      <c r="M35" s="98"/>
      <c r="N35" s="98"/>
      <c r="O35" s="98"/>
      <c r="P35" s="96"/>
    </row>
    <row r="36" spans="1:16" ht="16.5" customHeight="1" thickTop="1" thickBot="1" x14ac:dyDescent="0.3">
      <c r="A36" s="95"/>
      <c r="B36" s="92"/>
      <c r="C36" s="122"/>
      <c r="D36" s="122"/>
      <c r="E36" s="122"/>
      <c r="F36" s="122"/>
      <c r="G36" s="122"/>
      <c r="H36" s="122"/>
      <c r="I36" s="122"/>
      <c r="J36" s="118"/>
      <c r="K36" s="118"/>
      <c r="L36" s="98"/>
      <c r="M36" s="98"/>
      <c r="N36" s="98"/>
      <c r="O36" s="98"/>
      <c r="P36" s="96"/>
    </row>
    <row r="37" spans="1:16" ht="16.5" customHeight="1" thickTop="1" thickBot="1" x14ac:dyDescent="0.3">
      <c r="A37" s="95"/>
      <c r="B37" s="123"/>
      <c r="C37" s="122"/>
      <c r="D37" s="122"/>
      <c r="E37" s="122"/>
      <c r="F37" s="122"/>
      <c r="G37" s="122"/>
      <c r="H37" s="122"/>
      <c r="I37" s="122"/>
      <c r="J37" s="118"/>
      <c r="K37" s="118"/>
      <c r="L37" s="98"/>
      <c r="M37" s="98"/>
      <c r="N37" s="98"/>
      <c r="O37" s="98"/>
      <c r="P37" s="96"/>
    </row>
    <row r="38" spans="1:16" ht="16.5" customHeight="1" thickTop="1" thickBot="1" x14ac:dyDescent="0.3">
      <c r="A38" s="95"/>
      <c r="B38" s="123"/>
      <c r="C38" s="122"/>
      <c r="D38" s="122"/>
      <c r="E38" s="122"/>
      <c r="F38" s="122"/>
      <c r="G38" s="122"/>
      <c r="H38" s="122"/>
      <c r="I38" s="122"/>
      <c r="J38" s="118"/>
      <c r="K38" s="118"/>
      <c r="L38" s="98"/>
      <c r="M38" s="98"/>
      <c r="N38" s="98"/>
      <c r="O38" s="98"/>
      <c r="P38" s="96"/>
    </row>
    <row r="39" spans="1:16" ht="15.75" customHeight="1" thickTop="1" x14ac:dyDescent="0.25">
      <c r="A39" s="95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8"/>
      <c r="M39" s="98"/>
      <c r="N39" s="98"/>
      <c r="O39" s="98"/>
      <c r="P39" s="96"/>
    </row>
    <row r="40" spans="1:16" ht="15" customHeight="1" x14ac:dyDescent="0.25">
      <c r="A40" s="95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6"/>
    </row>
    <row r="41" spans="1:16" ht="15.75" customHeight="1" x14ac:dyDescent="0.25">
      <c r="A41" s="103" t="s">
        <v>192</v>
      </c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6"/>
    </row>
    <row r="42" spans="1:16" ht="16.5" customHeight="1" x14ac:dyDescent="0.25">
      <c r="A42" s="124" t="s">
        <v>193</v>
      </c>
      <c r="B42" s="118">
        <f>SUMPRODUCT(H12:H22,I12:I22)+SUMPRODUCT(G28,H28)+SUMPRODUCT(J33:J38,K33:K38)</f>
        <v>88.644410354354363</v>
      </c>
      <c r="C42" s="118" t="s">
        <v>107</v>
      </c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6"/>
    </row>
    <row r="43" spans="1:16" ht="16.5" customHeight="1" x14ac:dyDescent="0.25">
      <c r="A43" s="124" t="s">
        <v>167</v>
      </c>
      <c r="B43" s="118">
        <f>B42*(G33-$B$4)</f>
        <v>2570.6879002762767</v>
      </c>
      <c r="C43" s="118" t="s">
        <v>169</v>
      </c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6"/>
    </row>
    <row r="44" spans="1:16" ht="15.75" customHeight="1" thickBot="1" x14ac:dyDescent="0.3">
      <c r="A44" s="109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1"/>
    </row>
    <row r="45" spans="1:16" ht="15.75" customHeight="1" thickTop="1" x14ac:dyDescent="0.25">
      <c r="A45" s="343" t="s">
        <v>194</v>
      </c>
      <c r="B45" s="343"/>
      <c r="C45" s="343"/>
      <c r="D45" s="125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299"/>
      <c r="P45" s="94"/>
    </row>
    <row r="46" spans="1:16" ht="15" customHeight="1" x14ac:dyDescent="0.25">
      <c r="A46" s="95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6"/>
    </row>
    <row r="47" spans="1:16" ht="15" customHeight="1" thickBot="1" x14ac:dyDescent="0.3">
      <c r="A47" s="126" t="s">
        <v>195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6"/>
    </row>
    <row r="48" spans="1:16" ht="15" customHeight="1" thickTop="1" thickBot="1" x14ac:dyDescent="0.3">
      <c r="A48" s="127" t="s">
        <v>196</v>
      </c>
      <c r="B48" s="121">
        <f>'Tabula data'!F34</f>
        <v>1.6642312063646696</v>
      </c>
      <c r="C48" s="120" t="s">
        <v>197</v>
      </c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6"/>
    </row>
    <row r="49" spans="1:16" ht="15" customHeight="1" thickTop="1" thickBot="1" x14ac:dyDescent="0.3">
      <c r="A49" s="127" t="s">
        <v>198</v>
      </c>
      <c r="B49" s="121">
        <v>0.03</v>
      </c>
      <c r="C49" s="120" t="s">
        <v>199</v>
      </c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6"/>
    </row>
    <row r="50" spans="1:16" ht="15.75" customHeight="1" thickTop="1" thickBot="1" x14ac:dyDescent="0.3">
      <c r="A50" s="127" t="s">
        <v>200</v>
      </c>
      <c r="B50" s="121">
        <v>1</v>
      </c>
      <c r="C50" s="120" t="s">
        <v>201</v>
      </c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6"/>
    </row>
    <row r="51" spans="1:16" ht="16.5" customHeight="1" thickTop="1" x14ac:dyDescent="0.25">
      <c r="A51" s="124" t="s">
        <v>202</v>
      </c>
      <c r="B51" s="118">
        <f>VLOOKUP(B6,'Tabula 2zone Ref 2'!$A$34:$F$45,2,0)*B48/20</f>
        <v>30.114263679168698</v>
      </c>
      <c r="C51" s="118" t="s">
        <v>203</v>
      </c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6"/>
    </row>
    <row r="52" spans="1:16" ht="15.75" customHeight="1" x14ac:dyDescent="0.25">
      <c r="A52" s="95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6"/>
    </row>
    <row r="53" spans="1:16" ht="15" customHeight="1" x14ac:dyDescent="0.25">
      <c r="A53" s="126" t="s">
        <v>204</v>
      </c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6"/>
    </row>
    <row r="54" spans="1:16" ht="15.75" customHeight="1" x14ac:dyDescent="0.25">
      <c r="A54" s="95" t="s">
        <v>180</v>
      </c>
      <c r="B54" s="98">
        <f>'Tabula 2zone Ref 2'!G34</f>
        <v>103.4</v>
      </c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6"/>
    </row>
    <row r="55" spans="1:16" ht="16.5" customHeight="1" x14ac:dyDescent="0.25">
      <c r="A55" s="124" t="s">
        <v>205</v>
      </c>
      <c r="B55" s="128">
        <f>0.4*(1-F55)*'Tabula 2zone Ref 2'!B34</f>
        <v>28.951999999999998</v>
      </c>
      <c r="C55" s="118" t="s">
        <v>203</v>
      </c>
      <c r="D55" s="98"/>
      <c r="E55" s="98" t="s">
        <v>206</v>
      </c>
      <c r="F55" s="98">
        <v>0.8</v>
      </c>
      <c r="G55" s="98"/>
      <c r="H55" s="98"/>
      <c r="I55" s="98"/>
      <c r="J55" s="98"/>
      <c r="K55" s="98"/>
      <c r="L55" s="98"/>
      <c r="M55" s="98"/>
      <c r="N55" s="98"/>
      <c r="O55" s="98"/>
      <c r="P55" s="96"/>
    </row>
    <row r="56" spans="1:16" ht="15.75" customHeight="1" x14ac:dyDescent="0.25">
      <c r="A56" s="95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6"/>
    </row>
    <row r="57" spans="1:16" ht="15.75" customHeight="1" x14ac:dyDescent="0.25">
      <c r="A57" s="95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6"/>
    </row>
    <row r="58" spans="1:16" ht="16.5" customHeight="1" x14ac:dyDescent="0.25">
      <c r="A58" s="124" t="s">
        <v>207</v>
      </c>
      <c r="B58" s="118">
        <f>B51+B55</f>
        <v>59.066263679168699</v>
      </c>
      <c r="C58" s="118" t="s">
        <v>203</v>
      </c>
      <c r="D58" s="98"/>
      <c r="E58" s="98"/>
      <c r="F58" s="118" t="s">
        <v>208</v>
      </c>
      <c r="G58" s="118">
        <f>B58/VLOOKUP(B6,'Gebouwgegevens Allacker'!$A$35:$B$46,2,0)</f>
        <v>0.28462651516065141</v>
      </c>
      <c r="H58" s="98"/>
      <c r="I58" s="98"/>
      <c r="J58" s="98"/>
      <c r="K58" s="98"/>
      <c r="L58" s="98"/>
      <c r="M58" s="98"/>
      <c r="N58" s="98"/>
      <c r="O58" s="98"/>
      <c r="P58" s="96"/>
    </row>
    <row r="59" spans="1:16" ht="16.5" customHeight="1" x14ac:dyDescent="0.25">
      <c r="A59" s="95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6"/>
    </row>
    <row r="60" spans="1:16" ht="16.5" customHeight="1" x14ac:dyDescent="0.25">
      <c r="A60" s="124" t="s">
        <v>209</v>
      </c>
      <c r="B60" s="118">
        <f>0.34*B58</f>
        <v>20.082529650917358</v>
      </c>
      <c r="C60" s="118" t="s">
        <v>107</v>
      </c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6"/>
    </row>
    <row r="61" spans="1:16" ht="16.5" customHeight="1" x14ac:dyDescent="0.25">
      <c r="A61" s="124" t="s">
        <v>167</v>
      </c>
      <c r="B61" s="118">
        <f>B60*('Gebouwgegevens Tabula'!E35-$B$4)</f>
        <v>582.39335987660343</v>
      </c>
      <c r="C61" s="118" t="s">
        <v>169</v>
      </c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6"/>
    </row>
    <row r="62" spans="1:16" ht="15.75" customHeight="1" thickBot="1" x14ac:dyDescent="0.3">
      <c r="A62" s="109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6" ht="15.75" customHeight="1" thickTop="1" x14ac:dyDescent="0.25">
      <c r="A63" s="343" t="s">
        <v>210</v>
      </c>
      <c r="B63" s="343"/>
      <c r="C63" s="343"/>
      <c r="D63" s="343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6"/>
    </row>
    <row r="64" spans="1:16" ht="15" customHeight="1" thickBot="1" x14ac:dyDescent="0.3">
      <c r="A64" s="95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6"/>
    </row>
    <row r="65" spans="1:16" ht="15" customHeight="1" thickTop="1" thickBot="1" x14ac:dyDescent="0.3">
      <c r="A65" s="127" t="s">
        <v>211</v>
      </c>
      <c r="B65" s="121">
        <v>11</v>
      </c>
      <c r="C65" s="58" t="s">
        <v>212</v>
      </c>
      <c r="D65" s="5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6"/>
    </row>
    <row r="66" spans="1:16" ht="15.75" customHeight="1" thickTop="1" thickBot="1" x14ac:dyDescent="0.3">
      <c r="A66" s="127" t="s">
        <v>113</v>
      </c>
      <c r="B66" s="121">
        <f>'Tabula 2zone Ref 2'!B7</f>
        <v>103.4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6"/>
    </row>
    <row r="67" spans="1:16" ht="16.5" customHeight="1" thickTop="1" x14ac:dyDescent="0.25">
      <c r="A67" s="124" t="s">
        <v>213</v>
      </c>
      <c r="B67" s="118">
        <f>B68/('Gebouwgegevens Tabula'!E35-'Verwarming Tabula 2zone Ref 2'!$B$4)</f>
        <v>39.220689655172414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6"/>
    </row>
    <row r="68" spans="1:16" ht="16.5" customHeight="1" x14ac:dyDescent="0.25">
      <c r="A68" s="124" t="s">
        <v>167</v>
      </c>
      <c r="B68" s="118">
        <f>B65*B66</f>
        <v>1137.4000000000001</v>
      </c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6"/>
    </row>
    <row r="69" spans="1:16" ht="15.75" customHeight="1" x14ac:dyDescent="0.25">
      <c r="A69" s="95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6"/>
    </row>
    <row r="70" spans="1:16" ht="15.75" customHeight="1" thickBot="1" x14ac:dyDescent="0.3">
      <c r="A70" s="95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6"/>
    </row>
    <row r="71" spans="1:16" ht="15.75" customHeight="1" thickTop="1" thickBot="1" x14ac:dyDescent="0.3">
      <c r="A71" s="129" t="s">
        <v>214</v>
      </c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1"/>
    </row>
    <row r="72" spans="1:16" ht="16.5" customHeight="1" thickTop="1" x14ac:dyDescent="0.25">
      <c r="A72" s="124" t="s">
        <v>215</v>
      </c>
      <c r="B72" s="118">
        <f>SUM(B42,B60,B67)</f>
        <v>147.94762966044414</v>
      </c>
      <c r="C72" s="118" t="s">
        <v>107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3"/>
    </row>
    <row r="73" spans="1:16" ht="16.5" customHeight="1" x14ac:dyDescent="0.25">
      <c r="A73" s="124" t="s">
        <v>167</v>
      </c>
      <c r="B73" s="118">
        <f>SUM(B43,B61,B68)</f>
        <v>4290.4812601528802</v>
      </c>
      <c r="C73" s="118" t="s">
        <v>169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3"/>
    </row>
    <row r="74" spans="1:16" ht="16.5" customHeight="1" thickBot="1" x14ac:dyDescent="0.3">
      <c r="A74" s="134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6"/>
    </row>
    <row r="75" spans="1:16" ht="15" customHeight="1" thickTop="1" x14ac:dyDescent="0.25">
      <c r="A75" s="137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</row>
    <row r="76" spans="1:16" ht="15.75" customHeight="1" thickBot="1" x14ac:dyDescent="0.3">
      <c r="A76" s="137"/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</row>
    <row r="77" spans="1:16" ht="15" customHeight="1" thickTop="1" thickBot="1" x14ac:dyDescent="0.3">
      <c r="A77" s="93"/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94"/>
    </row>
    <row r="78" spans="1:16" ht="17.25" customHeight="1" thickTop="1" thickBot="1" x14ac:dyDescent="0.35">
      <c r="A78" s="97" t="s">
        <v>166</v>
      </c>
      <c r="B78" s="92">
        <v>2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6"/>
    </row>
    <row r="79" spans="1:16" ht="15.75" customHeight="1" thickTop="1" x14ac:dyDescent="0.25">
      <c r="A79" s="343" t="s">
        <v>168</v>
      </c>
      <c r="B79" s="343"/>
      <c r="C79" s="343"/>
      <c r="D79" s="343"/>
      <c r="E79" s="299"/>
      <c r="F79" s="299"/>
      <c r="G79" s="299"/>
      <c r="H79" s="299"/>
      <c r="I79" s="299"/>
      <c r="J79" s="299"/>
      <c r="K79" s="299"/>
      <c r="L79" s="299"/>
      <c r="M79" s="299"/>
      <c r="N79" s="299"/>
      <c r="O79" s="299"/>
      <c r="P79" s="94"/>
    </row>
    <row r="80" spans="1:16" ht="15" customHeight="1" x14ac:dyDescent="0.25">
      <c r="A80" s="95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6"/>
    </row>
    <row r="81" spans="1:16" ht="15" customHeight="1" x14ac:dyDescent="0.25">
      <c r="A81" s="103" t="s">
        <v>170</v>
      </c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6"/>
    </row>
    <row r="82" spans="1:16" ht="15" customHeight="1" x14ac:dyDescent="0.25">
      <c r="A82" s="95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6"/>
    </row>
    <row r="83" spans="1:16" ht="15.75" customHeight="1" thickBot="1" x14ac:dyDescent="0.3">
      <c r="A83" s="95"/>
      <c r="B83" s="104" t="s">
        <v>10</v>
      </c>
      <c r="C83" s="104" t="s">
        <v>171</v>
      </c>
      <c r="D83" s="104" t="s">
        <v>172</v>
      </c>
      <c r="E83" s="104" t="s">
        <v>173</v>
      </c>
      <c r="F83" s="104" t="s">
        <v>174</v>
      </c>
      <c r="G83" s="104" t="s">
        <v>16</v>
      </c>
      <c r="H83" s="105" t="s">
        <v>17</v>
      </c>
      <c r="I83" s="105" t="s">
        <v>175</v>
      </c>
      <c r="J83" s="98"/>
      <c r="K83" s="98"/>
      <c r="L83" s="98"/>
      <c r="M83" s="98"/>
      <c r="N83" s="98"/>
      <c r="O83" s="98"/>
      <c r="P83" s="96"/>
    </row>
    <row r="84" spans="1:16" ht="16.5" customHeight="1" thickTop="1" thickBot="1" x14ac:dyDescent="0.3">
      <c r="A84" s="95"/>
      <c r="B84" s="106" t="s">
        <v>71</v>
      </c>
      <c r="C84" s="107">
        <f>VLOOKUP(B84,'Tabula 2zone Ref 2'!$J$5:$Q$83,3,0)</f>
        <v>2</v>
      </c>
      <c r="D84" s="107" t="str">
        <f>VLOOKUP(B84,'Tabula 2zone Ref 2'!$J$5:$Q$83,4,0)</f>
        <v>Wall External</v>
      </c>
      <c r="E84" s="107">
        <f>VLOOKUP(B84,'Tabula 2zone Ref 2'!$J$5:$Q$83,5,0)</f>
        <v>20.516529727733833</v>
      </c>
      <c r="F84" s="107" t="str">
        <f>VLOOKUP(B84,'Tabula 2zone Ref 2'!$J$5:$Q$83,6,0)</f>
        <v>front</v>
      </c>
      <c r="G84" s="107">
        <f>VLOOKUP(B84,'Tabula 2zone Ref 2'!$J$5:$Q$83,7,0)</f>
        <v>0.22509582884017654</v>
      </c>
      <c r="H84" s="108">
        <f>VLOOKUP(B84,'Tabula 2zone Ref 2'!$J$5:$Q$83,8,0)</f>
        <v>4.6181852639883685</v>
      </c>
      <c r="I84" s="108">
        <v>1</v>
      </c>
      <c r="J84" s="98"/>
      <c r="K84" s="98"/>
      <c r="L84" s="98"/>
      <c r="M84" s="98"/>
      <c r="N84" s="98"/>
      <c r="O84" s="98"/>
      <c r="P84" s="96"/>
    </row>
    <row r="85" spans="1:16" ht="16.5" customHeight="1" thickTop="1" thickBot="1" x14ac:dyDescent="0.3">
      <c r="A85" s="95"/>
      <c r="B85" s="106" t="s">
        <v>75</v>
      </c>
      <c r="C85" s="107">
        <f>VLOOKUP(B85,'Tabula 2zone Ref 2'!$J$5:$Q$83,3,0)</f>
        <v>2</v>
      </c>
      <c r="D85" s="107" t="str">
        <f>VLOOKUP(B85,'Tabula 2zone Ref 2'!$J$5:$Q$83,4,0)</f>
        <v>Wall External</v>
      </c>
      <c r="E85" s="107">
        <f>VLOOKUP(B85,'Tabula 2zone Ref 2'!$J$5:$Q$83,5,0)</f>
        <v>36.064797687389479</v>
      </c>
      <c r="F85" s="107" t="str">
        <f>VLOOKUP(B85,'Tabula 2zone Ref 2'!$J$5:$Q$83,6,0)</f>
        <v>right</v>
      </c>
      <c r="G85" s="107">
        <f>VLOOKUP(B85,'Tabula 2zone Ref 2'!$J$5:$Q$83,7,0)</f>
        <v>0.22509582884017654</v>
      </c>
      <c r="H85" s="108">
        <f>VLOOKUP(B85,'Tabula 2zone Ref 2'!$J$5:$Q$83,8,0)</f>
        <v>8.1180355273962164</v>
      </c>
      <c r="I85" s="108">
        <v>1</v>
      </c>
      <c r="J85" s="98"/>
      <c r="K85" s="98"/>
      <c r="L85" s="98"/>
      <c r="M85" s="98"/>
      <c r="N85" s="98"/>
      <c r="O85" s="98"/>
      <c r="P85" s="96"/>
    </row>
    <row r="86" spans="1:16" ht="16.5" customHeight="1" thickTop="1" thickBot="1" x14ac:dyDescent="0.3">
      <c r="A86" s="95"/>
      <c r="B86" s="106" t="s">
        <v>79</v>
      </c>
      <c r="C86" s="107">
        <f>VLOOKUP(B86,'Tabula 2zone Ref 2'!$J$5:$Q$83,3,0)</f>
        <v>2</v>
      </c>
      <c r="D86" s="107" t="str">
        <f>VLOOKUP(B86,'Tabula 2zone Ref 2'!$J$5:$Q$83,4,0)</f>
        <v>Wall External</v>
      </c>
      <c r="E86" s="107">
        <f>VLOOKUP(B86,'Tabula 2zone Ref 2'!$J$5:$Q$83,5,0)</f>
        <v>20.516529727733833</v>
      </c>
      <c r="F86" s="107" t="str">
        <f>VLOOKUP(B86,'Tabula 2zone Ref 2'!$J$5:$Q$83,6,0)</f>
        <v>back</v>
      </c>
      <c r="G86" s="107">
        <f>VLOOKUP(B86,'Tabula 2zone Ref 2'!$J$5:$Q$83,7,0)</f>
        <v>0.22509582884017654</v>
      </c>
      <c r="H86" s="108">
        <f>VLOOKUP(B86,'Tabula 2zone Ref 2'!$J$5:$Q$83,8,0)</f>
        <v>4.6181852639883685</v>
      </c>
      <c r="I86" s="108">
        <v>1</v>
      </c>
      <c r="J86" s="98"/>
      <c r="K86" s="98"/>
      <c r="L86" s="98"/>
      <c r="M86" s="98"/>
      <c r="N86" s="98"/>
      <c r="O86" s="98"/>
      <c r="P86" s="96"/>
    </row>
    <row r="87" spans="1:16" ht="16.5" customHeight="1" thickTop="1" thickBot="1" x14ac:dyDescent="0.3">
      <c r="A87" s="95"/>
      <c r="B87" s="106" t="s">
        <v>82</v>
      </c>
      <c r="C87" s="107">
        <f>VLOOKUP(B87,'Tabula 2zone Ref 2'!$J$5:$Q$83,3,0)</f>
        <v>2</v>
      </c>
      <c r="D87" s="107" t="str">
        <f>VLOOKUP(B87,'Tabula 2zone Ref 2'!$J$5:$Q$83,4,0)</f>
        <v>Wall External</v>
      </c>
      <c r="E87" s="107">
        <f>VLOOKUP(B87,'Tabula 2zone Ref 2'!$J$5:$Q$83,5,0)</f>
        <v>0</v>
      </c>
      <c r="F87" s="107" t="str">
        <f>VLOOKUP(B87,'Tabula 2zone Ref 2'!$J$5:$Q$83,6,0)</f>
        <v>left</v>
      </c>
      <c r="G87" s="107">
        <f>VLOOKUP(B87,'Tabula 2zone Ref 2'!$J$5:$Q$83,7,0)</f>
        <v>0.22509582884017654</v>
      </c>
      <c r="H87" s="108">
        <f>VLOOKUP(B87,'Tabula 2zone Ref 2'!$J$5:$Q$83,8,0)</f>
        <v>0</v>
      </c>
      <c r="I87" s="108">
        <v>1</v>
      </c>
      <c r="J87" s="98"/>
      <c r="K87" s="98"/>
      <c r="L87" s="98"/>
      <c r="M87" s="98"/>
      <c r="N87" s="98"/>
      <c r="O87" s="98"/>
      <c r="P87" s="96"/>
    </row>
    <row r="88" spans="1:16" ht="16.5" customHeight="1" thickTop="1" thickBot="1" x14ac:dyDescent="0.3">
      <c r="A88" s="95"/>
      <c r="B88" s="106" t="s">
        <v>84</v>
      </c>
      <c r="C88" s="107">
        <f>VLOOKUP(B88,'Tabula 2zone Ref 2'!$J$5:$Q$83,3,0)</f>
        <v>2</v>
      </c>
      <c r="D88" s="107" t="str">
        <f>VLOOKUP(B88,'Tabula 2zone Ref 2'!$J$5:$Q$83,4,0)</f>
        <v>Window</v>
      </c>
      <c r="E88" s="107">
        <f>VLOOKUP(B88,'Tabula 2zone Ref 2'!$J$5:$Q$83,5,0)</f>
        <v>4.05</v>
      </c>
      <c r="F88" s="107" t="str">
        <f>VLOOKUP(B88,'Tabula 2zone Ref 2'!$J$5:$Q$83,6,0)</f>
        <v>front</v>
      </c>
      <c r="G88" s="107">
        <f>VLOOKUP(B88,'Tabula 2zone Ref 2'!$J$5:$Q$83,7,0)</f>
        <v>1.1000000000000001</v>
      </c>
      <c r="H88" s="108">
        <f>VLOOKUP(B88,'Tabula 2zone Ref 2'!$J$5:$Q$83,8,0)</f>
        <v>4.4550000000000001</v>
      </c>
      <c r="I88" s="108">
        <v>1</v>
      </c>
      <c r="J88" s="98"/>
      <c r="K88" s="98"/>
      <c r="L88" s="98"/>
      <c r="M88" s="98"/>
      <c r="N88" s="98"/>
      <c r="O88" s="98"/>
      <c r="P88" s="96"/>
    </row>
    <row r="89" spans="1:16" ht="16.5" customHeight="1" thickTop="1" thickBot="1" x14ac:dyDescent="0.3">
      <c r="A89" s="95"/>
      <c r="B89" s="106" t="s">
        <v>87</v>
      </c>
      <c r="C89" s="107">
        <f>VLOOKUP(B89,'Tabula 2zone Ref 2'!$J$5:$Q$83,3,0)</f>
        <v>2</v>
      </c>
      <c r="D89" s="107" t="str">
        <f>VLOOKUP(B89,'Tabula 2zone Ref 2'!$J$5:$Q$83,4,0)</f>
        <v>Window</v>
      </c>
      <c r="E89" s="107">
        <f>VLOOKUP(B89,'Tabula 2zone Ref 2'!$J$5:$Q$83,5,0)</f>
        <v>3.45</v>
      </c>
      <c r="F89" s="107" t="str">
        <f>VLOOKUP(B89,'Tabula 2zone Ref 2'!$J$5:$Q$83,6,0)</f>
        <v>right</v>
      </c>
      <c r="G89" s="107">
        <f>VLOOKUP(B89,'Tabula 2zone Ref 2'!$J$5:$Q$83,7,0)</f>
        <v>1.1000000000000001</v>
      </c>
      <c r="H89" s="108">
        <f>VLOOKUP(B89,'Tabula 2zone Ref 2'!$J$5:$Q$83,8,0)</f>
        <v>3.7950000000000004</v>
      </c>
      <c r="I89" s="108">
        <v>1</v>
      </c>
      <c r="J89" s="98"/>
      <c r="K89" s="98"/>
      <c r="L89" s="98"/>
      <c r="M89" s="98"/>
      <c r="N89" s="98"/>
      <c r="O89" s="98"/>
      <c r="P89" s="96"/>
    </row>
    <row r="90" spans="1:16" ht="16.5" customHeight="1" thickTop="1" thickBot="1" x14ac:dyDescent="0.3">
      <c r="A90" s="95"/>
      <c r="B90" s="106" t="s">
        <v>89</v>
      </c>
      <c r="C90" s="107">
        <f>VLOOKUP(B90,'Tabula 2zone Ref 2'!$J$5:$Q$83,3,0)</f>
        <v>2</v>
      </c>
      <c r="D90" s="107" t="str">
        <f>VLOOKUP(B90,'Tabula 2zone Ref 2'!$J$5:$Q$83,4,0)</f>
        <v>Window</v>
      </c>
      <c r="E90" s="107">
        <f>VLOOKUP(B90,'Tabula 2zone Ref 2'!$J$5:$Q$83,5,0)</f>
        <v>4.5</v>
      </c>
      <c r="F90" s="107" t="str">
        <f>VLOOKUP(B90,'Tabula 2zone Ref 2'!$J$5:$Q$83,6,0)</f>
        <v>back</v>
      </c>
      <c r="G90" s="107">
        <f>VLOOKUP(B90,'Tabula 2zone Ref 2'!$J$5:$Q$83,7,0)</f>
        <v>1.1000000000000001</v>
      </c>
      <c r="H90" s="108">
        <f>VLOOKUP(B90,'Tabula 2zone Ref 2'!$J$5:$Q$83,8,0)</f>
        <v>4.95</v>
      </c>
      <c r="I90" s="108">
        <v>1</v>
      </c>
      <c r="J90" s="98"/>
      <c r="K90" s="98"/>
      <c r="L90" s="98"/>
      <c r="M90" s="98"/>
      <c r="N90" s="98"/>
      <c r="O90" s="98"/>
      <c r="P90" s="96"/>
    </row>
    <row r="91" spans="1:16" ht="16.5" customHeight="1" thickTop="1" thickBot="1" x14ac:dyDescent="0.3">
      <c r="A91" s="95"/>
      <c r="B91" s="106" t="s">
        <v>92</v>
      </c>
      <c r="C91" s="107">
        <f>VLOOKUP(B91,'Tabula 2zone Ref 2'!$J$5:$Q$83,3,0)</f>
        <v>2</v>
      </c>
      <c r="D91" s="107" t="str">
        <f>VLOOKUP(B91,'Tabula 2zone Ref 2'!$J$5:$Q$83,4,0)</f>
        <v>Window</v>
      </c>
      <c r="E91" s="107">
        <f>VLOOKUP(B91,'Tabula 2zone Ref 2'!$J$5:$Q$83,5,0)</f>
        <v>5.05</v>
      </c>
      <c r="F91" s="107" t="str">
        <f>VLOOKUP(B91,'Tabula 2zone Ref 2'!$J$5:$Q$83,6,0)</f>
        <v>left</v>
      </c>
      <c r="G91" s="107">
        <f>VLOOKUP(B91,'Tabula 2zone Ref 2'!$J$5:$Q$83,7,0)</f>
        <v>1.1000000000000001</v>
      </c>
      <c r="H91" s="108">
        <f>VLOOKUP(B91,'Tabula 2zone Ref 2'!$J$5:$Q$83,8,0)</f>
        <v>5.5550000000000006</v>
      </c>
      <c r="I91" s="108">
        <v>1</v>
      </c>
      <c r="J91" s="98"/>
      <c r="K91" s="98"/>
      <c r="L91" s="98"/>
      <c r="M91" s="98"/>
      <c r="N91" s="98"/>
      <c r="O91" s="98"/>
      <c r="P91" s="96"/>
    </row>
    <row r="92" spans="1:16" ht="16.5" customHeight="1" thickTop="1" thickBot="1" x14ac:dyDescent="0.3">
      <c r="A92" s="95"/>
      <c r="B92" s="106" t="s">
        <v>96</v>
      </c>
      <c r="C92" s="107">
        <f>VLOOKUP(B92,'Tabula 2zone Ref 2'!$J$5:$Q$83,3,0)</f>
        <v>2</v>
      </c>
      <c r="D92" s="107" t="str">
        <f>VLOOKUP(B92,'Tabula 2zone Ref 2'!$J$5:$Q$83,4,0)</f>
        <v>Roof</v>
      </c>
      <c r="E92" s="107">
        <f>VLOOKUP(B92,'Tabula 2zone Ref 2'!$J$5:$Q$83,5,0)</f>
        <v>108.5</v>
      </c>
      <c r="F92" s="107" t="str">
        <f>VLOOKUP(B92,'Tabula 2zone Ref 2'!$J$5:$Q$83,6,0)</f>
        <v>front/back</v>
      </c>
      <c r="G92" s="107">
        <f>VLOOKUP(B92,'Tabula 2zone Ref 2'!$J$5:$Q$83,7,0)</f>
        <v>0.16141672417624836</v>
      </c>
      <c r="H92" s="108">
        <f>VLOOKUP(B92,'Tabula 2zone Ref 2'!$J$5:$Q$83,8,0)</f>
        <v>17.513714573122947</v>
      </c>
      <c r="I92" s="108">
        <v>1</v>
      </c>
      <c r="J92" s="98"/>
      <c r="K92" s="98"/>
      <c r="L92" s="98"/>
      <c r="M92" s="98"/>
      <c r="N92" s="98"/>
      <c r="O92" s="98"/>
      <c r="P92" s="96"/>
    </row>
    <row r="93" spans="1:16" ht="16.5" customHeight="1" thickTop="1" thickBot="1" x14ac:dyDescent="0.3">
      <c r="A93" s="95"/>
      <c r="B93" s="106"/>
      <c r="C93" s="107"/>
      <c r="D93" s="107"/>
      <c r="E93" s="107"/>
      <c r="F93" s="107"/>
      <c r="G93" s="107"/>
      <c r="H93" s="108"/>
      <c r="I93" s="108"/>
      <c r="J93" s="98"/>
      <c r="K93" s="98"/>
      <c r="L93" s="98"/>
      <c r="M93" s="98"/>
      <c r="N93" s="98"/>
      <c r="O93" s="98"/>
      <c r="P93" s="96"/>
    </row>
    <row r="94" spans="1:16" ht="16.5" customHeight="1" thickTop="1" thickBot="1" x14ac:dyDescent="0.3">
      <c r="A94" s="95"/>
      <c r="B94" s="106"/>
      <c r="C94" s="107"/>
      <c r="D94" s="107"/>
      <c r="E94" s="107"/>
      <c r="F94" s="107"/>
      <c r="G94" s="107"/>
      <c r="H94" s="108"/>
      <c r="I94" s="108"/>
      <c r="J94" s="98"/>
      <c r="K94" s="98"/>
      <c r="L94" s="98"/>
      <c r="M94" s="98"/>
      <c r="N94" s="98"/>
      <c r="O94" s="98"/>
      <c r="P94" s="96"/>
    </row>
    <row r="95" spans="1:16" ht="16.5" customHeight="1" thickTop="1" thickBot="1" x14ac:dyDescent="0.3">
      <c r="A95" s="95"/>
      <c r="B95" s="106"/>
      <c r="C95" s="107"/>
      <c r="D95" s="107"/>
      <c r="E95" s="107"/>
      <c r="F95" s="107"/>
      <c r="G95" s="107"/>
      <c r="H95" s="108"/>
      <c r="I95" s="108"/>
      <c r="J95" s="98"/>
      <c r="K95" s="98"/>
      <c r="L95" s="98"/>
      <c r="M95" s="98"/>
      <c r="N95" s="98"/>
      <c r="O95" s="98"/>
      <c r="P95" s="96"/>
    </row>
    <row r="96" spans="1:16" ht="15.75" customHeight="1" thickTop="1" x14ac:dyDescent="0.25">
      <c r="A96" s="95"/>
      <c r="B96" s="58"/>
      <c r="C96" s="58"/>
      <c r="D96" s="58"/>
      <c r="E96" s="58"/>
      <c r="F96" s="58"/>
      <c r="G96" s="114"/>
      <c r="H96" s="58"/>
      <c r="I96" s="58"/>
      <c r="J96" s="98"/>
      <c r="K96" s="98"/>
      <c r="L96" s="98"/>
      <c r="M96" s="98"/>
      <c r="N96" s="98"/>
      <c r="O96" s="98"/>
      <c r="P96" s="96"/>
    </row>
    <row r="97" spans="1:16" ht="15" customHeight="1" x14ac:dyDescent="0.25">
      <c r="A97" s="95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6"/>
    </row>
    <row r="98" spans="1:16" ht="15" customHeight="1" x14ac:dyDescent="0.25">
      <c r="A98" s="103" t="s">
        <v>177</v>
      </c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6"/>
    </row>
    <row r="99" spans="1:16" ht="15.75" customHeight="1" x14ac:dyDescent="0.25">
      <c r="A99" s="95"/>
      <c r="B99" s="58" t="s">
        <v>10</v>
      </c>
      <c r="C99" s="58" t="s">
        <v>178</v>
      </c>
      <c r="D99" s="58" t="s">
        <v>172</v>
      </c>
      <c r="E99" s="58" t="s">
        <v>179</v>
      </c>
      <c r="F99" s="58" t="s">
        <v>16</v>
      </c>
      <c r="G99" s="114" t="s">
        <v>17</v>
      </c>
      <c r="H99" s="114" t="s">
        <v>175</v>
      </c>
      <c r="I99" s="58" t="s">
        <v>180</v>
      </c>
      <c r="J99" s="58" t="s">
        <v>181</v>
      </c>
      <c r="K99" s="58" t="s">
        <v>182</v>
      </c>
      <c r="L99" s="115" t="s">
        <v>183</v>
      </c>
      <c r="M99" s="115" t="s">
        <v>184</v>
      </c>
      <c r="N99" s="115" t="s">
        <v>185</v>
      </c>
      <c r="O99" s="98"/>
      <c r="P99" s="96"/>
    </row>
    <row r="100" spans="1:16" ht="18.75" customHeight="1" thickBot="1" x14ac:dyDescent="0.3">
      <c r="A100" s="95"/>
      <c r="B100" s="116"/>
      <c r="C100" s="117"/>
      <c r="D100" s="117"/>
      <c r="E100" s="117"/>
      <c r="F100" s="117"/>
      <c r="G100" s="118"/>
      <c r="H100" s="118"/>
      <c r="I100" s="117"/>
      <c r="J100" s="116"/>
      <c r="K100" s="116"/>
      <c r="L100" s="119"/>
      <c r="M100" s="119"/>
      <c r="N100" s="120"/>
      <c r="O100" s="98"/>
      <c r="P100" s="96"/>
    </row>
    <row r="101" spans="1:16" ht="18.75" customHeight="1" thickTop="1" thickBot="1" x14ac:dyDescent="0.3">
      <c r="A101" s="95"/>
      <c r="B101" s="116"/>
      <c r="C101" s="117"/>
      <c r="D101" s="117"/>
      <c r="E101" s="117"/>
      <c r="F101" s="117"/>
      <c r="G101" s="118"/>
      <c r="H101" s="118"/>
      <c r="I101" s="117"/>
      <c r="J101" s="116"/>
      <c r="K101" s="116"/>
      <c r="L101" s="119"/>
      <c r="M101" s="119"/>
      <c r="N101" s="120"/>
      <c r="O101" s="98"/>
      <c r="P101" s="96"/>
    </row>
    <row r="102" spans="1:16" ht="18.75" customHeight="1" thickTop="1" thickBot="1" x14ac:dyDescent="0.3">
      <c r="A102" s="95"/>
      <c r="B102" s="116"/>
      <c r="C102" s="117"/>
      <c r="D102" s="117"/>
      <c r="E102" s="117"/>
      <c r="F102" s="117"/>
      <c r="G102" s="118"/>
      <c r="H102" s="118"/>
      <c r="I102" s="117"/>
      <c r="J102" s="116"/>
      <c r="K102" s="116"/>
      <c r="L102" s="119"/>
      <c r="M102" s="119"/>
      <c r="N102" s="120"/>
      <c r="O102" s="98"/>
      <c r="P102" s="96"/>
    </row>
    <row r="103" spans="1:16" ht="18.75" customHeight="1" thickTop="1" thickBot="1" x14ac:dyDescent="0.3">
      <c r="A103" s="95"/>
      <c r="B103" s="116"/>
      <c r="C103" s="117"/>
      <c r="D103" s="117"/>
      <c r="E103" s="117"/>
      <c r="F103" s="117"/>
      <c r="G103" s="118"/>
      <c r="H103" s="118"/>
      <c r="I103" s="117"/>
      <c r="J103" s="116"/>
      <c r="K103" s="116"/>
      <c r="L103" s="119"/>
      <c r="M103" s="119"/>
      <c r="N103" s="120"/>
      <c r="O103" s="98"/>
      <c r="P103" s="96"/>
    </row>
    <row r="104" spans="1:16" ht="16.5" customHeight="1" thickTop="1" thickBot="1" x14ac:dyDescent="0.3">
      <c r="A104" s="138"/>
      <c r="B104" s="116"/>
      <c r="C104" s="117"/>
      <c r="D104" s="117"/>
      <c r="E104" s="117"/>
      <c r="F104" s="117"/>
      <c r="G104" s="118"/>
      <c r="H104" s="118"/>
      <c r="I104" s="117"/>
      <c r="J104" s="116"/>
      <c r="K104" s="116"/>
      <c r="L104" s="119"/>
      <c r="M104" s="119"/>
      <c r="N104" s="120"/>
      <c r="O104" s="98"/>
      <c r="P104" s="96"/>
    </row>
    <row r="105" spans="1:16" ht="15.75" customHeight="1" thickTop="1" x14ac:dyDescent="0.25">
      <c r="A105" s="95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6"/>
    </row>
    <row r="106" spans="1:16" ht="15" customHeight="1" x14ac:dyDescent="0.25">
      <c r="A106" s="103" t="s">
        <v>186</v>
      </c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6"/>
    </row>
    <row r="107" spans="1:16" ht="15.75" customHeight="1" thickBot="1" x14ac:dyDescent="0.3">
      <c r="A107" s="95"/>
      <c r="B107" s="58" t="s">
        <v>10</v>
      </c>
      <c r="C107" s="58" t="s">
        <v>187</v>
      </c>
      <c r="D107" s="58" t="s">
        <v>188</v>
      </c>
      <c r="E107" s="58" t="s">
        <v>135</v>
      </c>
      <c r="F107" s="58" t="s">
        <v>189</v>
      </c>
      <c r="G107" s="58" t="s">
        <v>190</v>
      </c>
      <c r="H107" s="58" t="s">
        <v>191</v>
      </c>
      <c r="I107" s="58" t="s">
        <v>16</v>
      </c>
      <c r="J107" s="114" t="s">
        <v>17</v>
      </c>
      <c r="K107" s="114" t="s">
        <v>175</v>
      </c>
      <c r="L107" s="98"/>
      <c r="M107" s="98"/>
      <c r="N107" s="98"/>
      <c r="O107" s="98"/>
      <c r="P107" s="96"/>
    </row>
    <row r="108" spans="1:16" ht="16.5" customHeight="1" thickTop="1" thickBot="1" x14ac:dyDescent="0.3">
      <c r="A108" s="95"/>
      <c r="B108" s="121" t="s">
        <v>98</v>
      </c>
      <c r="C108" s="122">
        <f>IF(VLOOKUP(B108,'Tabula 2zone Ref 2'!$J$5:$Q$83,2,0)=$B$78,VLOOKUP(B108,'Tabula 2zone Ref 2'!$J$5:$Q$83,2,0),VLOOKUP(B108,'Tabula 2zone Ref 2'!$J$5:$Q$83,3,0))</f>
        <v>2</v>
      </c>
      <c r="D108" s="122">
        <f>IF(VLOOKUP(B108,'Tabula 2zone Ref 2'!$J$5:$Q$83,2,0)=$B$78,VLOOKUP(B108,'Tabula 2zone Ref 2'!$J$5:$Q$83,3,0),VLOOKUP(B108,'Tabula 2zone Ref 2'!$J$5:$Q$83,2,0))</f>
        <v>1</v>
      </c>
      <c r="E108" s="122" t="str">
        <f>VLOOKUP(B108,'Tabula 2zone Ref 2'!$J$5:$Q$83,4,0)</f>
        <v>Floor internal</v>
      </c>
      <c r="F108" s="122">
        <f>VLOOKUP(B108,'Tabula 2zone Ref 2'!$J$5:$Q$83,5,0)</f>
        <v>89.300000000000011</v>
      </c>
      <c r="G108" s="122">
        <f>VLOOKUP('Verwarming Tabula 2zone Ref 2'!C108,'Tabula 2zone Ref 2'!$A$34:$F$45,5,0)</f>
        <v>18</v>
      </c>
      <c r="H108" s="122">
        <f>VLOOKUP('Verwarming Tabula 2zone Ref 2'!D108,'Tabula 2zone Ref 2'!$A$34:$F$45,5,0)</f>
        <v>21</v>
      </c>
      <c r="I108" s="122">
        <f>VLOOKUP(B108,'Tabula 2zone Ref 2'!$J$5:$Q$83,7,0)</f>
        <v>1.4549653579676673</v>
      </c>
      <c r="J108" s="118">
        <f>VLOOKUP(B108,'Tabula 2zone Ref 2'!$J$5:$Q$83,8,0)</f>
        <v>129.92840646651271</v>
      </c>
      <c r="K108" s="118">
        <f>(G108-H108)/(G108-$B$4)</f>
        <v>-0.11538461538461539</v>
      </c>
      <c r="L108" s="98"/>
      <c r="M108" s="98"/>
      <c r="N108" s="98"/>
      <c r="O108" s="98"/>
      <c r="P108" s="96"/>
    </row>
    <row r="109" spans="1:16" ht="16.5" customHeight="1" thickTop="1" thickBot="1" x14ac:dyDescent="0.3">
      <c r="A109" s="95"/>
      <c r="B109" s="121" t="s">
        <v>102</v>
      </c>
      <c r="C109" s="122">
        <f>IF(VLOOKUP(B109,'Tabula 2zone Ref 2'!$J$5:$Q$83,2,0)=$B$78,VLOOKUP(B109,'Tabula 2zone Ref 2'!$J$5:$Q$83,2,0),VLOOKUP(B109,'Tabula 2zone Ref 2'!$J$5:$Q$83,3,0))</f>
        <v>2</v>
      </c>
      <c r="D109" s="122">
        <f>IF(VLOOKUP(B109,'Tabula 2zone Ref 2'!$J$5:$Q$83,2,0)=$B$78,VLOOKUP(B109,'Tabula 2zone Ref 2'!$J$5:$Q$83,3,0),VLOOKUP(B109,'Tabula 2zone Ref 2'!$J$5:$Q$83,2,0))</f>
        <v>2</v>
      </c>
      <c r="E109" s="122" t="str">
        <f>VLOOKUP(B109,'Tabula 2zone Ref 2'!$J$5:$Q$83,4,0)</f>
        <v>Wall internal</v>
      </c>
      <c r="F109" s="122">
        <f>VLOOKUP(B109,'Tabula 2zone Ref 2'!$J$5:$Q$83,5,0)</f>
        <v>77.097857142857151</v>
      </c>
      <c r="G109" s="122">
        <f>VLOOKUP('Verwarming Tabula 2zone Ref 2'!C109,'Tabula 2zone Ref 2'!$A$34:$F$45,5,0)</f>
        <v>18</v>
      </c>
      <c r="H109" s="122">
        <f>VLOOKUP('Verwarming Tabula 2zone Ref 2'!D109,'Tabula 2zone Ref 2'!$A$34:$F$45,5,0)</f>
        <v>18</v>
      </c>
      <c r="I109" s="122">
        <f>VLOOKUP(B109,'Tabula 2zone Ref 2'!$J$5:$Q$83,7,0)</f>
        <v>1.7363344051446945</v>
      </c>
      <c r="J109" s="118">
        <f>VLOOKUP(B109,'Tabula 2zone Ref 2'!$J$5:$Q$83,8,0)</f>
        <v>133.86766192007352</v>
      </c>
      <c r="K109" s="118">
        <f>(G109-H109)/(G109-$B$4)</f>
        <v>0</v>
      </c>
      <c r="L109" s="98"/>
      <c r="M109" s="98"/>
      <c r="N109" s="98"/>
      <c r="O109" s="98"/>
      <c r="P109" s="96"/>
    </row>
    <row r="110" spans="1:16" ht="16.5" customHeight="1" thickTop="1" thickBot="1" x14ac:dyDescent="0.3">
      <c r="A110" s="95"/>
      <c r="B110" s="121"/>
      <c r="C110" s="122"/>
      <c r="D110" s="122"/>
      <c r="E110" s="122"/>
      <c r="F110" s="122"/>
      <c r="G110" s="122"/>
      <c r="H110" s="122"/>
      <c r="I110" s="122"/>
      <c r="J110" s="118"/>
      <c r="K110" s="118"/>
      <c r="L110" s="98"/>
      <c r="M110" s="98"/>
      <c r="N110" s="98"/>
      <c r="O110" s="98"/>
      <c r="P110" s="96"/>
    </row>
    <row r="111" spans="1:16" ht="16.5" customHeight="1" thickTop="1" thickBot="1" x14ac:dyDescent="0.3">
      <c r="A111" s="95"/>
      <c r="B111" s="92"/>
      <c r="C111" s="122"/>
      <c r="D111" s="122"/>
      <c r="E111" s="122"/>
      <c r="F111" s="122"/>
      <c r="G111" s="122"/>
      <c r="H111" s="122"/>
      <c r="I111" s="122"/>
      <c r="J111" s="118"/>
      <c r="K111" s="118"/>
      <c r="L111" s="98"/>
      <c r="M111" s="98"/>
      <c r="N111" s="98"/>
      <c r="O111" s="98"/>
      <c r="P111" s="96"/>
    </row>
    <row r="112" spans="1:16" ht="16.5" customHeight="1" thickTop="1" thickBot="1" x14ac:dyDescent="0.3">
      <c r="A112" s="95"/>
      <c r="B112" s="123"/>
      <c r="C112" s="139"/>
      <c r="D112" s="122"/>
      <c r="E112" s="122"/>
      <c r="F112" s="122"/>
      <c r="G112" s="122"/>
      <c r="H112" s="122"/>
      <c r="I112" s="122"/>
      <c r="J112" s="118"/>
      <c r="K112" s="118"/>
      <c r="L112" s="98"/>
      <c r="M112" s="98"/>
      <c r="N112" s="98"/>
      <c r="O112" s="98"/>
      <c r="P112" s="96"/>
    </row>
    <row r="113" spans="1:16" ht="16.5" customHeight="1" thickTop="1" thickBot="1" x14ac:dyDescent="0.3">
      <c r="A113" s="95"/>
      <c r="B113" s="123"/>
      <c r="C113" s="139"/>
      <c r="D113" s="122"/>
      <c r="E113" s="122"/>
      <c r="F113" s="122"/>
      <c r="G113" s="122"/>
      <c r="H113" s="122"/>
      <c r="I113" s="122"/>
      <c r="J113" s="118"/>
      <c r="K113" s="118"/>
      <c r="L113" s="98"/>
      <c r="M113" s="98"/>
      <c r="N113" s="98"/>
      <c r="O113" s="98"/>
      <c r="P113" s="96"/>
    </row>
    <row r="114" spans="1:16" ht="16.5" customHeight="1" thickTop="1" thickBot="1" x14ac:dyDescent="0.3">
      <c r="A114" s="95"/>
      <c r="B114" s="123"/>
      <c r="C114" s="139"/>
      <c r="D114" s="122"/>
      <c r="E114" s="122"/>
      <c r="F114" s="122"/>
      <c r="G114" s="122"/>
      <c r="H114" s="122"/>
      <c r="I114" s="122"/>
      <c r="J114" s="118"/>
      <c r="K114" s="118"/>
      <c r="L114" s="98"/>
      <c r="M114" s="98"/>
      <c r="N114" s="98"/>
      <c r="O114" s="98"/>
      <c r="P114" s="96"/>
    </row>
    <row r="115" spans="1:16" ht="16.5" customHeight="1" thickTop="1" thickBot="1" x14ac:dyDescent="0.3">
      <c r="A115" s="95"/>
      <c r="B115" s="123"/>
      <c r="C115" s="139"/>
      <c r="D115" s="122"/>
      <c r="E115" s="122"/>
      <c r="F115" s="122"/>
      <c r="G115" s="122"/>
      <c r="H115" s="122"/>
      <c r="I115" s="122"/>
      <c r="J115" s="118"/>
      <c r="K115" s="118"/>
      <c r="L115" s="98"/>
      <c r="M115" s="98"/>
      <c r="N115" s="98"/>
      <c r="O115" s="98"/>
      <c r="P115" s="96"/>
    </row>
    <row r="116" spans="1:16" ht="16.5" customHeight="1" thickTop="1" thickBot="1" x14ac:dyDescent="0.3">
      <c r="A116" s="95"/>
      <c r="B116" s="123"/>
      <c r="C116" s="139"/>
      <c r="D116" s="122"/>
      <c r="E116" s="122"/>
      <c r="F116" s="122"/>
      <c r="G116" s="122"/>
      <c r="H116" s="122"/>
      <c r="I116" s="122"/>
      <c r="J116" s="118"/>
      <c r="K116" s="118"/>
      <c r="L116" s="98"/>
      <c r="M116" s="98"/>
      <c r="N116" s="98"/>
      <c r="O116" s="98"/>
      <c r="P116" s="96"/>
    </row>
    <row r="117" spans="1:16" ht="16.5" customHeight="1" thickTop="1" thickBot="1" x14ac:dyDescent="0.3">
      <c r="A117" s="95"/>
      <c r="B117" s="123"/>
      <c r="C117" s="139"/>
      <c r="D117" s="122"/>
      <c r="E117" s="122"/>
      <c r="F117" s="122"/>
      <c r="G117" s="122"/>
      <c r="H117" s="122"/>
      <c r="I117" s="122"/>
      <c r="J117" s="118"/>
      <c r="K117" s="118"/>
      <c r="L117" s="98"/>
      <c r="M117" s="98"/>
      <c r="N117" s="98"/>
      <c r="O117" s="98"/>
      <c r="P117" s="96"/>
    </row>
    <row r="118" spans="1:16" ht="15.75" customHeight="1" thickTop="1" x14ac:dyDescent="0.25">
      <c r="A118" s="95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8"/>
      <c r="M118" s="98"/>
      <c r="N118" s="98"/>
      <c r="O118" s="98"/>
      <c r="P118" s="96"/>
    </row>
    <row r="119" spans="1:16" ht="15" customHeight="1" x14ac:dyDescent="0.25">
      <c r="A119" s="95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6"/>
    </row>
    <row r="120" spans="1:16" ht="15.75" customHeight="1" x14ac:dyDescent="0.25">
      <c r="A120" s="103" t="s">
        <v>192</v>
      </c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6"/>
    </row>
    <row r="121" spans="1:16" ht="16.5" customHeight="1" x14ac:dyDescent="0.25">
      <c r="A121" s="124" t="s">
        <v>193</v>
      </c>
      <c r="B121" s="118">
        <f>SUMPRODUCT(H84:H95,I84:I95)+SUMPRODUCT(G100:G104,H100:H104)+SUMPRODUCT(J108:J117,K108:K117)</f>
        <v>38.631381420821356</v>
      </c>
      <c r="C121" s="118" t="s">
        <v>107</v>
      </c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6"/>
    </row>
    <row r="122" spans="1:16" ht="16.5" customHeight="1" x14ac:dyDescent="0.25">
      <c r="A122" s="124" t="s">
        <v>167</v>
      </c>
      <c r="B122" s="118">
        <f>B121*(G109-$B$4)</f>
        <v>1004.4159169413552</v>
      </c>
      <c r="C122" s="118" t="s">
        <v>169</v>
      </c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6"/>
    </row>
    <row r="123" spans="1:16" ht="15.75" customHeight="1" thickBot="1" x14ac:dyDescent="0.3">
      <c r="A123" s="109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1"/>
    </row>
    <row r="124" spans="1:16" ht="15.75" customHeight="1" thickTop="1" x14ac:dyDescent="0.25">
      <c r="A124" s="343" t="s">
        <v>194</v>
      </c>
      <c r="B124" s="343"/>
      <c r="C124" s="343"/>
      <c r="D124" s="125" t="s">
        <v>222</v>
      </c>
      <c r="E124" s="299"/>
      <c r="F124" s="299"/>
      <c r="G124" s="299"/>
      <c r="H124" s="299"/>
      <c r="I124" s="299"/>
      <c r="J124" s="299"/>
      <c r="K124" s="299"/>
      <c r="L124" s="299"/>
      <c r="M124" s="299"/>
      <c r="N124" s="299"/>
      <c r="O124" s="299"/>
      <c r="P124" s="94"/>
    </row>
    <row r="125" spans="1:16" ht="15" customHeight="1" x14ac:dyDescent="0.25">
      <c r="A125" s="95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6"/>
    </row>
    <row r="126" spans="1:16" ht="15" customHeight="1" thickBot="1" x14ac:dyDescent="0.3">
      <c r="A126" s="126" t="s">
        <v>195</v>
      </c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6"/>
    </row>
    <row r="127" spans="1:16" ht="15" customHeight="1" thickTop="1" thickBot="1" x14ac:dyDescent="0.3">
      <c r="A127" s="127" t="s">
        <v>196</v>
      </c>
      <c r="B127" s="121">
        <f>B48</f>
        <v>1.6642312063646696</v>
      </c>
      <c r="C127" s="120" t="s">
        <v>197</v>
      </c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6"/>
    </row>
    <row r="128" spans="1:16" ht="15" customHeight="1" thickTop="1" thickBot="1" x14ac:dyDescent="0.3">
      <c r="A128" s="127" t="s">
        <v>198</v>
      </c>
      <c r="B128" s="121">
        <v>0.03</v>
      </c>
      <c r="C128" s="120" t="s">
        <v>199</v>
      </c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6"/>
    </row>
    <row r="129" spans="1:16" ht="15.75" customHeight="1" thickTop="1" thickBot="1" x14ac:dyDescent="0.3">
      <c r="A129" s="127" t="s">
        <v>200</v>
      </c>
      <c r="B129" s="121">
        <v>1</v>
      </c>
      <c r="C129" s="120" t="s">
        <v>201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6"/>
    </row>
    <row r="130" spans="1:16" ht="16.5" customHeight="1" thickTop="1" x14ac:dyDescent="0.25">
      <c r="A130" s="124" t="s">
        <v>202</v>
      </c>
      <c r="B130" s="118">
        <f>VLOOKUP(B78,'Tabula 2zone Ref 2'!$A$34:$F$45,2,0)*B127/20</f>
        <v>21.135736320831299</v>
      </c>
      <c r="C130" s="118" t="s">
        <v>203</v>
      </c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6"/>
    </row>
    <row r="131" spans="1:16" ht="15.75" customHeight="1" x14ac:dyDescent="0.25">
      <c r="A131" s="95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6"/>
    </row>
    <row r="132" spans="1:16" ht="15" customHeight="1" x14ac:dyDescent="0.25">
      <c r="A132" s="126" t="s">
        <v>204</v>
      </c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6"/>
    </row>
    <row r="133" spans="1:16" ht="15.75" customHeight="1" x14ac:dyDescent="0.25">
      <c r="A133" s="95" t="s">
        <v>180</v>
      </c>
      <c r="B133" s="98">
        <f>'Tabula 2zone Ref 2'!G35</f>
        <v>120.6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6"/>
    </row>
    <row r="134" spans="1:16" ht="16.5" customHeight="1" x14ac:dyDescent="0.25">
      <c r="A134" s="124" t="s">
        <v>205</v>
      </c>
      <c r="B134" s="128">
        <f>0.4*(1-F55)*'Tabula 2zone Ref 2'!B35</f>
        <v>20.319999999999993</v>
      </c>
      <c r="C134" s="118" t="s">
        <v>203</v>
      </c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6"/>
    </row>
    <row r="135" spans="1:16" ht="15.75" customHeight="1" x14ac:dyDescent="0.25">
      <c r="A135" s="95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6"/>
    </row>
    <row r="136" spans="1:16" ht="15.75" customHeight="1" x14ac:dyDescent="0.25">
      <c r="A136" s="95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6"/>
    </row>
    <row r="137" spans="1:16" ht="16.5" customHeight="1" x14ac:dyDescent="0.25">
      <c r="A137" s="124" t="s">
        <v>207</v>
      </c>
      <c r="B137" s="118">
        <f>SUM(B130,B134)</f>
        <v>41.455736320831292</v>
      </c>
      <c r="C137" s="118" t="s">
        <v>203</v>
      </c>
      <c r="D137" s="98"/>
      <c r="E137" s="98"/>
      <c r="F137" s="118" t="s">
        <v>208</v>
      </c>
      <c r="G137" s="118">
        <f>B137/VLOOKUP(B78,'Gebouwgegevens Allacker'!$A$35:$B$46,2,0)</f>
        <v>0.25993012841612712</v>
      </c>
      <c r="H137" s="98"/>
      <c r="I137" s="98"/>
      <c r="J137" s="98"/>
      <c r="K137" s="98"/>
      <c r="L137" s="98"/>
      <c r="M137" s="98"/>
      <c r="N137" s="98"/>
      <c r="O137" s="98"/>
      <c r="P137" s="96"/>
    </row>
    <row r="138" spans="1:16" ht="16.5" customHeight="1" x14ac:dyDescent="0.25">
      <c r="A138" s="95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6"/>
    </row>
    <row r="139" spans="1:16" ht="16.5" customHeight="1" x14ac:dyDescent="0.25">
      <c r="A139" s="124" t="s">
        <v>209</v>
      </c>
      <c r="B139" s="118">
        <f>0.34*(B137+B130)</f>
        <v>21.281100698165282</v>
      </c>
      <c r="C139" s="118" t="s">
        <v>107</v>
      </c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6"/>
    </row>
    <row r="140" spans="1:16" ht="16.5" customHeight="1" x14ac:dyDescent="0.25">
      <c r="A140" s="124" t="s">
        <v>167</v>
      </c>
      <c r="B140" s="118">
        <f>B139*(G109-$B$4)</f>
        <v>553.3086181522973</v>
      </c>
      <c r="C140" s="118" t="s">
        <v>169</v>
      </c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6"/>
    </row>
    <row r="141" spans="1:16" ht="15.75" customHeight="1" thickBot="1" x14ac:dyDescent="0.3">
      <c r="A141" s="109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1"/>
    </row>
    <row r="142" spans="1:16" ht="15.75" customHeight="1" thickTop="1" x14ac:dyDescent="0.25">
      <c r="A142" s="343" t="s">
        <v>210</v>
      </c>
      <c r="B142" s="343"/>
      <c r="C142" s="343"/>
      <c r="D142" s="343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6"/>
    </row>
    <row r="143" spans="1:16" ht="15" customHeight="1" thickBot="1" x14ac:dyDescent="0.3">
      <c r="A143" s="95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6"/>
    </row>
    <row r="144" spans="1:16" ht="15" customHeight="1" thickTop="1" thickBot="1" x14ac:dyDescent="0.3">
      <c r="A144" s="127" t="s">
        <v>211</v>
      </c>
      <c r="B144" s="121">
        <v>11</v>
      </c>
      <c r="C144" s="58" t="s">
        <v>212</v>
      </c>
      <c r="D144" s="5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6"/>
    </row>
    <row r="145" spans="1:16" ht="15.75" customHeight="1" thickTop="1" thickBot="1" x14ac:dyDescent="0.3">
      <c r="A145" s="127" t="s">
        <v>113</v>
      </c>
      <c r="B145" s="121">
        <f>B133</f>
        <v>120.6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6"/>
    </row>
    <row r="146" spans="1:16" ht="16.5" customHeight="1" thickTop="1" x14ac:dyDescent="0.25">
      <c r="A146" s="124" t="s">
        <v>213</v>
      </c>
      <c r="B146" s="118">
        <f>B147/('Gebouwgegevens Allacker'!E100-'Verwarming Tabula 2zone Ref 2'!$B$4)</f>
        <v>165.82499999999999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6"/>
    </row>
    <row r="147" spans="1:16" ht="16.5" customHeight="1" x14ac:dyDescent="0.25">
      <c r="A147" s="124" t="s">
        <v>167</v>
      </c>
      <c r="B147" s="118">
        <f>B144*B145</f>
        <v>1326.6</v>
      </c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6"/>
    </row>
    <row r="148" spans="1:16" ht="15.75" customHeight="1" x14ac:dyDescent="0.25">
      <c r="A148" s="95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6"/>
    </row>
    <row r="149" spans="1:16" ht="15.75" customHeight="1" thickBot="1" x14ac:dyDescent="0.3">
      <c r="A149" s="95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6"/>
    </row>
    <row r="150" spans="1:16" ht="15.75" customHeight="1" thickTop="1" thickBot="1" x14ac:dyDescent="0.3">
      <c r="A150" s="129" t="s">
        <v>214</v>
      </c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1"/>
    </row>
    <row r="151" spans="1:16" ht="16.5" customHeight="1" thickTop="1" x14ac:dyDescent="0.25">
      <c r="A151" s="124" t="s">
        <v>215</v>
      </c>
      <c r="B151" s="118">
        <f>SUM(B121,B139,B146)</f>
        <v>225.73748211898663</v>
      </c>
      <c r="C151" s="118" t="s">
        <v>107</v>
      </c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3"/>
    </row>
    <row r="152" spans="1:16" ht="16.5" customHeight="1" x14ac:dyDescent="0.25">
      <c r="A152" s="124" t="s">
        <v>167</v>
      </c>
      <c r="B152" s="118">
        <f>SUM(B122,B140,B147)</f>
        <v>2884.3245350936522</v>
      </c>
      <c r="C152" s="118" t="s">
        <v>169</v>
      </c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3"/>
    </row>
    <row r="153" spans="1:16" ht="16.5" customHeight="1" thickBot="1" x14ac:dyDescent="0.3">
      <c r="A153" s="134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6"/>
    </row>
    <row r="154" spans="1:16" ht="15" customHeight="1" thickTop="1" x14ac:dyDescent="0.25">
      <c r="A154" s="137"/>
      <c r="B154" s="137"/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</row>
    <row r="155" spans="1:16" ht="15" customHeight="1" x14ac:dyDescent="0.25">
      <c r="A155" s="137"/>
      <c r="B155" s="137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</row>
    <row r="156" spans="1:16" ht="15.75" customHeight="1" thickBot="1" x14ac:dyDescent="0.3">
      <c r="A156" s="137"/>
      <c r="B156" s="137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</row>
    <row r="157" spans="1:16" ht="15" customHeight="1" thickTop="1" thickBot="1" x14ac:dyDescent="0.3">
      <c r="A157" s="93"/>
      <c r="B157" s="299"/>
      <c r="C157" s="299"/>
      <c r="D157" s="299"/>
      <c r="E157" s="299"/>
      <c r="F157" s="299"/>
      <c r="G157" s="299"/>
      <c r="H157" s="299"/>
      <c r="I157" s="299"/>
      <c r="J157" s="299"/>
      <c r="K157" s="299"/>
      <c r="L157" s="299"/>
      <c r="M157" s="299"/>
      <c r="N157" s="299"/>
      <c r="O157" s="299"/>
      <c r="P157" s="94"/>
    </row>
    <row r="158" spans="1:16" ht="17.25" customHeight="1" thickTop="1" thickBot="1" x14ac:dyDescent="0.35">
      <c r="A158" s="97" t="s">
        <v>166</v>
      </c>
      <c r="B158" s="92">
        <v>3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6"/>
    </row>
    <row r="159" spans="1:16" ht="15.75" customHeight="1" thickTop="1" x14ac:dyDescent="0.25">
      <c r="A159" s="343" t="s">
        <v>168</v>
      </c>
      <c r="B159" s="343"/>
      <c r="C159" s="343"/>
      <c r="D159" s="343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299"/>
      <c r="P159" s="94"/>
    </row>
    <row r="160" spans="1:16" ht="15" customHeight="1" x14ac:dyDescent="0.25">
      <c r="A160" s="95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6"/>
    </row>
    <row r="161" spans="1:16" ht="15" customHeight="1" x14ac:dyDescent="0.25">
      <c r="A161" s="103" t="s">
        <v>170</v>
      </c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6"/>
    </row>
    <row r="162" spans="1:16" ht="15" customHeight="1" x14ac:dyDescent="0.25">
      <c r="A162" s="95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6"/>
    </row>
    <row r="163" spans="1:16" ht="15.75" customHeight="1" thickBot="1" x14ac:dyDescent="0.3">
      <c r="A163" s="95"/>
      <c r="B163" s="104" t="s">
        <v>10</v>
      </c>
      <c r="C163" s="104" t="s">
        <v>171</v>
      </c>
      <c r="D163" s="104" t="s">
        <v>172</v>
      </c>
      <c r="E163" s="104" t="s">
        <v>173</v>
      </c>
      <c r="F163" s="104" t="s">
        <v>174</v>
      </c>
      <c r="G163" s="104" t="s">
        <v>16</v>
      </c>
      <c r="H163" s="105" t="s">
        <v>17</v>
      </c>
      <c r="I163" s="105" t="s">
        <v>175</v>
      </c>
      <c r="J163" s="98"/>
      <c r="K163" s="98"/>
      <c r="L163" s="98"/>
      <c r="M163" s="98"/>
      <c r="N163" s="98"/>
      <c r="O163" s="98"/>
      <c r="P163" s="96"/>
    </row>
    <row r="164" spans="1:16" ht="16.5" customHeight="1" thickTop="1" thickBot="1" x14ac:dyDescent="0.3">
      <c r="A164" s="95"/>
      <c r="B164" s="106" t="s">
        <v>66</v>
      </c>
      <c r="C164" s="107">
        <f>VLOOKUP(B164,'Gebouwgegevens Allacker'!$J$5:$Q$83,3,0)</f>
        <v>1</v>
      </c>
      <c r="D164" s="107" t="str">
        <f>VLOOKUP(B164,'Gebouwgegevens Allacker'!$J$5:$Q$83,4,0)</f>
        <v>Roof</v>
      </c>
      <c r="E164" s="107">
        <f>VLOOKUP(B164,'Gebouwgegevens Allacker'!$J$5:$Q$83,5,0)</f>
        <v>29</v>
      </c>
      <c r="F164" s="107">
        <f>VLOOKUP(B164,'Gebouwgegevens Allacker'!$J$5:$Q$83,6,0)</f>
        <v>0</v>
      </c>
      <c r="G164" s="107">
        <f>VLOOKUP(B164,'Gebouwgegevens Allacker'!$J$5:$Q$83,7,0)</f>
        <v>1.6975498473547073</v>
      </c>
      <c r="H164" s="108">
        <f>VLOOKUP(B164,'Gebouwgegevens Allacker'!$J$5:$Q$83,8,0)</f>
        <v>49.228945573286509</v>
      </c>
      <c r="I164" s="108">
        <v>1</v>
      </c>
      <c r="J164" s="98"/>
      <c r="K164" s="98"/>
      <c r="L164" s="98"/>
      <c r="M164" s="98"/>
      <c r="N164" s="98"/>
      <c r="O164" s="98"/>
      <c r="P164" s="96"/>
    </row>
    <row r="165" spans="1:16" ht="16.5" customHeight="1" thickTop="1" thickBot="1" x14ac:dyDescent="0.3">
      <c r="A165" s="95"/>
      <c r="B165" s="106" t="s">
        <v>67</v>
      </c>
      <c r="C165" s="107">
        <f>VLOOKUP(B165,'Gebouwgegevens Allacker'!$J$5:$Q$83,3,0)</f>
        <v>1</v>
      </c>
      <c r="D165" s="107" t="str">
        <f>VLOOKUP(B165,'Gebouwgegevens Allacker'!$J$5:$Q$83,4,0)</f>
        <v>Door</v>
      </c>
      <c r="E165" s="107">
        <f>VLOOKUP(B165,'Gebouwgegevens Allacker'!$J$5:$Q$83,5,0)</f>
        <v>7.5</v>
      </c>
      <c r="F165" s="107">
        <f>VLOOKUP(B165,'Gebouwgegevens Allacker'!$J$5:$Q$83,6,0)</f>
        <v>0</v>
      </c>
      <c r="G165" s="107">
        <f>VLOOKUP(B165,'Gebouwgegevens Allacker'!$J$5:$Q$83,7,0)</f>
        <v>4</v>
      </c>
      <c r="H165" s="108">
        <f>VLOOKUP(B165,'Gebouwgegevens Allacker'!$J$5:$Q$83,8,0)</f>
        <v>30</v>
      </c>
      <c r="I165" s="108">
        <v>1</v>
      </c>
      <c r="J165" s="98"/>
      <c r="K165" s="98"/>
      <c r="L165" s="98"/>
      <c r="M165" s="98"/>
      <c r="N165" s="98"/>
      <c r="O165" s="98"/>
      <c r="P165" s="96"/>
    </row>
    <row r="166" spans="1:16" ht="16.5" customHeight="1" thickTop="1" thickBot="1" x14ac:dyDescent="0.3">
      <c r="A166" s="95"/>
      <c r="B166" s="106"/>
      <c r="C166" s="107"/>
      <c r="D166" s="107"/>
      <c r="E166" s="107"/>
      <c r="F166" s="107"/>
      <c r="G166" s="107"/>
      <c r="H166" s="108"/>
      <c r="I166" s="108"/>
      <c r="J166" s="98"/>
      <c r="K166" s="98"/>
      <c r="L166" s="98"/>
      <c r="M166" s="98"/>
      <c r="N166" s="98"/>
      <c r="O166" s="98"/>
      <c r="P166" s="96"/>
    </row>
    <row r="167" spans="1:16" ht="16.5" customHeight="1" thickTop="1" thickBot="1" x14ac:dyDescent="0.3">
      <c r="A167" s="95"/>
      <c r="B167" s="106"/>
      <c r="C167" s="107"/>
      <c r="D167" s="107"/>
      <c r="E167" s="107"/>
      <c r="F167" s="107"/>
      <c r="G167" s="107"/>
      <c r="H167" s="108"/>
      <c r="I167" s="108"/>
      <c r="J167" s="98"/>
      <c r="K167" s="98"/>
      <c r="L167" s="98"/>
      <c r="M167" s="98"/>
      <c r="N167" s="98"/>
      <c r="O167" s="98"/>
      <c r="P167" s="96"/>
    </row>
    <row r="168" spans="1:16" ht="16.5" customHeight="1" thickTop="1" thickBot="1" x14ac:dyDescent="0.3">
      <c r="A168" s="95"/>
      <c r="B168" s="106"/>
      <c r="C168" s="107"/>
      <c r="D168" s="107"/>
      <c r="E168" s="107"/>
      <c r="F168" s="107"/>
      <c r="G168" s="107"/>
      <c r="H168" s="108"/>
      <c r="I168" s="108"/>
      <c r="J168" s="98"/>
      <c r="K168" s="98"/>
      <c r="L168" s="98"/>
      <c r="M168" s="98"/>
      <c r="N168" s="98"/>
      <c r="O168" s="98"/>
      <c r="P168" s="96"/>
    </row>
    <row r="169" spans="1:16" ht="16.5" customHeight="1" thickTop="1" thickBot="1" x14ac:dyDescent="0.3">
      <c r="A169" s="95"/>
      <c r="B169" s="106"/>
      <c r="C169" s="107"/>
      <c r="D169" s="107"/>
      <c r="E169" s="107"/>
      <c r="F169" s="107"/>
      <c r="G169" s="107"/>
      <c r="H169" s="108"/>
      <c r="I169" s="108"/>
      <c r="J169" s="98"/>
      <c r="K169" s="98"/>
      <c r="L169" s="98"/>
      <c r="M169" s="98"/>
      <c r="N169" s="98"/>
      <c r="O169" s="98"/>
      <c r="P169" s="96"/>
    </row>
    <row r="170" spans="1:16" ht="16.5" customHeight="1" thickTop="1" thickBot="1" x14ac:dyDescent="0.3">
      <c r="A170" s="95"/>
      <c r="B170" s="106"/>
      <c r="C170" s="107"/>
      <c r="D170" s="107"/>
      <c r="E170" s="107"/>
      <c r="F170" s="107"/>
      <c r="G170" s="107"/>
      <c r="H170" s="108"/>
      <c r="I170" s="108"/>
      <c r="J170" s="98"/>
      <c r="K170" s="98"/>
      <c r="L170" s="98"/>
      <c r="M170" s="98"/>
      <c r="N170" s="98"/>
      <c r="O170" s="98"/>
      <c r="P170" s="96"/>
    </row>
    <row r="171" spans="1:16" ht="16.5" customHeight="1" thickTop="1" thickBot="1" x14ac:dyDescent="0.3">
      <c r="A171" s="95"/>
      <c r="B171" s="106"/>
      <c r="C171" s="107"/>
      <c r="D171" s="107"/>
      <c r="E171" s="107"/>
      <c r="F171" s="107"/>
      <c r="G171" s="107"/>
      <c r="H171" s="108"/>
      <c r="I171" s="108"/>
      <c r="J171" s="98"/>
      <c r="K171" s="98"/>
      <c r="L171" s="98"/>
      <c r="M171" s="98"/>
      <c r="N171" s="98"/>
      <c r="O171" s="98"/>
      <c r="P171" s="96"/>
    </row>
    <row r="172" spans="1:16" ht="16.5" customHeight="1" thickTop="1" thickBot="1" x14ac:dyDescent="0.3">
      <c r="A172" s="95"/>
      <c r="B172" s="106"/>
      <c r="C172" s="107"/>
      <c r="D172" s="107"/>
      <c r="E172" s="107"/>
      <c r="F172" s="107"/>
      <c r="G172" s="107"/>
      <c r="H172" s="108"/>
      <c r="I172" s="108"/>
      <c r="J172" s="98"/>
      <c r="K172" s="98"/>
      <c r="L172" s="98"/>
      <c r="M172" s="98"/>
      <c r="N172" s="98"/>
      <c r="O172" s="98"/>
      <c r="P172" s="96"/>
    </row>
    <row r="173" spans="1:16" ht="16.5" customHeight="1" thickTop="1" thickBot="1" x14ac:dyDescent="0.3">
      <c r="A173" s="95"/>
      <c r="B173" s="106"/>
      <c r="C173" s="107"/>
      <c r="D173" s="107"/>
      <c r="E173" s="107"/>
      <c r="F173" s="107"/>
      <c r="G173" s="107"/>
      <c r="H173" s="108"/>
      <c r="I173" s="108"/>
      <c r="J173" s="98"/>
      <c r="K173" s="98"/>
      <c r="L173" s="98"/>
      <c r="M173" s="98"/>
      <c r="N173" s="98"/>
      <c r="O173" s="98"/>
      <c r="P173" s="96"/>
    </row>
    <row r="174" spans="1:16" ht="16.5" customHeight="1" thickTop="1" thickBot="1" x14ac:dyDescent="0.3">
      <c r="A174" s="95"/>
      <c r="B174" s="106"/>
      <c r="C174" s="107"/>
      <c r="D174" s="107"/>
      <c r="E174" s="107"/>
      <c r="F174" s="107"/>
      <c r="G174" s="107"/>
      <c r="H174" s="108"/>
      <c r="I174" s="108"/>
      <c r="J174" s="98"/>
      <c r="K174" s="98"/>
      <c r="L174" s="98"/>
      <c r="M174" s="98"/>
      <c r="N174" s="98"/>
      <c r="O174" s="98"/>
      <c r="P174" s="96"/>
    </row>
    <row r="175" spans="1:16" ht="16.5" customHeight="1" thickTop="1" thickBot="1" x14ac:dyDescent="0.3">
      <c r="A175" s="95"/>
      <c r="B175" s="106"/>
      <c r="C175" s="107"/>
      <c r="D175" s="107"/>
      <c r="E175" s="107"/>
      <c r="F175" s="107"/>
      <c r="G175" s="107"/>
      <c r="H175" s="108"/>
      <c r="I175" s="108"/>
      <c r="J175" s="98"/>
      <c r="K175" s="98"/>
      <c r="L175" s="98"/>
      <c r="M175" s="98"/>
      <c r="N175" s="98"/>
      <c r="O175" s="98"/>
      <c r="P175" s="96"/>
    </row>
    <row r="176" spans="1:16" ht="15.75" customHeight="1" thickTop="1" x14ac:dyDescent="0.25">
      <c r="A176" s="95"/>
      <c r="B176" s="58"/>
      <c r="C176" s="58"/>
      <c r="D176" s="58"/>
      <c r="E176" s="58"/>
      <c r="F176" s="58"/>
      <c r="G176" s="114"/>
      <c r="H176" s="58"/>
      <c r="I176" s="58"/>
      <c r="J176" s="98"/>
      <c r="K176" s="98"/>
      <c r="L176" s="98"/>
      <c r="M176" s="98"/>
      <c r="N176" s="98"/>
      <c r="O176" s="98"/>
      <c r="P176" s="96"/>
    </row>
    <row r="177" spans="1:16" ht="15" customHeight="1" x14ac:dyDescent="0.25">
      <c r="A177" s="95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6"/>
    </row>
    <row r="178" spans="1:16" ht="15" customHeight="1" x14ac:dyDescent="0.25">
      <c r="A178" s="103" t="s">
        <v>177</v>
      </c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6"/>
    </row>
    <row r="179" spans="1:16" ht="15.75" customHeight="1" x14ac:dyDescent="0.25">
      <c r="A179" s="95"/>
      <c r="B179" s="58" t="s">
        <v>10</v>
      </c>
      <c r="C179" s="58" t="s">
        <v>178</v>
      </c>
      <c r="D179" s="58" t="s">
        <v>172</v>
      </c>
      <c r="E179" s="58" t="s">
        <v>179</v>
      </c>
      <c r="F179" s="58" t="s">
        <v>16</v>
      </c>
      <c r="G179" s="114" t="s">
        <v>17</v>
      </c>
      <c r="H179" s="114" t="s">
        <v>175</v>
      </c>
      <c r="I179" s="58" t="s">
        <v>180</v>
      </c>
      <c r="J179" s="58" t="s">
        <v>181</v>
      </c>
      <c r="K179" s="58" t="s">
        <v>182</v>
      </c>
      <c r="L179" s="115" t="s">
        <v>183</v>
      </c>
      <c r="M179" s="115" t="s">
        <v>184</v>
      </c>
      <c r="N179" s="115" t="s">
        <v>185</v>
      </c>
      <c r="O179" s="98"/>
      <c r="P179" s="96"/>
    </row>
    <row r="180" spans="1:16" ht="16.5" customHeight="1" thickBot="1" x14ac:dyDescent="0.3">
      <c r="A180" s="95"/>
      <c r="B180" s="116" t="s">
        <v>223</v>
      </c>
      <c r="C180" s="117" t="e">
        <f>VLOOKUP(B180,'Gebouwgegevens Allacker'!$J$5:$Q$83,3,0)</f>
        <v>#N/A</v>
      </c>
      <c r="D180" s="117" t="e">
        <f>VLOOKUP(B180,'Gebouwgegevens Allacker'!$J$5:$Q$83,4,0)</f>
        <v>#N/A</v>
      </c>
      <c r="E180" s="117" t="e">
        <f>VLOOKUP(B180,'Gebouwgegevens Allacker'!$J$5:$Q$83,5,0)</f>
        <v>#N/A</v>
      </c>
      <c r="F180" s="117" t="e">
        <f>VLOOKUP(B180,'Gebouwgegevens Allacker'!$J$5:$Q$83,7,0)</f>
        <v>#N/A</v>
      </c>
      <c r="G180" s="118" t="e">
        <f>VLOOKUP(B180,'Gebouwgegevens Allacker'!$J$5:$Q$83,8,0)</f>
        <v>#N/A</v>
      </c>
      <c r="H180" s="118" t="e">
        <f>N180/F180</f>
        <v>#N/A</v>
      </c>
      <c r="I180" s="117" t="e">
        <f>VLOOKUP(C180,'Gebouwgegevens Allacker'!$A$35:$F$46,6,0)</f>
        <v>#N/A</v>
      </c>
      <c r="J180" s="116">
        <v>1.05</v>
      </c>
      <c r="K180" s="116">
        <v>0.33</v>
      </c>
      <c r="L180" s="119" t="e">
        <f>I180/(0.5*J180)</f>
        <v>#N/A</v>
      </c>
      <c r="M180" s="119" t="e">
        <f>K180+2*(1/F180)</f>
        <v>#N/A</v>
      </c>
      <c r="N180" s="120" t="e">
        <f>IF(M180&lt;L180,2*2/(PI()*L180+M180)*LN(PI()*L180/M180+1),2/(0.457*L180+M180))</f>
        <v>#N/A</v>
      </c>
      <c r="O180" s="98"/>
      <c r="P180" s="96"/>
    </row>
    <row r="181" spans="1:16" ht="16.5" customHeight="1" thickTop="1" thickBot="1" x14ac:dyDescent="0.3">
      <c r="A181" s="95"/>
      <c r="B181" s="116"/>
      <c r="C181" s="117"/>
      <c r="D181" s="117"/>
      <c r="E181" s="117"/>
      <c r="F181" s="117"/>
      <c r="G181" s="118"/>
      <c r="H181" s="118"/>
      <c r="I181" s="117"/>
      <c r="J181" s="116"/>
      <c r="K181" s="116"/>
      <c r="L181" s="119"/>
      <c r="M181" s="119"/>
      <c r="N181" s="120"/>
      <c r="O181" s="98"/>
      <c r="P181" s="96"/>
    </row>
    <row r="182" spans="1:16" ht="16.5" customHeight="1" thickTop="1" thickBot="1" x14ac:dyDescent="0.3">
      <c r="A182" s="95"/>
      <c r="B182" s="116"/>
      <c r="C182" s="117"/>
      <c r="D182" s="117"/>
      <c r="E182" s="117"/>
      <c r="F182" s="117"/>
      <c r="G182" s="118"/>
      <c r="H182" s="118"/>
      <c r="I182" s="117"/>
      <c r="J182" s="116"/>
      <c r="K182" s="116"/>
      <c r="L182" s="119"/>
      <c r="M182" s="119"/>
      <c r="N182" s="120"/>
      <c r="O182" s="98"/>
      <c r="P182" s="96"/>
    </row>
    <row r="183" spans="1:16" ht="16.5" customHeight="1" thickTop="1" thickBot="1" x14ac:dyDescent="0.3">
      <c r="A183" s="95"/>
      <c r="B183" s="116"/>
      <c r="C183" s="117"/>
      <c r="D183" s="117"/>
      <c r="E183" s="117"/>
      <c r="F183" s="117"/>
      <c r="G183" s="118"/>
      <c r="H183" s="118"/>
      <c r="I183" s="117"/>
      <c r="J183" s="116"/>
      <c r="K183" s="116"/>
      <c r="L183" s="119"/>
      <c r="M183" s="119"/>
      <c r="N183" s="120"/>
      <c r="O183" s="98"/>
      <c r="P183" s="96"/>
    </row>
    <row r="184" spans="1:16" ht="16.5" customHeight="1" thickTop="1" thickBot="1" x14ac:dyDescent="0.3">
      <c r="A184" s="138"/>
      <c r="B184" s="116"/>
      <c r="C184" s="117"/>
      <c r="D184" s="117"/>
      <c r="E184" s="117"/>
      <c r="F184" s="117"/>
      <c r="G184" s="118"/>
      <c r="H184" s="118"/>
      <c r="I184" s="117"/>
      <c r="J184" s="116"/>
      <c r="K184" s="116"/>
      <c r="L184" s="119"/>
      <c r="M184" s="119"/>
      <c r="N184" s="120"/>
      <c r="O184" s="98"/>
      <c r="P184" s="96"/>
    </row>
    <row r="185" spans="1:16" ht="15.75" customHeight="1" thickTop="1" x14ac:dyDescent="0.25">
      <c r="A185" s="95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6"/>
    </row>
    <row r="186" spans="1:16" ht="15" customHeight="1" x14ac:dyDescent="0.25">
      <c r="A186" s="103" t="s">
        <v>186</v>
      </c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6"/>
    </row>
    <row r="187" spans="1:16" ht="15.75" customHeight="1" thickBot="1" x14ac:dyDescent="0.3">
      <c r="A187" s="95"/>
      <c r="B187" s="58" t="s">
        <v>10</v>
      </c>
      <c r="C187" s="58" t="s">
        <v>187</v>
      </c>
      <c r="D187" s="58" t="s">
        <v>188</v>
      </c>
      <c r="E187" s="58" t="s">
        <v>135</v>
      </c>
      <c r="F187" s="58" t="s">
        <v>189</v>
      </c>
      <c r="G187" s="58" t="s">
        <v>190</v>
      </c>
      <c r="H187" s="58" t="s">
        <v>191</v>
      </c>
      <c r="I187" s="58" t="s">
        <v>16</v>
      </c>
      <c r="J187" s="114" t="s">
        <v>17</v>
      </c>
      <c r="K187" s="114" t="s">
        <v>175</v>
      </c>
      <c r="L187" s="98"/>
      <c r="M187" s="98"/>
      <c r="N187" s="98"/>
      <c r="O187" s="98"/>
      <c r="P187" s="96"/>
    </row>
    <row r="188" spans="1:16" ht="16.5" customHeight="1" thickTop="1" thickBot="1" x14ac:dyDescent="0.3">
      <c r="A188" s="95"/>
      <c r="B188" s="121" t="s">
        <v>224</v>
      </c>
      <c r="C188" s="122" t="e">
        <f>IF(VLOOKUP(B188,'Gebouwgegevens Allacker'!$J$5:$Q$83,2,0)=$B$158,VLOOKUP(B188,'Gebouwgegevens Allacker'!$J$5:$Q$83,2,0),VLOOKUP(B188,'Gebouwgegevens Allacker'!$J$5:$Q$83,3,0))</f>
        <v>#N/A</v>
      </c>
      <c r="D188" s="122" t="e">
        <f>IF(VLOOKUP(B188,'Gebouwgegevens Allacker'!$J$5:$Q$83,2,0)=$B$158,VLOOKUP(B188,'Gebouwgegevens Allacker'!$J$5:$Q$83,3,0),VLOOKUP(B188,'Gebouwgegevens Allacker'!$J$5:$Q$83,2,0))</f>
        <v>#N/A</v>
      </c>
      <c r="E188" s="122" t="e">
        <f>VLOOKUP(B188,'Gebouwgegevens Allacker'!$J$5:$Q$83,4,0)</f>
        <v>#N/A</v>
      </c>
      <c r="F188" s="122" t="e">
        <f>VLOOKUP(B188,'Gebouwgegevens Allacker'!$J$5:$Q$83,5,0)</f>
        <v>#N/A</v>
      </c>
      <c r="G188" s="122" t="e">
        <f>VLOOKUP('Verwarming Tabula 2zone Ref 2'!C188,'Gebouwgegevens Allacker'!$A$35:$F$46,5,0)</f>
        <v>#N/A</v>
      </c>
      <c r="H188" s="122" t="e">
        <f>VLOOKUP('Verwarming Tabula 2zone Ref 2'!D188,'Gebouwgegevens Allacker'!$A$35:$F$46,5,0)</f>
        <v>#N/A</v>
      </c>
      <c r="I188" s="122" t="e">
        <f>VLOOKUP(B188,'Gebouwgegevens Allacker'!$J$5:$Q$83,7,0)</f>
        <v>#N/A</v>
      </c>
      <c r="J188" s="118" t="e">
        <f>VLOOKUP(B188,'Gebouwgegevens Allacker'!$J$5:$Q$83,8,0)</f>
        <v>#N/A</v>
      </c>
      <c r="K188" s="118" t="e">
        <f>(G188-H188)/(G188-$B$4)</f>
        <v>#N/A</v>
      </c>
      <c r="L188" s="98"/>
      <c r="M188" s="98"/>
      <c r="N188" s="98"/>
      <c r="O188" s="98"/>
      <c r="P188" s="96"/>
    </row>
    <row r="189" spans="1:16" ht="16.5" customHeight="1" thickTop="1" thickBot="1" x14ac:dyDescent="0.3">
      <c r="A189" s="95"/>
      <c r="B189" s="121" t="s">
        <v>225</v>
      </c>
      <c r="C189" s="122" t="e">
        <f>IF(VLOOKUP(B189,'Gebouwgegevens Allacker'!$J$5:$Q$83,2,0)=$B$158,VLOOKUP(B189,'Gebouwgegevens Allacker'!$J$5:$Q$83,2,0),VLOOKUP(B189,'Gebouwgegevens Allacker'!$J$5:$Q$83,3,0))</f>
        <v>#N/A</v>
      </c>
      <c r="D189" s="122" t="e">
        <f>IF(VLOOKUP(B189,'Gebouwgegevens Allacker'!$J$5:$Q$83,2,0)=$B$158,VLOOKUP(B189,'Gebouwgegevens Allacker'!$J$5:$Q$83,3,0),VLOOKUP(B189,'Gebouwgegevens Allacker'!$J$5:$Q$83,2,0))</f>
        <v>#N/A</v>
      </c>
      <c r="E189" s="122" t="e">
        <f>VLOOKUP(B189,'Gebouwgegevens Allacker'!$J$5:$Q$83,4,0)</f>
        <v>#N/A</v>
      </c>
      <c r="F189" s="122" t="e">
        <f>VLOOKUP(B189,'Gebouwgegevens Allacker'!$J$5:$Q$83,5,0)</f>
        <v>#N/A</v>
      </c>
      <c r="G189" s="122" t="e">
        <f>VLOOKUP('Verwarming Tabula 2zone Ref 2'!C189,'Gebouwgegevens Allacker'!$A$35:$F$46,5,0)</f>
        <v>#N/A</v>
      </c>
      <c r="H189" s="122" t="e">
        <f>VLOOKUP('Verwarming Tabula 2zone Ref 2'!D189,'Gebouwgegevens Allacker'!$A$35:$F$46,5,0)</f>
        <v>#N/A</v>
      </c>
      <c r="I189" s="122" t="e">
        <f>VLOOKUP(B189,'Gebouwgegevens Allacker'!$J$5:$Q$83,7,0)</f>
        <v>#N/A</v>
      </c>
      <c r="J189" s="118" t="e">
        <f>VLOOKUP(B189,'Gebouwgegevens Allacker'!$J$5:$Q$83,8,0)</f>
        <v>#N/A</v>
      </c>
      <c r="K189" s="118" t="e">
        <f>(G189-H189)/(G189-$B$4)</f>
        <v>#N/A</v>
      </c>
      <c r="L189" s="98"/>
      <c r="M189" s="98"/>
      <c r="N189" s="98"/>
      <c r="O189" s="98"/>
      <c r="P189" s="96"/>
    </row>
    <row r="190" spans="1:16" ht="16.5" customHeight="1" thickTop="1" thickBot="1" x14ac:dyDescent="0.3">
      <c r="A190" s="95"/>
      <c r="B190" s="121" t="s">
        <v>226</v>
      </c>
      <c r="C190" s="122" t="e">
        <f>IF(VLOOKUP(B190,'Gebouwgegevens Allacker'!$J$5:$Q$83,2,0)=$B$158,VLOOKUP(B190,'Gebouwgegevens Allacker'!$J$5:$Q$83,2,0),VLOOKUP(B190,'Gebouwgegevens Allacker'!$J$5:$Q$83,3,0))</f>
        <v>#N/A</v>
      </c>
      <c r="D190" s="122" t="e">
        <f>IF(VLOOKUP(B190,'Gebouwgegevens Allacker'!$J$5:$Q$83,2,0)=$B$158,VLOOKUP(B190,'Gebouwgegevens Allacker'!$J$5:$Q$83,3,0),VLOOKUP(B190,'Gebouwgegevens Allacker'!$J$5:$Q$83,2,0))</f>
        <v>#N/A</v>
      </c>
      <c r="E190" s="122" t="e">
        <f>VLOOKUP(B190,'Gebouwgegevens Allacker'!$J$5:$Q$83,4,0)</f>
        <v>#N/A</v>
      </c>
      <c r="F190" s="122" t="e">
        <f>VLOOKUP(B190,'Gebouwgegevens Allacker'!$J$5:$Q$83,5,0)</f>
        <v>#N/A</v>
      </c>
      <c r="G190" s="122" t="e">
        <f>VLOOKUP('Verwarming Tabula 2zone Ref 2'!C190,'Gebouwgegevens Allacker'!$A$35:$F$46,5,0)</f>
        <v>#N/A</v>
      </c>
      <c r="H190" s="122" t="e">
        <f>VLOOKUP('Verwarming Tabula 2zone Ref 2'!D190,'Gebouwgegevens Allacker'!$A$35:$F$46,5,0)</f>
        <v>#N/A</v>
      </c>
      <c r="I190" s="122" t="e">
        <f>VLOOKUP(B190,'Gebouwgegevens Allacker'!$J$5:$Q$83,7,0)</f>
        <v>#N/A</v>
      </c>
      <c r="J190" s="118" t="e">
        <f>VLOOKUP(B190,'Gebouwgegevens Allacker'!$J$5:$Q$83,8,0)</f>
        <v>#N/A</v>
      </c>
      <c r="K190" s="118" t="e">
        <f>(G190-H190)/(G190-$B$4)</f>
        <v>#N/A</v>
      </c>
      <c r="L190" s="98"/>
      <c r="M190" s="98"/>
      <c r="N190" s="98"/>
      <c r="O190" s="98"/>
      <c r="P190" s="96"/>
    </row>
    <row r="191" spans="1:16" ht="16.5" customHeight="1" thickTop="1" thickBot="1" x14ac:dyDescent="0.3">
      <c r="A191" s="95"/>
      <c r="B191" s="92"/>
      <c r="C191" s="122"/>
      <c r="D191" s="122"/>
      <c r="E191" s="122"/>
      <c r="F191" s="122"/>
      <c r="G191" s="122"/>
      <c r="H191" s="122"/>
      <c r="I191" s="122"/>
      <c r="J191" s="118"/>
      <c r="K191" s="118"/>
      <c r="L191" s="98"/>
      <c r="M191" s="98"/>
      <c r="N191" s="98"/>
      <c r="O191" s="98"/>
      <c r="P191" s="96"/>
    </row>
    <row r="192" spans="1:16" ht="16.5" customHeight="1" thickTop="1" thickBot="1" x14ac:dyDescent="0.3">
      <c r="A192" s="95"/>
      <c r="B192" s="123"/>
      <c r="C192" s="139"/>
      <c r="D192" s="122"/>
      <c r="E192" s="122"/>
      <c r="F192" s="122"/>
      <c r="G192" s="122"/>
      <c r="H192" s="122"/>
      <c r="I192" s="122"/>
      <c r="J192" s="118"/>
      <c r="K192" s="118"/>
      <c r="L192" s="98"/>
      <c r="M192" s="98"/>
      <c r="N192" s="98"/>
      <c r="O192" s="98"/>
      <c r="P192" s="96"/>
    </row>
    <row r="193" spans="1:16" ht="16.5" customHeight="1" thickTop="1" thickBot="1" x14ac:dyDescent="0.3">
      <c r="A193" s="95"/>
      <c r="B193" s="123"/>
      <c r="C193" s="139"/>
      <c r="D193" s="122"/>
      <c r="E193" s="122"/>
      <c r="F193" s="122"/>
      <c r="G193" s="122"/>
      <c r="H193" s="122"/>
      <c r="I193" s="122"/>
      <c r="J193" s="118"/>
      <c r="K193" s="118"/>
      <c r="L193" s="98"/>
      <c r="M193" s="98"/>
      <c r="N193" s="98"/>
      <c r="O193" s="98"/>
      <c r="P193" s="96"/>
    </row>
    <row r="194" spans="1:16" ht="16.5" customHeight="1" thickTop="1" thickBot="1" x14ac:dyDescent="0.3">
      <c r="A194" s="95"/>
      <c r="B194" s="123"/>
      <c r="C194" s="139"/>
      <c r="D194" s="122"/>
      <c r="E194" s="122"/>
      <c r="F194" s="122"/>
      <c r="G194" s="122"/>
      <c r="H194" s="122"/>
      <c r="I194" s="122"/>
      <c r="J194" s="118"/>
      <c r="K194" s="118"/>
      <c r="L194" s="98"/>
      <c r="M194" s="98"/>
      <c r="N194" s="98"/>
      <c r="O194" s="98"/>
      <c r="P194" s="96"/>
    </row>
    <row r="195" spans="1:16" ht="16.5" customHeight="1" thickTop="1" thickBot="1" x14ac:dyDescent="0.3">
      <c r="A195" s="95"/>
      <c r="B195" s="123"/>
      <c r="C195" s="139"/>
      <c r="D195" s="122"/>
      <c r="E195" s="122"/>
      <c r="F195" s="122"/>
      <c r="G195" s="122"/>
      <c r="H195" s="122"/>
      <c r="I195" s="122"/>
      <c r="J195" s="118"/>
      <c r="K195" s="118"/>
      <c r="L195" s="98"/>
      <c r="M195" s="98"/>
      <c r="N195" s="98"/>
      <c r="O195" s="98"/>
      <c r="P195" s="96"/>
    </row>
    <row r="196" spans="1:16" ht="16.5" customHeight="1" thickTop="1" thickBot="1" x14ac:dyDescent="0.3">
      <c r="A196" s="95"/>
      <c r="B196" s="123"/>
      <c r="C196" s="139"/>
      <c r="D196" s="122"/>
      <c r="E196" s="122"/>
      <c r="F196" s="122"/>
      <c r="G196" s="122"/>
      <c r="H196" s="122"/>
      <c r="I196" s="122"/>
      <c r="J196" s="118"/>
      <c r="K196" s="118"/>
      <c r="L196" s="98"/>
      <c r="M196" s="98"/>
      <c r="N196" s="98"/>
      <c r="O196" s="98"/>
      <c r="P196" s="96"/>
    </row>
    <row r="197" spans="1:16" ht="16.5" customHeight="1" thickTop="1" thickBot="1" x14ac:dyDescent="0.3">
      <c r="A197" s="95"/>
      <c r="B197" s="123"/>
      <c r="C197" s="139"/>
      <c r="D197" s="122"/>
      <c r="E197" s="122"/>
      <c r="F197" s="122"/>
      <c r="G197" s="122"/>
      <c r="H197" s="122"/>
      <c r="I197" s="122"/>
      <c r="J197" s="118"/>
      <c r="K197" s="118"/>
      <c r="L197" s="98"/>
      <c r="M197" s="98"/>
      <c r="N197" s="98"/>
      <c r="O197" s="98"/>
      <c r="P197" s="96"/>
    </row>
    <row r="198" spans="1:16" ht="15.75" customHeight="1" thickTop="1" x14ac:dyDescent="0.25">
      <c r="A198" s="95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8"/>
      <c r="M198" s="98"/>
      <c r="N198" s="98"/>
      <c r="O198" s="98"/>
      <c r="P198" s="96"/>
    </row>
    <row r="199" spans="1:16" ht="15" customHeight="1" x14ac:dyDescent="0.25">
      <c r="A199" s="95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6"/>
    </row>
    <row r="200" spans="1:16" ht="15.75" customHeight="1" x14ac:dyDescent="0.25">
      <c r="A200" s="103" t="s">
        <v>192</v>
      </c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6"/>
    </row>
    <row r="201" spans="1:16" ht="16.5" customHeight="1" x14ac:dyDescent="0.25">
      <c r="A201" s="124" t="s">
        <v>193</v>
      </c>
      <c r="B201" s="118" t="e">
        <f>SUMPRODUCT(H164:H175,I164:I175)+SUMPRODUCT(G180:G184,H180:H184)+SUMPRODUCT(J188:J197,K188:K197)</f>
        <v>#N/A</v>
      </c>
      <c r="C201" s="118" t="s">
        <v>107</v>
      </c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6"/>
    </row>
    <row r="202" spans="1:16" ht="16.5" customHeight="1" x14ac:dyDescent="0.25">
      <c r="A202" s="124" t="s">
        <v>167</v>
      </c>
      <c r="B202" s="118" t="e">
        <f>B201*(G188-$B$4)</f>
        <v>#N/A</v>
      </c>
      <c r="C202" s="118" t="s">
        <v>169</v>
      </c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6"/>
    </row>
    <row r="203" spans="1:16" ht="15.75" customHeight="1" thickBot="1" x14ac:dyDescent="0.3">
      <c r="A203" s="109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1"/>
    </row>
    <row r="204" spans="1:16" ht="15.75" customHeight="1" thickTop="1" x14ac:dyDescent="0.25">
      <c r="A204" s="343" t="s">
        <v>194</v>
      </c>
      <c r="B204" s="343"/>
      <c r="C204" s="343"/>
      <c r="D204" s="125" t="s">
        <v>222</v>
      </c>
      <c r="E204" s="299"/>
      <c r="F204" s="299"/>
      <c r="G204" s="299"/>
      <c r="H204" s="299"/>
      <c r="I204" s="299"/>
      <c r="J204" s="299"/>
      <c r="K204" s="299"/>
      <c r="L204" s="299"/>
      <c r="M204" s="299"/>
      <c r="N204" s="299"/>
      <c r="O204" s="299"/>
      <c r="P204" s="94"/>
    </row>
    <row r="205" spans="1:16" ht="15" customHeight="1" x14ac:dyDescent="0.25">
      <c r="A205" s="95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6"/>
    </row>
    <row r="206" spans="1:16" ht="15" customHeight="1" thickBot="1" x14ac:dyDescent="0.3">
      <c r="A206" s="126" t="s">
        <v>195</v>
      </c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6"/>
    </row>
    <row r="207" spans="1:16" ht="15" customHeight="1" thickTop="1" thickBot="1" x14ac:dyDescent="0.3">
      <c r="A207" s="127" t="s">
        <v>196</v>
      </c>
      <c r="B207" s="121">
        <v>8</v>
      </c>
      <c r="C207" s="120" t="s">
        <v>197</v>
      </c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6"/>
    </row>
    <row r="208" spans="1:16" ht="15" customHeight="1" thickTop="1" thickBot="1" x14ac:dyDescent="0.3">
      <c r="A208" s="127" t="s">
        <v>198</v>
      </c>
      <c r="B208" s="121">
        <v>0.03</v>
      </c>
      <c r="C208" s="120" t="s">
        <v>199</v>
      </c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6"/>
    </row>
    <row r="209" spans="1:16" ht="15.75" customHeight="1" thickTop="1" thickBot="1" x14ac:dyDescent="0.3">
      <c r="A209" s="127" t="s">
        <v>200</v>
      </c>
      <c r="B209" s="121">
        <v>1</v>
      </c>
      <c r="C209" s="120" t="s">
        <v>201</v>
      </c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6"/>
    </row>
    <row r="210" spans="1:16" ht="16.5" customHeight="1" thickTop="1" x14ac:dyDescent="0.25">
      <c r="A210" s="124" t="s">
        <v>202</v>
      </c>
      <c r="B210" s="118">
        <f>2*VLOOKUP(B158,'Gebouwgegevens Allacker'!$A$35:$F$46,6,0)*B207*B208*B209</f>
        <v>0</v>
      </c>
      <c r="C210" s="118" t="s">
        <v>203</v>
      </c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6"/>
    </row>
    <row r="211" spans="1:16" ht="15.75" customHeight="1" x14ac:dyDescent="0.25">
      <c r="A211" s="95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6"/>
    </row>
    <row r="212" spans="1:16" ht="15" customHeight="1" x14ac:dyDescent="0.25">
      <c r="A212" s="126" t="s">
        <v>204</v>
      </c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6"/>
    </row>
    <row r="213" spans="1:16" ht="15.75" customHeight="1" x14ac:dyDescent="0.25">
      <c r="A213" s="95" t="s">
        <v>180</v>
      </c>
      <c r="B213" s="98">
        <f>VLOOKUP(B158,'Gebouwgegevens Allacker'!$A$35:$F$46,6,0)</f>
        <v>0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6"/>
    </row>
    <row r="214" spans="1:16" ht="16.5" customHeight="1" x14ac:dyDescent="0.25">
      <c r="A214" s="124" t="s">
        <v>205</v>
      </c>
      <c r="B214" s="128">
        <v>25</v>
      </c>
      <c r="C214" s="118" t="s">
        <v>203</v>
      </c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6"/>
    </row>
    <row r="215" spans="1:16" ht="15.75" customHeight="1" x14ac:dyDescent="0.25">
      <c r="A215" s="95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6"/>
    </row>
    <row r="216" spans="1:16" ht="15.75" customHeight="1" x14ac:dyDescent="0.25">
      <c r="A216" s="95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6"/>
    </row>
    <row r="217" spans="1:16" ht="16.5" customHeight="1" x14ac:dyDescent="0.25">
      <c r="A217" s="124" t="s">
        <v>207</v>
      </c>
      <c r="B217" s="118">
        <f>MAX(B210,B214)</f>
        <v>25</v>
      </c>
      <c r="C217" s="118" t="s">
        <v>203</v>
      </c>
      <c r="D217" s="98"/>
      <c r="E217" s="98"/>
      <c r="F217" s="118" t="s">
        <v>208</v>
      </c>
      <c r="G217" s="118">
        <f>B217/VLOOKUP(B158,'Gebouwgegevens Allacker'!$A$35:$B$46,2,0)</f>
        <v>0.16407644649795233</v>
      </c>
      <c r="H217" s="98"/>
      <c r="I217" s="98"/>
      <c r="J217" s="98"/>
      <c r="K217" s="98"/>
      <c r="L217" s="98"/>
      <c r="M217" s="98"/>
      <c r="N217" s="98"/>
      <c r="O217" s="98"/>
      <c r="P217" s="96"/>
    </row>
    <row r="218" spans="1:16" ht="16.5" customHeight="1" x14ac:dyDescent="0.25">
      <c r="A218" s="95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6"/>
    </row>
    <row r="219" spans="1:16" ht="16.5" customHeight="1" x14ac:dyDescent="0.25">
      <c r="A219" s="124" t="s">
        <v>209</v>
      </c>
      <c r="B219" s="118">
        <f>0.34*B217</f>
        <v>8.5</v>
      </c>
      <c r="C219" s="118" t="s">
        <v>107</v>
      </c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6"/>
    </row>
    <row r="220" spans="1:16" ht="16.5" customHeight="1" x14ac:dyDescent="0.25">
      <c r="A220" s="124" t="s">
        <v>167</v>
      </c>
      <c r="B220" s="118">
        <f>B219*('Gebouwgegevens Allacker'!E180-$B$4)</f>
        <v>68</v>
      </c>
      <c r="C220" s="118" t="s">
        <v>169</v>
      </c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6"/>
    </row>
    <row r="221" spans="1:16" ht="15.75" customHeight="1" thickBot="1" x14ac:dyDescent="0.3">
      <c r="A221" s="140"/>
      <c r="B221" s="141"/>
      <c r="C221" s="141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1"/>
    </row>
    <row r="222" spans="1:16" ht="15.75" customHeight="1" thickTop="1" x14ac:dyDescent="0.25">
      <c r="A222" s="343" t="s">
        <v>210</v>
      </c>
      <c r="B222" s="343"/>
      <c r="C222" s="343"/>
      <c r="D222" s="343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6"/>
    </row>
    <row r="223" spans="1:16" ht="15" customHeight="1" thickBot="1" x14ac:dyDescent="0.3">
      <c r="A223" s="95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6"/>
    </row>
    <row r="224" spans="1:16" ht="15" customHeight="1" thickTop="1" thickBot="1" x14ac:dyDescent="0.3">
      <c r="A224" s="127" t="s">
        <v>211</v>
      </c>
      <c r="B224" s="121">
        <v>0</v>
      </c>
      <c r="C224" s="58" t="s">
        <v>227</v>
      </c>
      <c r="D224" s="5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6"/>
    </row>
    <row r="225" spans="1:16" ht="15.75" customHeight="1" thickTop="1" x14ac:dyDescent="0.25">
      <c r="A225" s="3" t="s">
        <v>113</v>
      </c>
      <c r="B225" s="58">
        <f>VLOOKUP(B158,'Gebouwgegevens Allacker'!$A$35:$F$46,6,0)</f>
        <v>0</v>
      </c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6"/>
    </row>
    <row r="226" spans="1:16" ht="16.5" customHeight="1" x14ac:dyDescent="0.25">
      <c r="A226" s="124" t="s">
        <v>213</v>
      </c>
      <c r="B226" s="118">
        <f>B227/('Gebouwgegevens Allacker'!E180-'Verwarming Tabula 2zone Ref 2'!$B$4)</f>
        <v>0</v>
      </c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6"/>
    </row>
    <row r="227" spans="1:16" ht="16.5" customHeight="1" x14ac:dyDescent="0.25">
      <c r="A227" s="124" t="s">
        <v>167</v>
      </c>
      <c r="B227" s="118">
        <f>B224*B225</f>
        <v>0</v>
      </c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6"/>
    </row>
    <row r="228" spans="1:16" ht="15.75" customHeight="1" x14ac:dyDescent="0.25">
      <c r="A228" s="95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6"/>
    </row>
    <row r="229" spans="1:16" ht="15.75" customHeight="1" thickBot="1" x14ac:dyDescent="0.3">
      <c r="A229" s="95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6"/>
    </row>
    <row r="230" spans="1:16" ht="15.75" customHeight="1" thickTop="1" thickBot="1" x14ac:dyDescent="0.3">
      <c r="A230" s="129" t="s">
        <v>214</v>
      </c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1"/>
    </row>
    <row r="231" spans="1:16" ht="16.5" customHeight="1" thickTop="1" x14ac:dyDescent="0.25">
      <c r="A231" s="124" t="s">
        <v>215</v>
      </c>
      <c r="B231" s="118" t="e">
        <f>SUM(B201,B219,B226)</f>
        <v>#N/A</v>
      </c>
      <c r="C231" s="118" t="s">
        <v>107</v>
      </c>
      <c r="D231" s="132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3"/>
    </row>
    <row r="232" spans="1:16" ht="16.5" customHeight="1" x14ac:dyDescent="0.25">
      <c r="A232" s="124" t="s">
        <v>167</v>
      </c>
      <c r="B232" s="118" t="e">
        <f>SUM(B202,B220,B227)</f>
        <v>#N/A</v>
      </c>
      <c r="C232" s="118" t="s">
        <v>169</v>
      </c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3"/>
    </row>
    <row r="233" spans="1:16" ht="16.5" customHeight="1" thickBot="1" x14ac:dyDescent="0.3">
      <c r="A233" s="134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6"/>
    </row>
    <row r="234" spans="1:16" ht="15" customHeight="1" thickTop="1" x14ac:dyDescent="0.25">
      <c r="A234" s="137"/>
      <c r="B234" s="137"/>
      <c r="C234" s="137"/>
      <c r="D234" s="137"/>
      <c r="E234" s="137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</row>
    <row r="235" spans="1:16" ht="15.75" customHeight="1" thickBot="1" x14ac:dyDescent="0.3">
      <c r="A235" s="137"/>
      <c r="B235" s="137"/>
      <c r="C235" s="137"/>
      <c r="D235" s="137"/>
      <c r="E235" s="137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</row>
    <row r="236" spans="1:16" ht="15" customHeight="1" thickTop="1" thickBot="1" x14ac:dyDescent="0.3">
      <c r="A236" s="93"/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299"/>
      <c r="P236" s="94"/>
    </row>
    <row r="237" spans="1:16" ht="17.25" customHeight="1" thickTop="1" thickBot="1" x14ac:dyDescent="0.35">
      <c r="A237" s="97" t="s">
        <v>166</v>
      </c>
      <c r="B237" s="92">
        <v>4</v>
      </c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6"/>
    </row>
    <row r="238" spans="1:16" ht="15.75" customHeight="1" thickTop="1" x14ac:dyDescent="0.25">
      <c r="A238" s="343" t="s">
        <v>168</v>
      </c>
      <c r="B238" s="343"/>
      <c r="C238" s="343"/>
      <c r="D238" s="343"/>
      <c r="E238" s="299"/>
      <c r="F238" s="299"/>
      <c r="G238" s="299"/>
      <c r="H238" s="299"/>
      <c r="I238" s="299"/>
      <c r="J238" s="299"/>
      <c r="K238" s="299"/>
      <c r="L238" s="299"/>
      <c r="M238" s="299"/>
      <c r="N238" s="299"/>
      <c r="O238" s="299"/>
      <c r="P238" s="94"/>
    </row>
    <row r="239" spans="1:16" ht="15" customHeight="1" x14ac:dyDescent="0.25">
      <c r="A239" s="95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6"/>
    </row>
    <row r="240" spans="1:16" ht="15" customHeight="1" x14ac:dyDescent="0.25">
      <c r="A240" s="103" t="s">
        <v>170</v>
      </c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6"/>
    </row>
    <row r="241" spans="1:16" ht="15" customHeight="1" x14ac:dyDescent="0.25">
      <c r="A241" s="95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6"/>
    </row>
    <row r="242" spans="1:16" ht="15.75" customHeight="1" thickBot="1" x14ac:dyDescent="0.3">
      <c r="A242" s="95"/>
      <c r="B242" s="104" t="s">
        <v>10</v>
      </c>
      <c r="C242" s="104" t="s">
        <v>171</v>
      </c>
      <c r="D242" s="104" t="s">
        <v>172</v>
      </c>
      <c r="E242" s="104" t="s">
        <v>173</v>
      </c>
      <c r="F242" s="104" t="s">
        <v>174</v>
      </c>
      <c r="G242" s="104" t="s">
        <v>16</v>
      </c>
      <c r="H242" s="105" t="s">
        <v>17</v>
      </c>
      <c r="I242" s="105" t="s">
        <v>175</v>
      </c>
      <c r="J242" s="98"/>
      <c r="K242" s="98"/>
      <c r="L242" s="98"/>
      <c r="M242" s="98"/>
      <c r="N242" s="98"/>
      <c r="O242" s="98"/>
      <c r="P242" s="96"/>
    </row>
    <row r="243" spans="1:16" ht="16.5" customHeight="1" thickTop="1" thickBot="1" x14ac:dyDescent="0.3">
      <c r="A243" s="95"/>
      <c r="B243" s="106" t="s">
        <v>71</v>
      </c>
      <c r="C243" s="107">
        <f>VLOOKUP(B243,'Gebouwgegevens Allacker'!$J$5:$Q$83,3,0)</f>
        <v>3</v>
      </c>
      <c r="D243" s="107" t="str">
        <f>VLOOKUP(B243,'Gebouwgegevens Allacker'!$J$5:$Q$83,4,0)</f>
        <v>Wall External</v>
      </c>
      <c r="E243" s="107">
        <f>VLOOKUP(B243,'Gebouwgegevens Allacker'!$J$5:$Q$83,5,0)</f>
        <v>0</v>
      </c>
      <c r="F243" s="107" t="str">
        <f>VLOOKUP(B243,'Gebouwgegevens Allacker'!$J$5:$Q$83,6,0)</f>
        <v>front</v>
      </c>
      <c r="G243" s="107">
        <f>VLOOKUP(B243,'Gebouwgegevens Allacker'!$J$5:$Q$83,7,0)</f>
        <v>2.2022341505875525</v>
      </c>
      <c r="H243" s="108">
        <f>VLOOKUP(B243,'Gebouwgegevens Allacker'!$J$5:$Q$83,8,0)</f>
        <v>0</v>
      </c>
      <c r="I243" s="108">
        <v>1</v>
      </c>
      <c r="J243" s="98"/>
      <c r="K243" s="98"/>
      <c r="L243" s="98"/>
      <c r="M243" s="98"/>
      <c r="N243" s="98"/>
      <c r="O243" s="98"/>
      <c r="P243" s="96"/>
    </row>
    <row r="244" spans="1:16" ht="16.5" customHeight="1" thickTop="1" thickBot="1" x14ac:dyDescent="0.3">
      <c r="A244" s="95"/>
      <c r="B244" s="106" t="s">
        <v>75</v>
      </c>
      <c r="C244" s="107">
        <f>VLOOKUP(B244,'Gebouwgegevens Allacker'!$J$5:$Q$83,3,0)</f>
        <v>3</v>
      </c>
      <c r="D244" s="107" t="str">
        <f>VLOOKUP(B244,'Gebouwgegevens Allacker'!$J$5:$Q$83,4,0)</f>
        <v>Wall External</v>
      </c>
      <c r="E244" s="107">
        <f>VLOOKUP(B244,'Gebouwgegevens Allacker'!$J$5:$Q$83,5,0)</f>
        <v>14.24</v>
      </c>
      <c r="F244" s="107" t="str">
        <f>VLOOKUP(B244,'Gebouwgegevens Allacker'!$J$5:$Q$83,6,0)</f>
        <v>right</v>
      </c>
      <c r="G244" s="107">
        <f>VLOOKUP(B244,'Gebouwgegevens Allacker'!$J$5:$Q$83,7,0)</f>
        <v>2.2022341505875525</v>
      </c>
      <c r="H244" s="108">
        <f>VLOOKUP(B244,'Gebouwgegevens Allacker'!$J$5:$Q$83,8,0)</f>
        <v>31.359814304366747</v>
      </c>
      <c r="I244" s="108">
        <v>1</v>
      </c>
      <c r="J244" s="98"/>
      <c r="K244" s="98"/>
      <c r="L244" s="98"/>
      <c r="M244" s="98"/>
      <c r="N244" s="98"/>
      <c r="O244" s="98"/>
      <c r="P244" s="96"/>
    </row>
    <row r="245" spans="1:16" ht="16.5" customHeight="1" thickTop="1" thickBot="1" x14ac:dyDescent="0.3">
      <c r="A245" s="95"/>
      <c r="B245" s="106" t="s">
        <v>79</v>
      </c>
      <c r="C245" s="107">
        <f>VLOOKUP(B245,'Gebouwgegevens Allacker'!$J$5:$Q$83,3,0)</f>
        <v>3</v>
      </c>
      <c r="D245" s="107" t="str">
        <f>VLOOKUP(B245,'Gebouwgegevens Allacker'!$J$5:$Q$83,4,0)</f>
        <v>Wall External</v>
      </c>
      <c r="E245" s="107">
        <f>VLOOKUP(B245,'Gebouwgegevens Allacker'!$J$5:$Q$83,5,0)</f>
        <v>0</v>
      </c>
      <c r="F245" s="107" t="str">
        <f>VLOOKUP(B245,'Gebouwgegevens Allacker'!$J$5:$Q$83,6,0)</f>
        <v>back</v>
      </c>
      <c r="G245" s="107">
        <f>VLOOKUP(B245,'Gebouwgegevens Allacker'!$J$5:$Q$83,7,0)</f>
        <v>2.2022341505875525</v>
      </c>
      <c r="H245" s="108">
        <f>VLOOKUP(B245,'Gebouwgegevens Allacker'!$J$5:$Q$83,8,0)</f>
        <v>0</v>
      </c>
      <c r="I245" s="108">
        <v>1</v>
      </c>
      <c r="J245" s="98"/>
      <c r="K245" s="98"/>
      <c r="L245" s="98"/>
      <c r="M245" s="98"/>
      <c r="N245" s="98"/>
      <c r="O245" s="98"/>
      <c r="P245" s="96"/>
    </row>
    <row r="246" spans="1:16" ht="16.5" customHeight="1" thickTop="1" thickBot="1" x14ac:dyDescent="0.3">
      <c r="A246" s="95"/>
      <c r="B246" s="142" t="s">
        <v>82</v>
      </c>
      <c r="C246" s="107">
        <f>VLOOKUP(B246,'Gebouwgegevens Allacker'!$J$5:$Q$83,3,0)</f>
        <v>3</v>
      </c>
      <c r="D246" s="107" t="str">
        <f>VLOOKUP(B246,'Gebouwgegevens Allacker'!$J$5:$Q$83,4,0)</f>
        <v>Wall External</v>
      </c>
      <c r="E246" s="107">
        <f>VLOOKUP(B246,'Gebouwgegevens Allacker'!$J$5:$Q$83,5,0)</f>
        <v>14.24</v>
      </c>
      <c r="F246" s="107" t="str">
        <f>VLOOKUP(B246,'Gebouwgegevens Allacker'!$J$5:$Q$83,6,0)</f>
        <v>left</v>
      </c>
      <c r="G246" s="107">
        <f>VLOOKUP(B246,'Gebouwgegevens Allacker'!$J$5:$Q$83,7,0)</f>
        <v>2.2022341505875525</v>
      </c>
      <c r="H246" s="108">
        <f>VLOOKUP(B246,'Gebouwgegevens Allacker'!$J$5:$Q$83,8,0)</f>
        <v>31.359814304366747</v>
      </c>
      <c r="I246" s="108">
        <v>1</v>
      </c>
      <c r="J246" s="98"/>
      <c r="K246" s="98"/>
      <c r="L246" s="98"/>
      <c r="M246" s="98"/>
      <c r="N246" s="98"/>
      <c r="O246" s="98"/>
      <c r="P246" s="96"/>
    </row>
    <row r="247" spans="1:16" ht="16.5" customHeight="1" thickTop="1" thickBot="1" x14ac:dyDescent="0.3">
      <c r="A247" s="95"/>
      <c r="B247" s="143"/>
      <c r="C247" s="144"/>
      <c r="D247" s="107"/>
      <c r="E247" s="107"/>
      <c r="F247" s="107"/>
      <c r="G247" s="107"/>
      <c r="H247" s="108"/>
      <c r="I247" s="108"/>
      <c r="J247" s="98"/>
      <c r="K247" s="98"/>
      <c r="L247" s="98"/>
      <c r="M247" s="98"/>
      <c r="N247" s="98"/>
      <c r="O247" s="98"/>
      <c r="P247" s="96"/>
    </row>
    <row r="248" spans="1:16" ht="16.5" customHeight="1" thickTop="1" thickBot="1" x14ac:dyDescent="0.3">
      <c r="A248" s="95"/>
      <c r="B248" s="143"/>
      <c r="C248" s="144"/>
      <c r="D248" s="107"/>
      <c r="E248" s="107"/>
      <c r="F248" s="107"/>
      <c r="G248" s="107"/>
      <c r="H248" s="108"/>
      <c r="I248" s="108"/>
      <c r="J248" s="98"/>
      <c r="K248" s="98"/>
      <c r="L248" s="98"/>
      <c r="M248" s="98"/>
      <c r="N248" s="98"/>
      <c r="O248" s="98"/>
      <c r="P248" s="96"/>
    </row>
    <row r="249" spans="1:16" ht="16.5" customHeight="1" thickTop="1" thickBot="1" x14ac:dyDescent="0.3">
      <c r="A249" s="95"/>
      <c r="B249" s="143"/>
      <c r="C249" s="144"/>
      <c r="D249" s="107"/>
      <c r="E249" s="107"/>
      <c r="F249" s="107"/>
      <c r="G249" s="107"/>
      <c r="H249" s="108"/>
      <c r="I249" s="108"/>
      <c r="J249" s="98"/>
      <c r="K249" s="98"/>
      <c r="L249" s="98"/>
      <c r="M249" s="98"/>
      <c r="N249" s="98"/>
      <c r="O249" s="98"/>
      <c r="P249" s="96"/>
    </row>
    <row r="250" spans="1:16" ht="16.5" customHeight="1" thickTop="1" thickBot="1" x14ac:dyDescent="0.3">
      <c r="A250" s="95"/>
      <c r="B250" s="143"/>
      <c r="C250" s="144"/>
      <c r="D250" s="107"/>
      <c r="E250" s="107"/>
      <c r="F250" s="107"/>
      <c r="G250" s="107"/>
      <c r="H250" s="108"/>
      <c r="I250" s="108"/>
      <c r="J250" s="98"/>
      <c r="K250" s="98"/>
      <c r="L250" s="98"/>
      <c r="M250" s="98"/>
      <c r="N250" s="98"/>
      <c r="O250" s="98"/>
      <c r="P250" s="96"/>
    </row>
    <row r="251" spans="1:16" ht="16.5" customHeight="1" thickTop="1" thickBot="1" x14ac:dyDescent="0.3">
      <c r="A251" s="95"/>
      <c r="B251" s="143"/>
      <c r="C251" s="144"/>
      <c r="D251" s="107"/>
      <c r="E251" s="107"/>
      <c r="F251" s="107"/>
      <c r="G251" s="107"/>
      <c r="H251" s="108"/>
      <c r="I251" s="108"/>
      <c r="J251" s="98"/>
      <c r="K251" s="98"/>
      <c r="L251" s="98"/>
      <c r="M251" s="98"/>
      <c r="N251" s="98"/>
      <c r="O251" s="98"/>
      <c r="P251" s="96"/>
    </row>
    <row r="252" spans="1:16" ht="16.5" customHeight="1" thickTop="1" thickBot="1" x14ac:dyDescent="0.3">
      <c r="A252" s="95"/>
      <c r="B252" s="143"/>
      <c r="C252" s="144"/>
      <c r="D252" s="107"/>
      <c r="E252" s="107"/>
      <c r="F252" s="107"/>
      <c r="G252" s="107"/>
      <c r="H252" s="108"/>
      <c r="I252" s="108"/>
      <c r="J252" s="98"/>
      <c r="K252" s="98"/>
      <c r="L252" s="98"/>
      <c r="M252" s="98"/>
      <c r="N252" s="98"/>
      <c r="O252" s="98"/>
      <c r="P252" s="96"/>
    </row>
    <row r="253" spans="1:16" ht="16.5" customHeight="1" thickTop="1" thickBot="1" x14ac:dyDescent="0.3">
      <c r="A253" s="95"/>
      <c r="B253" s="143"/>
      <c r="C253" s="144"/>
      <c r="D253" s="107"/>
      <c r="E253" s="107"/>
      <c r="F253" s="107"/>
      <c r="G253" s="107"/>
      <c r="H253" s="108"/>
      <c r="I253" s="108"/>
      <c r="J253" s="98"/>
      <c r="K253" s="98"/>
      <c r="L253" s="98"/>
      <c r="M253" s="98"/>
      <c r="N253" s="98"/>
      <c r="O253" s="98"/>
      <c r="P253" s="96"/>
    </row>
    <row r="254" spans="1:16" ht="16.5" customHeight="1" thickTop="1" thickBot="1" x14ac:dyDescent="0.3">
      <c r="A254" s="95"/>
      <c r="B254" s="143"/>
      <c r="C254" s="144"/>
      <c r="D254" s="107"/>
      <c r="E254" s="107"/>
      <c r="F254" s="107"/>
      <c r="G254" s="107"/>
      <c r="H254" s="108"/>
      <c r="I254" s="108"/>
      <c r="J254" s="98"/>
      <c r="K254" s="98"/>
      <c r="L254" s="98"/>
      <c r="M254" s="98"/>
      <c r="N254" s="98"/>
      <c r="O254" s="98"/>
      <c r="P254" s="96"/>
    </row>
    <row r="255" spans="1:16" ht="15.75" customHeight="1" thickTop="1" x14ac:dyDescent="0.25">
      <c r="A255" s="95"/>
      <c r="B255" s="58"/>
      <c r="C255" s="58"/>
      <c r="D255" s="58"/>
      <c r="E255" s="58"/>
      <c r="F255" s="58"/>
      <c r="G255" s="114"/>
      <c r="H255" s="58"/>
      <c r="I255" s="58"/>
      <c r="J255" s="98"/>
      <c r="K255" s="98"/>
      <c r="L255" s="98"/>
      <c r="M255" s="98"/>
      <c r="N255" s="98"/>
      <c r="O255" s="98"/>
      <c r="P255" s="96"/>
    </row>
    <row r="256" spans="1:16" ht="15" customHeight="1" x14ac:dyDescent="0.25">
      <c r="A256" s="95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6"/>
    </row>
    <row r="257" spans="1:16" ht="15" customHeight="1" x14ac:dyDescent="0.25">
      <c r="A257" s="103" t="s">
        <v>177</v>
      </c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6"/>
    </row>
    <row r="258" spans="1:16" ht="15.75" customHeight="1" x14ac:dyDescent="0.25">
      <c r="A258" s="95"/>
      <c r="B258" s="58" t="s">
        <v>10</v>
      </c>
      <c r="C258" s="58" t="s">
        <v>178</v>
      </c>
      <c r="D258" s="58" t="s">
        <v>172</v>
      </c>
      <c r="E258" s="58" t="s">
        <v>179</v>
      </c>
      <c r="F258" s="58" t="s">
        <v>16</v>
      </c>
      <c r="G258" s="114" t="s">
        <v>17</v>
      </c>
      <c r="H258" s="114" t="s">
        <v>175</v>
      </c>
      <c r="I258" s="58" t="s">
        <v>180</v>
      </c>
      <c r="J258" s="58" t="s">
        <v>181</v>
      </c>
      <c r="K258" s="58" t="s">
        <v>182</v>
      </c>
      <c r="L258" s="115" t="s">
        <v>183</v>
      </c>
      <c r="M258" s="115" t="s">
        <v>184</v>
      </c>
      <c r="N258" s="115" t="s">
        <v>185</v>
      </c>
      <c r="O258" s="98"/>
      <c r="P258" s="96"/>
    </row>
    <row r="259" spans="1:16" ht="16.5" customHeight="1" thickBot="1" x14ac:dyDescent="0.3">
      <c r="A259" s="95"/>
      <c r="B259" s="116"/>
      <c r="C259" s="117"/>
      <c r="D259" s="117"/>
      <c r="E259" s="117"/>
      <c r="F259" s="117"/>
      <c r="G259" s="118"/>
      <c r="H259" s="118"/>
      <c r="I259" s="117"/>
      <c r="J259" s="116"/>
      <c r="K259" s="116"/>
      <c r="L259" s="119"/>
      <c r="M259" s="119"/>
      <c r="N259" s="120"/>
      <c r="O259" s="98"/>
      <c r="P259" s="96"/>
    </row>
    <row r="260" spans="1:16" ht="16.5" customHeight="1" thickTop="1" thickBot="1" x14ac:dyDescent="0.3">
      <c r="A260" s="95"/>
      <c r="B260" s="116"/>
      <c r="C260" s="117"/>
      <c r="D260" s="117"/>
      <c r="E260" s="117"/>
      <c r="F260" s="117"/>
      <c r="G260" s="118"/>
      <c r="H260" s="118"/>
      <c r="I260" s="117"/>
      <c r="J260" s="116"/>
      <c r="K260" s="116"/>
      <c r="L260" s="119"/>
      <c r="M260" s="119"/>
      <c r="N260" s="120"/>
      <c r="O260" s="98"/>
      <c r="P260" s="96"/>
    </row>
    <row r="261" spans="1:16" ht="16.5" customHeight="1" thickTop="1" thickBot="1" x14ac:dyDescent="0.3">
      <c r="A261" s="95"/>
      <c r="B261" s="116"/>
      <c r="C261" s="117"/>
      <c r="D261" s="117"/>
      <c r="E261" s="117"/>
      <c r="F261" s="117"/>
      <c r="G261" s="118"/>
      <c r="H261" s="118"/>
      <c r="I261" s="117"/>
      <c r="J261" s="116"/>
      <c r="K261" s="116"/>
      <c r="L261" s="119"/>
      <c r="M261" s="119"/>
      <c r="N261" s="120"/>
      <c r="O261" s="98"/>
      <c r="P261" s="96"/>
    </row>
    <row r="262" spans="1:16" ht="16.5" customHeight="1" thickTop="1" thickBot="1" x14ac:dyDescent="0.3">
      <c r="A262" s="95"/>
      <c r="B262" s="116"/>
      <c r="C262" s="117"/>
      <c r="D262" s="117"/>
      <c r="E262" s="117"/>
      <c r="F262" s="117"/>
      <c r="G262" s="118"/>
      <c r="H262" s="118"/>
      <c r="I262" s="117"/>
      <c r="J262" s="116"/>
      <c r="K262" s="116"/>
      <c r="L262" s="119"/>
      <c r="M262" s="119"/>
      <c r="N262" s="120"/>
      <c r="O262" s="98"/>
      <c r="P262" s="96"/>
    </row>
    <row r="263" spans="1:16" ht="16.5" customHeight="1" thickTop="1" thickBot="1" x14ac:dyDescent="0.3">
      <c r="A263" s="138"/>
      <c r="B263" s="116"/>
      <c r="C263" s="117"/>
      <c r="D263" s="117"/>
      <c r="E263" s="117"/>
      <c r="F263" s="117"/>
      <c r="G263" s="118"/>
      <c r="H263" s="118"/>
      <c r="I263" s="117"/>
      <c r="J263" s="116"/>
      <c r="K263" s="116"/>
      <c r="L263" s="119"/>
      <c r="M263" s="119"/>
      <c r="N263" s="120"/>
      <c r="O263" s="98"/>
      <c r="P263" s="96"/>
    </row>
    <row r="264" spans="1:16" ht="15.75" customHeight="1" thickTop="1" x14ac:dyDescent="0.25">
      <c r="A264" s="95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6"/>
    </row>
    <row r="265" spans="1:16" ht="15" customHeight="1" x14ac:dyDescent="0.25">
      <c r="A265" s="103" t="s">
        <v>186</v>
      </c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6"/>
    </row>
    <row r="266" spans="1:16" ht="15.75" customHeight="1" thickBot="1" x14ac:dyDescent="0.3">
      <c r="A266" s="95"/>
      <c r="B266" s="58" t="s">
        <v>10</v>
      </c>
      <c r="C266" s="58" t="s">
        <v>187</v>
      </c>
      <c r="D266" s="58" t="s">
        <v>188</v>
      </c>
      <c r="E266" s="58" t="s">
        <v>135</v>
      </c>
      <c r="F266" s="58" t="s">
        <v>189</v>
      </c>
      <c r="G266" s="58" t="s">
        <v>190</v>
      </c>
      <c r="H266" s="58" t="s">
        <v>191</v>
      </c>
      <c r="I266" s="58" t="s">
        <v>16</v>
      </c>
      <c r="J266" s="114" t="s">
        <v>17</v>
      </c>
      <c r="K266" s="114" t="s">
        <v>175</v>
      </c>
      <c r="L266" s="98"/>
      <c r="M266" s="98"/>
      <c r="N266" s="98"/>
      <c r="O266" s="98"/>
      <c r="P266" s="96"/>
    </row>
    <row r="267" spans="1:16" ht="16.5" customHeight="1" thickTop="1" thickBot="1" x14ac:dyDescent="0.3">
      <c r="A267" s="95"/>
      <c r="B267" s="121" t="s">
        <v>228</v>
      </c>
      <c r="C267" s="122" t="e">
        <f>IF(VLOOKUP(B267,'Gebouwgegevens Allacker'!$J$5:$Q$83,2,0)=$B$237,VLOOKUP(B267,'Gebouwgegevens Allacker'!$J$5:$Q$83,2,0),VLOOKUP(B267,'Gebouwgegevens Allacker'!$J$5:$Q$83,3,0))</f>
        <v>#N/A</v>
      </c>
      <c r="D267" s="122" t="e">
        <f>IF(VLOOKUP(B267,'Gebouwgegevens Allacker'!$J$5:$Q$83,2,0)=$B$237,VLOOKUP(B267,'Gebouwgegevens Allacker'!$J$5:$Q$83,3,0),VLOOKUP(B267,'Gebouwgegevens Allacker'!$J$5:$Q$83,2,0))</f>
        <v>#N/A</v>
      </c>
      <c r="E267" s="122" t="e">
        <f>VLOOKUP(B267,'Gebouwgegevens Allacker'!$J$5:$Q$83,4,0)</f>
        <v>#N/A</v>
      </c>
      <c r="F267" s="122" t="e">
        <f>VLOOKUP(B267,'Gebouwgegevens Allacker'!$J$5:$Q$83,5,0)</f>
        <v>#N/A</v>
      </c>
      <c r="G267" s="122" t="e">
        <f>VLOOKUP('Verwarming Tabula 2zone Ref 2'!C267,'Gebouwgegevens Allacker'!$A$35:$F$46,5,0)</f>
        <v>#N/A</v>
      </c>
      <c r="H267" s="122" t="e">
        <f>VLOOKUP('Verwarming Tabula 2zone Ref 2'!D267,'Gebouwgegevens Allacker'!$A$35:$F$46,5,0)</f>
        <v>#N/A</v>
      </c>
      <c r="I267" s="122" t="e">
        <f>VLOOKUP(B267,'Gebouwgegevens Allacker'!$J$5:$Q$83,7,0)</f>
        <v>#N/A</v>
      </c>
      <c r="J267" s="118" t="e">
        <f>VLOOKUP(B267,'Gebouwgegevens Allacker'!$J$5:$Q$83,8,0)</f>
        <v>#N/A</v>
      </c>
      <c r="K267" s="118" t="e">
        <f>(G267-H267)/(G267-$B$4)</f>
        <v>#N/A</v>
      </c>
      <c r="L267" s="98"/>
      <c r="M267" s="98"/>
      <c r="N267" s="98"/>
      <c r="O267" s="98"/>
      <c r="P267" s="96"/>
    </row>
    <row r="268" spans="1:16" ht="16.5" customHeight="1" thickTop="1" thickBot="1" x14ac:dyDescent="0.3">
      <c r="A268" s="95"/>
      <c r="B268" s="121" t="s">
        <v>229</v>
      </c>
      <c r="C268" s="122" t="e">
        <f>IF(VLOOKUP(B268,'Gebouwgegevens Allacker'!$J$5:$Q$83,2,0)=$B$237,VLOOKUP(B268,'Gebouwgegevens Allacker'!$J$5:$Q$83,2,0),VLOOKUP(B268,'Gebouwgegevens Allacker'!$J$5:$Q$83,3,0))</f>
        <v>#N/A</v>
      </c>
      <c r="D268" s="122" t="e">
        <f>IF(VLOOKUP(B268,'Gebouwgegevens Allacker'!$J$5:$Q$83,2,0)=$B$237,VLOOKUP(B268,'Gebouwgegevens Allacker'!$J$5:$Q$83,3,0),VLOOKUP(B268,'Gebouwgegevens Allacker'!$J$5:$Q$83,2,0))</f>
        <v>#N/A</v>
      </c>
      <c r="E268" s="122" t="e">
        <f>VLOOKUP(B268,'Gebouwgegevens Allacker'!$J$5:$Q$83,4,0)</f>
        <v>#N/A</v>
      </c>
      <c r="F268" s="122" t="e">
        <f>VLOOKUP(B268,'Gebouwgegevens Allacker'!$J$5:$Q$83,5,0)</f>
        <v>#N/A</v>
      </c>
      <c r="G268" s="122" t="e">
        <f>VLOOKUP('Verwarming Tabula 2zone Ref 2'!C268,'Gebouwgegevens Allacker'!$A$35:$F$46,5,0)</f>
        <v>#N/A</v>
      </c>
      <c r="H268" s="122" t="e">
        <f>VLOOKUP('Verwarming Tabula 2zone Ref 2'!D268,'Gebouwgegevens Allacker'!$A$35:$F$46,5,0)</f>
        <v>#N/A</v>
      </c>
      <c r="I268" s="122" t="e">
        <f>VLOOKUP(B268,'Gebouwgegevens Allacker'!$J$5:$Q$83,7,0)</f>
        <v>#N/A</v>
      </c>
      <c r="J268" s="118" t="e">
        <f>VLOOKUP(B268,'Gebouwgegevens Allacker'!$J$5:$Q$83,8,0)</f>
        <v>#N/A</v>
      </c>
      <c r="K268" s="118" t="e">
        <f>(G268-H268)/(G268-$B$4)</f>
        <v>#N/A</v>
      </c>
      <c r="L268" s="98"/>
      <c r="M268" s="98"/>
      <c r="N268" s="98"/>
      <c r="O268" s="98"/>
      <c r="P268" s="96"/>
    </row>
    <row r="269" spans="1:16" ht="16.5" customHeight="1" thickTop="1" thickBot="1" x14ac:dyDescent="0.3">
      <c r="A269" s="95"/>
      <c r="B269" s="121" t="s">
        <v>230</v>
      </c>
      <c r="C269" s="122" t="e">
        <f>IF(VLOOKUP(B269,'Gebouwgegevens Allacker'!$J$5:$Q$83,2,0)=$B$237,VLOOKUP(B269,'Gebouwgegevens Allacker'!$J$5:$Q$83,2,0),VLOOKUP(B269,'Gebouwgegevens Allacker'!$J$5:$Q$83,3,0))</f>
        <v>#N/A</v>
      </c>
      <c r="D269" s="122" t="e">
        <f>IF(VLOOKUP(B269,'Gebouwgegevens Allacker'!$J$5:$Q$83,2,0)=$B$237,VLOOKUP(B269,'Gebouwgegevens Allacker'!$J$5:$Q$83,3,0),VLOOKUP(B269,'Gebouwgegevens Allacker'!$J$5:$Q$83,2,0))</f>
        <v>#N/A</v>
      </c>
      <c r="E269" s="122" t="e">
        <f>VLOOKUP(B269,'Gebouwgegevens Allacker'!$J$5:$Q$83,4,0)</f>
        <v>#N/A</v>
      </c>
      <c r="F269" s="122" t="e">
        <f>VLOOKUP(B269,'Gebouwgegevens Allacker'!$J$5:$Q$83,5,0)</f>
        <v>#N/A</v>
      </c>
      <c r="G269" s="122" t="e">
        <f>VLOOKUP('Verwarming Tabula 2zone Ref 2'!C269,'Gebouwgegevens Allacker'!$A$35:$F$46,5,0)</f>
        <v>#N/A</v>
      </c>
      <c r="H269" s="122" t="e">
        <f>VLOOKUP('Verwarming Tabula 2zone Ref 2'!D269,'Gebouwgegevens Allacker'!$A$35:$F$46,5,0)</f>
        <v>#N/A</v>
      </c>
      <c r="I269" s="122" t="e">
        <f>VLOOKUP(B269,'Gebouwgegevens Allacker'!$J$5:$Q$83,7,0)</f>
        <v>#N/A</v>
      </c>
      <c r="J269" s="118" t="e">
        <f>VLOOKUP(B269,'Gebouwgegevens Allacker'!$J$5:$Q$83,8,0)</f>
        <v>#N/A</v>
      </c>
      <c r="K269" s="118" t="e">
        <f>(G269-H269)/(G269-$B$4)</f>
        <v>#N/A</v>
      </c>
      <c r="L269" s="98"/>
      <c r="M269" s="98"/>
      <c r="N269" s="98"/>
      <c r="O269" s="98"/>
      <c r="P269" s="96"/>
    </row>
    <row r="270" spans="1:16" ht="16.5" customHeight="1" thickTop="1" thickBot="1" x14ac:dyDescent="0.3">
      <c r="A270" s="95"/>
      <c r="B270" s="92" t="s">
        <v>231</v>
      </c>
      <c r="C270" s="122" t="e">
        <f>IF(VLOOKUP(B270,'Gebouwgegevens Allacker'!$J$5:$Q$83,2,0)=$B$237,VLOOKUP(B270,'Gebouwgegevens Allacker'!$J$5:$Q$83,2,0),VLOOKUP(B270,'Gebouwgegevens Allacker'!$J$5:$Q$83,3,0))</f>
        <v>#N/A</v>
      </c>
      <c r="D270" s="122" t="e">
        <f>IF(VLOOKUP(B270,'Gebouwgegevens Allacker'!$J$5:$Q$83,2,0)=$B$237,VLOOKUP(B270,'Gebouwgegevens Allacker'!$J$5:$Q$83,3,0),VLOOKUP(B270,'Gebouwgegevens Allacker'!$J$5:$Q$83,2,0))</f>
        <v>#N/A</v>
      </c>
      <c r="E270" s="122" t="e">
        <f>VLOOKUP(B270,'Gebouwgegevens Allacker'!$J$5:$Q$83,4,0)</f>
        <v>#N/A</v>
      </c>
      <c r="F270" s="122" t="e">
        <f>VLOOKUP(B270,'Gebouwgegevens Allacker'!$J$5:$Q$83,5,0)</f>
        <v>#N/A</v>
      </c>
      <c r="G270" s="122" t="e">
        <f>VLOOKUP('Verwarming Tabula 2zone Ref 2'!C270,'Gebouwgegevens Allacker'!$A$35:$F$46,5,0)</f>
        <v>#N/A</v>
      </c>
      <c r="H270" s="122" t="e">
        <f>VLOOKUP('Verwarming Tabula 2zone Ref 2'!D270,'Gebouwgegevens Allacker'!$A$35:$F$46,5,0)</f>
        <v>#N/A</v>
      </c>
      <c r="I270" s="122" t="e">
        <f>VLOOKUP(B270,'Gebouwgegevens Allacker'!$J$5:$Q$83,7,0)</f>
        <v>#N/A</v>
      </c>
      <c r="J270" s="118" t="e">
        <f>VLOOKUP(B270,'Gebouwgegevens Allacker'!$J$5:$Q$83,8,0)</f>
        <v>#N/A</v>
      </c>
      <c r="K270" s="118" t="e">
        <f>(G270-H270)/(G270-$B$4)</f>
        <v>#N/A</v>
      </c>
      <c r="L270" s="98"/>
      <c r="M270" s="98"/>
      <c r="N270" s="98"/>
      <c r="O270" s="98"/>
      <c r="P270" s="96"/>
    </row>
    <row r="271" spans="1:16" ht="16.5" customHeight="1" thickTop="1" thickBot="1" x14ac:dyDescent="0.3">
      <c r="A271" s="95"/>
      <c r="B271" s="123"/>
      <c r="C271" s="139"/>
      <c r="D271" s="122"/>
      <c r="E271" s="122"/>
      <c r="F271" s="122"/>
      <c r="G271" s="122"/>
      <c r="H271" s="122"/>
      <c r="I271" s="122"/>
      <c r="J271" s="118"/>
      <c r="K271" s="118"/>
      <c r="L271" s="98"/>
      <c r="M271" s="98"/>
      <c r="N271" s="98"/>
      <c r="O271" s="98"/>
      <c r="P271" s="96"/>
    </row>
    <row r="272" spans="1:16" ht="16.5" customHeight="1" thickTop="1" thickBot="1" x14ac:dyDescent="0.3">
      <c r="A272" s="95"/>
      <c r="B272" s="123"/>
      <c r="C272" s="139"/>
      <c r="D272" s="122"/>
      <c r="E272" s="122"/>
      <c r="F272" s="122"/>
      <c r="G272" s="122"/>
      <c r="H272" s="122"/>
      <c r="I272" s="122"/>
      <c r="J272" s="118"/>
      <c r="K272" s="118"/>
      <c r="L272" s="98"/>
      <c r="M272" s="98"/>
      <c r="N272" s="98"/>
      <c r="O272" s="98"/>
      <c r="P272" s="96"/>
    </row>
    <row r="273" spans="1:16" ht="16.5" customHeight="1" thickTop="1" thickBot="1" x14ac:dyDescent="0.3">
      <c r="A273" s="95"/>
      <c r="B273" s="123"/>
      <c r="C273" s="139"/>
      <c r="D273" s="122"/>
      <c r="E273" s="122"/>
      <c r="F273" s="122"/>
      <c r="G273" s="122"/>
      <c r="H273" s="122"/>
      <c r="I273" s="122"/>
      <c r="J273" s="118"/>
      <c r="K273" s="118"/>
      <c r="L273" s="98"/>
      <c r="M273" s="98"/>
      <c r="N273" s="98"/>
      <c r="O273" s="98"/>
      <c r="P273" s="96"/>
    </row>
    <row r="274" spans="1:16" ht="16.5" customHeight="1" thickTop="1" thickBot="1" x14ac:dyDescent="0.3">
      <c r="A274" s="95"/>
      <c r="B274" s="123"/>
      <c r="C274" s="139"/>
      <c r="D274" s="122"/>
      <c r="E274" s="122"/>
      <c r="F274" s="122"/>
      <c r="G274" s="122"/>
      <c r="H274" s="122"/>
      <c r="I274" s="122"/>
      <c r="J274" s="118"/>
      <c r="K274" s="118"/>
      <c r="L274" s="98"/>
      <c r="M274" s="98"/>
      <c r="N274" s="98"/>
      <c r="O274" s="98"/>
      <c r="P274" s="96"/>
    </row>
    <row r="275" spans="1:16" ht="16.5" customHeight="1" thickTop="1" thickBot="1" x14ac:dyDescent="0.3">
      <c r="A275" s="95"/>
      <c r="B275" s="123"/>
      <c r="C275" s="139"/>
      <c r="D275" s="122"/>
      <c r="E275" s="122"/>
      <c r="F275" s="122"/>
      <c r="G275" s="122"/>
      <c r="H275" s="122"/>
      <c r="I275" s="122"/>
      <c r="J275" s="118"/>
      <c r="K275" s="118"/>
      <c r="L275" s="98"/>
      <c r="M275" s="98"/>
      <c r="N275" s="98"/>
      <c r="O275" s="98"/>
      <c r="P275" s="96"/>
    </row>
    <row r="276" spans="1:16" ht="16.5" customHeight="1" thickTop="1" thickBot="1" x14ac:dyDescent="0.3">
      <c r="A276" s="95"/>
      <c r="B276" s="123"/>
      <c r="C276" s="139"/>
      <c r="D276" s="122"/>
      <c r="E276" s="122"/>
      <c r="F276" s="122"/>
      <c r="G276" s="122"/>
      <c r="H276" s="122"/>
      <c r="I276" s="122"/>
      <c r="J276" s="118"/>
      <c r="K276" s="118"/>
      <c r="L276" s="98"/>
      <c r="M276" s="98"/>
      <c r="N276" s="98"/>
      <c r="O276" s="98"/>
      <c r="P276" s="96"/>
    </row>
    <row r="277" spans="1:16" ht="15.75" customHeight="1" thickTop="1" x14ac:dyDescent="0.25">
      <c r="A277" s="95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8"/>
      <c r="M277" s="98"/>
      <c r="N277" s="98"/>
      <c r="O277" s="98"/>
      <c r="P277" s="96"/>
    </row>
    <row r="278" spans="1:16" ht="15" customHeight="1" x14ac:dyDescent="0.25">
      <c r="A278" s="95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6"/>
    </row>
    <row r="279" spans="1:16" ht="15.75" customHeight="1" x14ac:dyDescent="0.25">
      <c r="A279" s="103" t="s">
        <v>192</v>
      </c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6"/>
    </row>
    <row r="280" spans="1:16" ht="16.5" customHeight="1" x14ac:dyDescent="0.25">
      <c r="A280" s="124" t="s">
        <v>193</v>
      </c>
      <c r="B280" s="118" t="e">
        <f>SUMPRODUCT(H243:H254,I243:I254)+SUMPRODUCT(G259:G263,H259:H263)+SUMPRODUCT(J267:J276,K267:K276)</f>
        <v>#N/A</v>
      </c>
      <c r="C280" s="118" t="s">
        <v>107</v>
      </c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6"/>
    </row>
    <row r="281" spans="1:16" ht="16.5" customHeight="1" x14ac:dyDescent="0.25">
      <c r="A281" s="124" t="s">
        <v>167</v>
      </c>
      <c r="B281" s="118" t="e">
        <f>B280*(G267-$B$4)</f>
        <v>#N/A</v>
      </c>
      <c r="C281" s="118" t="s">
        <v>169</v>
      </c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6"/>
    </row>
    <row r="282" spans="1:16" ht="15.75" customHeight="1" thickBot="1" x14ac:dyDescent="0.3">
      <c r="A282" s="109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1"/>
    </row>
    <row r="283" spans="1:16" ht="15.75" customHeight="1" thickTop="1" x14ac:dyDescent="0.25">
      <c r="A283" s="343" t="s">
        <v>194</v>
      </c>
      <c r="B283" s="343"/>
      <c r="C283" s="343"/>
      <c r="D283" s="125" t="s">
        <v>222</v>
      </c>
      <c r="E283" s="299"/>
      <c r="F283" s="299"/>
      <c r="G283" s="299"/>
      <c r="H283" s="299"/>
      <c r="I283" s="299"/>
      <c r="J283" s="299"/>
      <c r="K283" s="299"/>
      <c r="L283" s="299"/>
      <c r="M283" s="299"/>
      <c r="N283" s="299"/>
      <c r="O283" s="299"/>
      <c r="P283" s="94"/>
    </row>
    <row r="284" spans="1:16" ht="15" customHeight="1" x14ac:dyDescent="0.25">
      <c r="A284" s="95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6"/>
    </row>
    <row r="285" spans="1:16" ht="15" customHeight="1" thickBot="1" x14ac:dyDescent="0.3">
      <c r="A285" s="126" t="s">
        <v>195</v>
      </c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6"/>
    </row>
    <row r="286" spans="1:16" ht="15" customHeight="1" thickTop="1" thickBot="1" x14ac:dyDescent="0.3">
      <c r="A286" s="127" t="s">
        <v>196</v>
      </c>
      <c r="B286" s="121">
        <v>8</v>
      </c>
      <c r="C286" s="120" t="s">
        <v>197</v>
      </c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6"/>
    </row>
    <row r="287" spans="1:16" ht="15" customHeight="1" thickTop="1" thickBot="1" x14ac:dyDescent="0.3">
      <c r="A287" s="127" t="s">
        <v>198</v>
      </c>
      <c r="B287" s="121">
        <v>0.03</v>
      </c>
      <c r="C287" s="120" t="s">
        <v>199</v>
      </c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6"/>
    </row>
    <row r="288" spans="1:16" ht="15.75" customHeight="1" thickTop="1" thickBot="1" x14ac:dyDescent="0.3">
      <c r="A288" s="127" t="s">
        <v>200</v>
      </c>
      <c r="B288" s="121">
        <v>1</v>
      </c>
      <c r="C288" s="120" t="s">
        <v>201</v>
      </c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6"/>
    </row>
    <row r="289" spans="1:16" ht="16.5" customHeight="1" thickTop="1" x14ac:dyDescent="0.25">
      <c r="A289" s="124" t="s">
        <v>202</v>
      </c>
      <c r="B289" s="118" t="e">
        <f>2*VLOOKUP(B237,'Gebouwgegevens Allacker'!$A$35:$F$46,6,0)*B286*B287*B288</f>
        <v>#N/A</v>
      </c>
      <c r="C289" s="118" t="s">
        <v>203</v>
      </c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6"/>
    </row>
    <row r="290" spans="1:16" ht="15.75" customHeight="1" x14ac:dyDescent="0.25">
      <c r="A290" s="95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6"/>
    </row>
    <row r="291" spans="1:16" ht="15" customHeight="1" x14ac:dyDescent="0.25">
      <c r="A291" s="126" t="s">
        <v>204</v>
      </c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6"/>
    </row>
    <row r="292" spans="1:16" ht="15.75" customHeight="1" x14ac:dyDescent="0.25">
      <c r="A292" s="95" t="s">
        <v>180</v>
      </c>
      <c r="B292" s="98" t="e">
        <f>VLOOKUP(B237,'Gebouwgegevens Allacker'!$A$35:$F$46,6,0)</f>
        <v>#N/A</v>
      </c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6"/>
    </row>
    <row r="293" spans="1:16" ht="16.5" customHeight="1" x14ac:dyDescent="0.25">
      <c r="A293" s="124" t="s">
        <v>205</v>
      </c>
      <c r="B293" s="128">
        <v>50</v>
      </c>
      <c r="C293" s="118" t="s">
        <v>203</v>
      </c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6"/>
    </row>
    <row r="294" spans="1:16" ht="15.75" customHeight="1" x14ac:dyDescent="0.25">
      <c r="A294" s="95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6"/>
    </row>
    <row r="295" spans="1:16" ht="15.75" customHeight="1" x14ac:dyDescent="0.25">
      <c r="A295" s="95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6"/>
    </row>
    <row r="296" spans="1:16" ht="16.5" customHeight="1" x14ac:dyDescent="0.25">
      <c r="A296" s="124" t="s">
        <v>207</v>
      </c>
      <c r="B296" s="118" t="e">
        <f>MAX(B289,B293)</f>
        <v>#N/A</v>
      </c>
      <c r="C296" s="118" t="s">
        <v>203</v>
      </c>
      <c r="D296" s="98"/>
      <c r="E296" s="98"/>
      <c r="F296" s="118" t="s">
        <v>208</v>
      </c>
      <c r="G296" s="118" t="e">
        <f>B296/VLOOKUP(B237,'Gebouwgegevens Allacker'!$A$35:$B$46,2,0)</f>
        <v>#N/A</v>
      </c>
      <c r="H296" s="98"/>
      <c r="I296" s="98"/>
      <c r="J296" s="98"/>
      <c r="K296" s="98"/>
      <c r="L296" s="98"/>
      <c r="M296" s="98"/>
      <c r="N296" s="98"/>
      <c r="O296" s="98"/>
      <c r="P296" s="96"/>
    </row>
    <row r="297" spans="1:16" ht="16.5" customHeight="1" x14ac:dyDescent="0.25">
      <c r="A297" s="95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6"/>
    </row>
    <row r="298" spans="1:16" ht="16.5" customHeight="1" x14ac:dyDescent="0.25">
      <c r="A298" s="124" t="s">
        <v>209</v>
      </c>
      <c r="B298" s="118" t="e">
        <f>0.34*B296</f>
        <v>#N/A</v>
      </c>
      <c r="C298" s="118" t="s">
        <v>107</v>
      </c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6"/>
    </row>
    <row r="299" spans="1:16" ht="16.5" customHeight="1" x14ac:dyDescent="0.25">
      <c r="A299" s="124" t="s">
        <v>167</v>
      </c>
      <c r="B299" s="118" t="e">
        <f>B298*('Gebouwgegevens Allacker'!E259-$B$4)</f>
        <v>#N/A</v>
      </c>
      <c r="C299" s="118" t="s">
        <v>169</v>
      </c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6"/>
    </row>
    <row r="300" spans="1:16" ht="15.75" customHeight="1" thickBot="1" x14ac:dyDescent="0.3">
      <c r="A300" s="109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1"/>
    </row>
    <row r="301" spans="1:16" ht="15.75" customHeight="1" thickTop="1" x14ac:dyDescent="0.25">
      <c r="A301" s="343" t="s">
        <v>210</v>
      </c>
      <c r="B301" s="343"/>
      <c r="C301" s="343"/>
      <c r="D301" s="343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6"/>
    </row>
    <row r="302" spans="1:16" ht="15" customHeight="1" thickBot="1" x14ac:dyDescent="0.3">
      <c r="A302" s="95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6"/>
    </row>
    <row r="303" spans="1:16" ht="15" customHeight="1" thickTop="1" thickBot="1" x14ac:dyDescent="0.3">
      <c r="A303" s="127" t="s">
        <v>211</v>
      </c>
      <c r="B303" s="121">
        <v>90</v>
      </c>
      <c r="C303" s="58" t="s">
        <v>232</v>
      </c>
      <c r="D303" s="5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6"/>
    </row>
    <row r="304" spans="1:16" ht="15.75" customHeight="1" thickTop="1" x14ac:dyDescent="0.25">
      <c r="A304" s="3" t="s">
        <v>113</v>
      </c>
      <c r="B304" s="58" t="e">
        <f>VLOOKUP(B237,'Gebouwgegevens Allacker'!$A$35:$F$46,6,0)</f>
        <v>#N/A</v>
      </c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6"/>
    </row>
    <row r="305" spans="1:16" ht="16.5" customHeight="1" x14ac:dyDescent="0.25">
      <c r="A305" s="124" t="s">
        <v>213</v>
      </c>
      <c r="B305" s="118" t="e">
        <f>B306/('Gebouwgegevens Allacker'!E259-'Verwarming Tabula 2zone Ref 2'!$B$4)</f>
        <v>#N/A</v>
      </c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6"/>
    </row>
    <row r="306" spans="1:16" ht="16.5" customHeight="1" x14ac:dyDescent="0.25">
      <c r="A306" s="124" t="s">
        <v>167</v>
      </c>
      <c r="B306" s="118" t="e">
        <f>B303*B304</f>
        <v>#N/A</v>
      </c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6"/>
    </row>
    <row r="307" spans="1:16" ht="15.75" customHeight="1" x14ac:dyDescent="0.25">
      <c r="A307" s="95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6"/>
    </row>
    <row r="308" spans="1:16" ht="15.75" customHeight="1" thickBot="1" x14ac:dyDescent="0.3">
      <c r="A308" s="95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6"/>
    </row>
    <row r="309" spans="1:16" ht="15.75" customHeight="1" thickTop="1" thickBot="1" x14ac:dyDescent="0.3">
      <c r="A309" s="129" t="s">
        <v>214</v>
      </c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1"/>
    </row>
    <row r="310" spans="1:16" ht="16.5" customHeight="1" thickTop="1" x14ac:dyDescent="0.25">
      <c r="A310" s="124" t="s">
        <v>215</v>
      </c>
      <c r="B310" s="118" t="e">
        <f>SUM(B280,B298,B305)</f>
        <v>#N/A</v>
      </c>
      <c r="C310" s="118" t="s">
        <v>107</v>
      </c>
      <c r="D310" s="132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3"/>
    </row>
    <row r="311" spans="1:16" ht="16.5" customHeight="1" x14ac:dyDescent="0.25">
      <c r="A311" s="124" t="s">
        <v>167</v>
      </c>
      <c r="B311" s="118" t="e">
        <f>SUM(B281,B299,B306)</f>
        <v>#N/A</v>
      </c>
      <c r="C311" s="118" t="s">
        <v>169</v>
      </c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3"/>
    </row>
    <row r="312" spans="1:16" ht="16.5" customHeight="1" thickBot="1" x14ac:dyDescent="0.3">
      <c r="A312" s="134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6"/>
    </row>
    <row r="313" spans="1:16" ht="15" customHeight="1" thickTop="1" x14ac:dyDescent="0.25">
      <c r="A313" s="137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</row>
    <row r="314" spans="1:16" ht="15.75" customHeight="1" thickBot="1" x14ac:dyDescent="0.3">
      <c r="A314" s="137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</row>
    <row r="315" spans="1:16" ht="15" customHeight="1" thickTop="1" thickBot="1" x14ac:dyDescent="0.3">
      <c r="A315" s="93"/>
      <c r="B315" s="299"/>
      <c r="C315" s="299"/>
      <c r="D315" s="299"/>
      <c r="E315" s="299"/>
      <c r="F315" s="299"/>
      <c r="G315" s="299"/>
      <c r="H315" s="299"/>
      <c r="I315" s="299"/>
      <c r="J315" s="299"/>
      <c r="K315" s="299"/>
      <c r="L315" s="299"/>
      <c r="M315" s="299"/>
      <c r="N315" s="299"/>
      <c r="O315" s="299"/>
      <c r="P315" s="94"/>
    </row>
    <row r="316" spans="1:16" ht="17.25" customHeight="1" thickTop="1" thickBot="1" x14ac:dyDescent="0.35">
      <c r="A316" s="97" t="s">
        <v>166</v>
      </c>
      <c r="B316" s="92">
        <v>5</v>
      </c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6"/>
    </row>
    <row r="317" spans="1:16" ht="15.75" customHeight="1" thickTop="1" x14ac:dyDescent="0.25">
      <c r="A317" s="343" t="s">
        <v>168</v>
      </c>
      <c r="B317" s="343"/>
      <c r="C317" s="343"/>
      <c r="D317" s="343"/>
      <c r="E317" s="299"/>
      <c r="F317" s="299"/>
      <c r="G317" s="299"/>
      <c r="H317" s="299"/>
      <c r="I317" s="299"/>
      <c r="J317" s="299"/>
      <c r="K317" s="299"/>
      <c r="L317" s="299"/>
      <c r="M317" s="299"/>
      <c r="N317" s="299"/>
      <c r="O317" s="299"/>
      <c r="P317" s="94"/>
    </row>
    <row r="318" spans="1:16" ht="15" customHeight="1" x14ac:dyDescent="0.25">
      <c r="A318" s="95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6"/>
    </row>
    <row r="319" spans="1:16" ht="15" customHeight="1" x14ac:dyDescent="0.25">
      <c r="A319" s="103" t="s">
        <v>170</v>
      </c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6"/>
    </row>
    <row r="320" spans="1:16" ht="15" customHeight="1" x14ac:dyDescent="0.25">
      <c r="A320" s="95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6"/>
    </row>
    <row r="321" spans="1:16" ht="15.75" customHeight="1" thickBot="1" x14ac:dyDescent="0.3">
      <c r="A321" s="95"/>
      <c r="B321" s="104" t="s">
        <v>10</v>
      </c>
      <c r="C321" s="104" t="s">
        <v>171</v>
      </c>
      <c r="D321" s="104" t="s">
        <v>172</v>
      </c>
      <c r="E321" s="104" t="s">
        <v>173</v>
      </c>
      <c r="F321" s="104" t="s">
        <v>174</v>
      </c>
      <c r="G321" s="104" t="s">
        <v>16</v>
      </c>
      <c r="H321" s="105" t="s">
        <v>17</v>
      </c>
      <c r="I321" s="105" t="s">
        <v>175</v>
      </c>
      <c r="J321" s="98"/>
      <c r="K321" s="98"/>
      <c r="L321" s="98"/>
      <c r="M321" s="98"/>
      <c r="N321" s="98"/>
      <c r="O321" s="98"/>
      <c r="P321" s="96"/>
    </row>
    <row r="322" spans="1:16" ht="16.5" customHeight="1" thickTop="1" thickBot="1" x14ac:dyDescent="0.3">
      <c r="A322" s="95"/>
      <c r="B322" s="106" t="s">
        <v>84</v>
      </c>
      <c r="C322" s="107">
        <f>VLOOKUP(B322,'Gebouwgegevens Allacker'!$J$5:$Q$83,3,0)</f>
        <v>3</v>
      </c>
      <c r="D322" s="107" t="str">
        <f>VLOOKUP(B322,'Gebouwgegevens Allacker'!$J$5:$Q$83,4,0)</f>
        <v>Window</v>
      </c>
      <c r="E322" s="107">
        <f>VLOOKUP(B322,'Gebouwgegevens Allacker'!$J$5:$Q$83,5,0)</f>
        <v>0</v>
      </c>
      <c r="F322" s="107" t="str">
        <f>VLOOKUP(B322,'Gebouwgegevens Allacker'!$J$5:$Q$83,6,0)</f>
        <v>front</v>
      </c>
      <c r="G322" s="107">
        <f>VLOOKUP(B322,'Gebouwgegevens Allacker'!$J$5:$Q$83,7,0)</f>
        <v>5</v>
      </c>
      <c r="H322" s="108">
        <f>VLOOKUP(B322,'Gebouwgegevens Allacker'!$J$5:$Q$83,8,0)</f>
        <v>0</v>
      </c>
      <c r="I322" s="108">
        <v>1</v>
      </c>
      <c r="J322" s="98"/>
      <c r="K322" s="98"/>
      <c r="L322" s="98"/>
      <c r="M322" s="98"/>
      <c r="N322" s="98"/>
      <c r="O322" s="98"/>
      <c r="P322" s="96"/>
    </row>
    <row r="323" spans="1:16" ht="16.5" customHeight="1" thickTop="1" thickBot="1" x14ac:dyDescent="0.3">
      <c r="A323" s="95"/>
      <c r="B323" s="106" t="s">
        <v>87</v>
      </c>
      <c r="C323" s="107">
        <f>VLOOKUP(B323,'Gebouwgegevens Allacker'!$J$5:$Q$83,3,0)</f>
        <v>3</v>
      </c>
      <c r="D323" s="107" t="str">
        <f>VLOOKUP(B323,'Gebouwgegevens Allacker'!$J$5:$Q$83,4,0)</f>
        <v>Window</v>
      </c>
      <c r="E323" s="107">
        <f>VLOOKUP(B323,'Gebouwgegevens Allacker'!$J$5:$Q$83,5,0)</f>
        <v>2</v>
      </c>
      <c r="F323" s="107" t="str">
        <f>VLOOKUP(B323,'Gebouwgegevens Allacker'!$J$5:$Q$83,6,0)</f>
        <v>right</v>
      </c>
      <c r="G323" s="107">
        <f>VLOOKUP(B323,'Gebouwgegevens Allacker'!$J$5:$Q$83,7,0)</f>
        <v>5</v>
      </c>
      <c r="H323" s="108">
        <f>VLOOKUP(B323,'Gebouwgegevens Allacker'!$J$5:$Q$83,8,0)</f>
        <v>10</v>
      </c>
      <c r="I323" s="108">
        <v>1</v>
      </c>
      <c r="J323" s="98"/>
      <c r="K323" s="98"/>
      <c r="L323" s="98"/>
      <c r="M323" s="98"/>
      <c r="N323" s="98"/>
      <c r="O323" s="98"/>
      <c r="P323" s="96"/>
    </row>
    <row r="324" spans="1:16" ht="16.5" customHeight="1" thickTop="1" thickBot="1" x14ac:dyDescent="0.3">
      <c r="A324" s="95"/>
      <c r="B324" s="106" t="s">
        <v>89</v>
      </c>
      <c r="C324" s="107">
        <f>VLOOKUP(B324,'Gebouwgegevens Allacker'!$J$5:$Q$83,3,0)</f>
        <v>3</v>
      </c>
      <c r="D324" s="107" t="str">
        <f>VLOOKUP(B324,'Gebouwgegevens Allacker'!$J$5:$Q$83,4,0)</f>
        <v>Window</v>
      </c>
      <c r="E324" s="107">
        <f>VLOOKUP(B324,'Gebouwgegevens Allacker'!$J$5:$Q$83,5,0)</f>
        <v>0</v>
      </c>
      <c r="F324" s="107" t="str">
        <f>VLOOKUP(B324,'Gebouwgegevens Allacker'!$J$5:$Q$83,6,0)</f>
        <v>back</v>
      </c>
      <c r="G324" s="107">
        <f>VLOOKUP(B324,'Gebouwgegevens Allacker'!$J$5:$Q$83,7,0)</f>
        <v>5</v>
      </c>
      <c r="H324" s="108">
        <f>VLOOKUP(B324,'Gebouwgegevens Allacker'!$J$5:$Q$83,8,0)</f>
        <v>0</v>
      </c>
      <c r="I324" s="108">
        <v>1</v>
      </c>
      <c r="J324" s="98"/>
      <c r="K324" s="98"/>
      <c r="L324" s="98"/>
      <c r="M324" s="98"/>
      <c r="N324" s="98"/>
      <c r="O324" s="98"/>
      <c r="P324" s="96"/>
    </row>
    <row r="325" spans="1:16" ht="16.5" customHeight="1" thickTop="1" thickBot="1" x14ac:dyDescent="0.3">
      <c r="A325" s="95"/>
      <c r="B325" s="106" t="s">
        <v>92</v>
      </c>
      <c r="C325" s="107">
        <f>VLOOKUP(B325,'Gebouwgegevens Allacker'!$J$5:$Q$83,3,0)</f>
        <v>3</v>
      </c>
      <c r="D325" s="107" t="str">
        <f>VLOOKUP(B325,'Gebouwgegevens Allacker'!$J$5:$Q$83,4,0)</f>
        <v>Window</v>
      </c>
      <c r="E325" s="107">
        <f>VLOOKUP(B325,'Gebouwgegevens Allacker'!$J$5:$Q$83,5,0)</f>
        <v>0</v>
      </c>
      <c r="F325" s="107" t="str">
        <f>VLOOKUP(B325,'Gebouwgegevens Allacker'!$J$5:$Q$83,6,0)</f>
        <v>left</v>
      </c>
      <c r="G325" s="107">
        <f>VLOOKUP(B325,'Gebouwgegevens Allacker'!$J$5:$Q$83,7,0)</f>
        <v>5</v>
      </c>
      <c r="H325" s="108">
        <f>VLOOKUP(B325,'Gebouwgegevens Allacker'!$J$5:$Q$83,8,0)</f>
        <v>0</v>
      </c>
      <c r="I325" s="108">
        <v>1</v>
      </c>
      <c r="J325" s="98"/>
      <c r="K325" s="98"/>
      <c r="L325" s="98"/>
      <c r="M325" s="98"/>
      <c r="N325" s="98"/>
      <c r="O325" s="98"/>
      <c r="P325" s="96"/>
    </row>
    <row r="326" spans="1:16" ht="16.5" customHeight="1" thickTop="1" thickBot="1" x14ac:dyDescent="0.3">
      <c r="A326" s="95"/>
      <c r="B326" s="106"/>
      <c r="C326" s="107"/>
      <c r="D326" s="107"/>
      <c r="E326" s="107"/>
      <c r="F326" s="107"/>
      <c r="G326" s="107"/>
      <c r="H326" s="108"/>
      <c r="I326" s="108"/>
      <c r="J326" s="98"/>
      <c r="K326" s="98"/>
      <c r="L326" s="98"/>
      <c r="M326" s="98"/>
      <c r="N326" s="98"/>
      <c r="O326" s="98"/>
      <c r="P326" s="96"/>
    </row>
    <row r="327" spans="1:16" ht="16.5" customHeight="1" thickTop="1" thickBot="1" x14ac:dyDescent="0.3">
      <c r="A327" s="95"/>
      <c r="B327" s="106"/>
      <c r="C327" s="107"/>
      <c r="D327" s="107"/>
      <c r="E327" s="107"/>
      <c r="F327" s="107"/>
      <c r="G327" s="107"/>
      <c r="H327" s="108"/>
      <c r="I327" s="108"/>
      <c r="J327" s="98"/>
      <c r="K327" s="98"/>
      <c r="L327" s="98"/>
      <c r="M327" s="98"/>
      <c r="N327" s="98"/>
      <c r="O327" s="98"/>
      <c r="P327" s="96"/>
    </row>
    <row r="328" spans="1:16" ht="16.5" customHeight="1" thickTop="1" thickBot="1" x14ac:dyDescent="0.3">
      <c r="A328" s="95"/>
      <c r="B328" s="106"/>
      <c r="C328" s="107"/>
      <c r="D328" s="107"/>
      <c r="E328" s="107"/>
      <c r="F328" s="107"/>
      <c r="G328" s="107"/>
      <c r="H328" s="108"/>
      <c r="I328" s="108"/>
      <c r="J328" s="98"/>
      <c r="K328" s="98"/>
      <c r="L328" s="98"/>
      <c r="M328" s="98"/>
      <c r="N328" s="98"/>
      <c r="O328" s="98"/>
      <c r="P328" s="96"/>
    </row>
    <row r="329" spans="1:16" ht="16.5" customHeight="1" thickTop="1" thickBot="1" x14ac:dyDescent="0.3">
      <c r="A329" s="95"/>
      <c r="B329" s="106"/>
      <c r="C329" s="107"/>
      <c r="D329" s="107"/>
      <c r="E329" s="107"/>
      <c r="F329" s="107"/>
      <c r="G329" s="107"/>
      <c r="H329" s="108"/>
      <c r="I329" s="108"/>
      <c r="J329" s="98"/>
      <c r="K329" s="98"/>
      <c r="L329" s="98"/>
      <c r="M329" s="98"/>
      <c r="N329" s="98"/>
      <c r="O329" s="98"/>
      <c r="P329" s="96"/>
    </row>
    <row r="330" spans="1:16" ht="16.5" customHeight="1" thickTop="1" thickBot="1" x14ac:dyDescent="0.3">
      <c r="A330" s="95"/>
      <c r="B330" s="106"/>
      <c r="C330" s="107"/>
      <c r="D330" s="107"/>
      <c r="E330" s="107"/>
      <c r="F330" s="107"/>
      <c r="G330" s="107"/>
      <c r="H330" s="108"/>
      <c r="I330" s="108"/>
      <c r="J330" s="98"/>
      <c r="K330" s="98"/>
      <c r="L330" s="98"/>
      <c r="M330" s="98"/>
      <c r="N330" s="98"/>
      <c r="O330" s="98"/>
      <c r="P330" s="96"/>
    </row>
    <row r="331" spans="1:16" ht="16.5" customHeight="1" thickTop="1" thickBot="1" x14ac:dyDescent="0.3">
      <c r="A331" s="95"/>
      <c r="B331" s="106"/>
      <c r="C331" s="107"/>
      <c r="D331" s="107"/>
      <c r="E331" s="107"/>
      <c r="F331" s="107"/>
      <c r="G331" s="107"/>
      <c r="H331" s="108"/>
      <c r="I331" s="108"/>
      <c r="J331" s="98"/>
      <c r="K331" s="98"/>
      <c r="L331" s="98"/>
      <c r="M331" s="98"/>
      <c r="N331" s="98"/>
      <c r="O331" s="98"/>
      <c r="P331" s="96"/>
    </row>
    <row r="332" spans="1:16" ht="16.5" customHeight="1" thickTop="1" thickBot="1" x14ac:dyDescent="0.3">
      <c r="A332" s="95"/>
      <c r="B332" s="106"/>
      <c r="C332" s="107"/>
      <c r="D332" s="107"/>
      <c r="E332" s="107"/>
      <c r="F332" s="107"/>
      <c r="G332" s="107"/>
      <c r="H332" s="108"/>
      <c r="I332" s="108"/>
      <c r="J332" s="98"/>
      <c r="K332" s="98"/>
      <c r="L332" s="98"/>
      <c r="M332" s="98"/>
      <c r="N332" s="98"/>
      <c r="O332" s="98"/>
      <c r="P332" s="96"/>
    </row>
    <row r="333" spans="1:16" ht="16.5" customHeight="1" thickTop="1" thickBot="1" x14ac:dyDescent="0.3">
      <c r="A333" s="95"/>
      <c r="B333" s="106"/>
      <c r="C333" s="107"/>
      <c r="D333" s="107"/>
      <c r="E333" s="107"/>
      <c r="F333" s="107"/>
      <c r="G333" s="107"/>
      <c r="H333" s="108"/>
      <c r="I333" s="108"/>
      <c r="J333" s="98"/>
      <c r="K333" s="98"/>
      <c r="L333" s="98"/>
      <c r="M333" s="98"/>
      <c r="N333" s="98"/>
      <c r="O333" s="98"/>
      <c r="P333" s="96"/>
    </row>
    <row r="334" spans="1:16" ht="15.75" customHeight="1" thickTop="1" x14ac:dyDescent="0.25">
      <c r="A334" s="95"/>
      <c r="B334" s="58"/>
      <c r="C334" s="58"/>
      <c r="D334" s="58"/>
      <c r="E334" s="58"/>
      <c r="F334" s="58"/>
      <c r="G334" s="114"/>
      <c r="H334" s="58"/>
      <c r="I334" s="58"/>
      <c r="J334" s="98"/>
      <c r="K334" s="98"/>
      <c r="L334" s="98"/>
      <c r="M334" s="98"/>
      <c r="N334" s="98"/>
      <c r="O334" s="98"/>
      <c r="P334" s="96"/>
    </row>
    <row r="335" spans="1:16" ht="15" customHeight="1" x14ac:dyDescent="0.25">
      <c r="A335" s="95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6"/>
    </row>
    <row r="336" spans="1:16" ht="15" customHeight="1" x14ac:dyDescent="0.25">
      <c r="A336" s="103" t="s">
        <v>177</v>
      </c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6"/>
    </row>
    <row r="337" spans="1:16" ht="15.75" customHeight="1" x14ac:dyDescent="0.25">
      <c r="A337" s="95"/>
      <c r="B337" s="58" t="s">
        <v>10</v>
      </c>
      <c r="C337" s="58" t="s">
        <v>178</v>
      </c>
      <c r="D337" s="58" t="s">
        <v>172</v>
      </c>
      <c r="E337" s="58" t="s">
        <v>179</v>
      </c>
      <c r="F337" s="58" t="s">
        <v>16</v>
      </c>
      <c r="G337" s="114" t="s">
        <v>17</v>
      </c>
      <c r="H337" s="114" t="s">
        <v>175</v>
      </c>
      <c r="I337" s="58" t="s">
        <v>180</v>
      </c>
      <c r="J337" s="58" t="s">
        <v>181</v>
      </c>
      <c r="K337" s="58" t="s">
        <v>182</v>
      </c>
      <c r="L337" s="115" t="s">
        <v>183</v>
      </c>
      <c r="M337" s="115" t="s">
        <v>184</v>
      </c>
      <c r="N337" s="115" t="s">
        <v>185</v>
      </c>
      <c r="O337" s="98"/>
      <c r="P337" s="96"/>
    </row>
    <row r="338" spans="1:16" ht="16.5" customHeight="1" thickBot="1" x14ac:dyDescent="0.3">
      <c r="A338" s="95"/>
      <c r="B338" s="116"/>
      <c r="C338" s="117"/>
      <c r="D338" s="117"/>
      <c r="E338" s="117"/>
      <c r="F338" s="117"/>
      <c r="G338" s="118"/>
      <c r="H338" s="118"/>
      <c r="I338" s="117"/>
      <c r="J338" s="116"/>
      <c r="K338" s="116"/>
      <c r="L338" s="119"/>
      <c r="M338" s="119"/>
      <c r="N338" s="120"/>
      <c r="O338" s="98"/>
      <c r="P338" s="96"/>
    </row>
    <row r="339" spans="1:16" ht="16.5" customHeight="1" thickTop="1" thickBot="1" x14ac:dyDescent="0.3">
      <c r="A339" s="95"/>
      <c r="B339" s="116"/>
      <c r="C339" s="117"/>
      <c r="D339" s="117"/>
      <c r="E339" s="117"/>
      <c r="F339" s="117"/>
      <c r="G339" s="118"/>
      <c r="H339" s="118"/>
      <c r="I339" s="117"/>
      <c r="J339" s="116"/>
      <c r="K339" s="116"/>
      <c r="L339" s="119"/>
      <c r="M339" s="119"/>
      <c r="N339" s="120"/>
      <c r="O339" s="98"/>
      <c r="P339" s="96"/>
    </row>
    <row r="340" spans="1:16" ht="16.5" customHeight="1" thickTop="1" thickBot="1" x14ac:dyDescent="0.3">
      <c r="A340" s="95"/>
      <c r="B340" s="116"/>
      <c r="C340" s="117"/>
      <c r="D340" s="117"/>
      <c r="E340" s="117"/>
      <c r="F340" s="117"/>
      <c r="G340" s="118"/>
      <c r="H340" s="118"/>
      <c r="I340" s="117"/>
      <c r="J340" s="116"/>
      <c r="K340" s="116"/>
      <c r="L340" s="119"/>
      <c r="M340" s="119"/>
      <c r="N340" s="120"/>
      <c r="O340" s="98"/>
      <c r="P340" s="96"/>
    </row>
    <row r="341" spans="1:16" ht="16.5" customHeight="1" thickTop="1" thickBot="1" x14ac:dyDescent="0.3">
      <c r="A341" s="95"/>
      <c r="B341" s="116"/>
      <c r="C341" s="117"/>
      <c r="D341" s="117"/>
      <c r="E341" s="117"/>
      <c r="F341" s="117"/>
      <c r="G341" s="118"/>
      <c r="H341" s="118"/>
      <c r="I341" s="117"/>
      <c r="J341" s="116"/>
      <c r="K341" s="116"/>
      <c r="L341" s="119"/>
      <c r="M341" s="119"/>
      <c r="N341" s="120"/>
      <c r="O341" s="98"/>
      <c r="P341" s="96"/>
    </row>
    <row r="342" spans="1:16" ht="16.5" customHeight="1" thickTop="1" thickBot="1" x14ac:dyDescent="0.3">
      <c r="A342" s="138"/>
      <c r="B342" s="116"/>
      <c r="C342" s="117"/>
      <c r="D342" s="117"/>
      <c r="E342" s="117"/>
      <c r="F342" s="117"/>
      <c r="G342" s="118"/>
      <c r="H342" s="118"/>
      <c r="I342" s="117"/>
      <c r="J342" s="116"/>
      <c r="K342" s="116"/>
      <c r="L342" s="119"/>
      <c r="M342" s="119"/>
      <c r="N342" s="120"/>
      <c r="O342" s="98"/>
      <c r="P342" s="96"/>
    </row>
    <row r="343" spans="1:16" ht="15.75" customHeight="1" thickTop="1" x14ac:dyDescent="0.25">
      <c r="A343" s="95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6"/>
    </row>
    <row r="344" spans="1:16" ht="15" customHeight="1" x14ac:dyDescent="0.25">
      <c r="A344" s="103" t="s">
        <v>186</v>
      </c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6"/>
    </row>
    <row r="345" spans="1:16" ht="15.75" customHeight="1" thickBot="1" x14ac:dyDescent="0.3">
      <c r="A345" s="95"/>
      <c r="B345" s="58" t="s">
        <v>10</v>
      </c>
      <c r="C345" s="58" t="s">
        <v>187</v>
      </c>
      <c r="D345" s="58" t="s">
        <v>188</v>
      </c>
      <c r="E345" s="58" t="s">
        <v>135</v>
      </c>
      <c r="F345" s="58" t="s">
        <v>189</v>
      </c>
      <c r="G345" s="58" t="s">
        <v>190</v>
      </c>
      <c r="H345" s="58" t="s">
        <v>191</v>
      </c>
      <c r="I345" s="58" t="s">
        <v>16</v>
      </c>
      <c r="J345" s="114" t="s">
        <v>17</v>
      </c>
      <c r="K345" s="114" t="s">
        <v>175</v>
      </c>
      <c r="L345" s="98"/>
      <c r="M345" s="98"/>
      <c r="N345" s="98"/>
      <c r="O345" s="98"/>
      <c r="P345" s="96"/>
    </row>
    <row r="346" spans="1:16" ht="16.5" customHeight="1" thickTop="1" thickBot="1" x14ac:dyDescent="0.3">
      <c r="A346" s="95"/>
      <c r="B346" s="121" t="s">
        <v>228</v>
      </c>
      <c r="C346" s="122" t="e">
        <f>IF(VLOOKUP(B346,'Gebouwgegevens Allacker'!$J$5:$Q$83,2,0)=$B$316,VLOOKUP(B346,'Gebouwgegevens Allacker'!$J$5:$Q$83,2,0),VLOOKUP(B346,'Gebouwgegevens Allacker'!$J$5:$Q$83,3,0))</f>
        <v>#N/A</v>
      </c>
      <c r="D346" s="122" t="e">
        <f>IF(VLOOKUP(B346,'Gebouwgegevens Allacker'!$J$5:$Q$83,2,0)=$B$316,VLOOKUP(B346,'Gebouwgegevens Allacker'!$J$5:$Q$83,3,0),VLOOKUP(B346,'Gebouwgegevens Allacker'!$J$5:$Q$83,2,0))</f>
        <v>#N/A</v>
      </c>
      <c r="E346" s="122" t="e">
        <f>VLOOKUP(B346,'Gebouwgegevens Allacker'!$J$5:$Q$83,4,0)</f>
        <v>#N/A</v>
      </c>
      <c r="F346" s="122" t="e">
        <f>VLOOKUP(B346,'Gebouwgegevens Allacker'!$J$5:$Q$83,5,0)</f>
        <v>#N/A</v>
      </c>
      <c r="G346" s="122" t="e">
        <f>VLOOKUP('Verwarming Tabula 2zone Ref 2'!C346,'Gebouwgegevens Allacker'!$A$35:$F$46,5,0)</f>
        <v>#N/A</v>
      </c>
      <c r="H346" s="122" t="e">
        <f>VLOOKUP('Verwarming Tabula 2zone Ref 2'!D346,'Gebouwgegevens Allacker'!$A$35:$F$46,5,0)</f>
        <v>#N/A</v>
      </c>
      <c r="I346" s="122" t="e">
        <f>VLOOKUP(B346,'Gebouwgegevens Allacker'!$J$5:$Q$83,7,0)</f>
        <v>#N/A</v>
      </c>
      <c r="J346" s="118" t="e">
        <f>VLOOKUP(B346,'Gebouwgegevens Allacker'!$J$5:$Q$83,8,0)</f>
        <v>#N/A</v>
      </c>
      <c r="K346" s="118" t="e">
        <f>(G346-H346)/(G346-$B$4)</f>
        <v>#N/A</v>
      </c>
      <c r="L346" s="98"/>
      <c r="M346" s="98"/>
      <c r="N346" s="98"/>
      <c r="O346" s="98"/>
      <c r="P346" s="96"/>
    </row>
    <row r="347" spans="1:16" ht="16.5" customHeight="1" thickTop="1" thickBot="1" x14ac:dyDescent="0.3">
      <c r="A347" s="95"/>
      <c r="B347" s="121" t="s">
        <v>233</v>
      </c>
      <c r="C347" s="122" t="e">
        <f>IF(VLOOKUP(B347,'Gebouwgegevens Allacker'!$J$5:$Q$83,2,0)=$B$316,VLOOKUP(B347,'Gebouwgegevens Allacker'!$J$5:$Q$83,2,0),VLOOKUP(B347,'Gebouwgegevens Allacker'!$J$5:$Q$83,3,0))</f>
        <v>#N/A</v>
      </c>
      <c r="D347" s="122" t="e">
        <f>IF(VLOOKUP(B347,'Gebouwgegevens Allacker'!$J$5:$Q$83,2,0)=$B$316,VLOOKUP(B347,'Gebouwgegevens Allacker'!$J$5:$Q$83,3,0),VLOOKUP(B347,'Gebouwgegevens Allacker'!$J$5:$Q$83,2,0))</f>
        <v>#N/A</v>
      </c>
      <c r="E347" s="122" t="e">
        <f>VLOOKUP(B347,'Gebouwgegevens Allacker'!$J$5:$Q$83,4,0)</f>
        <v>#N/A</v>
      </c>
      <c r="F347" s="122" t="e">
        <f>VLOOKUP(B347,'Gebouwgegevens Allacker'!$J$5:$Q$83,5,0)</f>
        <v>#N/A</v>
      </c>
      <c r="G347" s="122" t="e">
        <f>VLOOKUP('Verwarming Tabula 2zone Ref 2'!C347,'Gebouwgegevens Allacker'!$A$35:$F$46,5,0)</f>
        <v>#N/A</v>
      </c>
      <c r="H347" s="122" t="e">
        <f>VLOOKUP('Verwarming Tabula 2zone Ref 2'!D347,'Gebouwgegevens Allacker'!$A$35:$F$46,5,0)</f>
        <v>#N/A</v>
      </c>
      <c r="I347" s="122" t="e">
        <f>VLOOKUP(B347,'Gebouwgegevens Allacker'!$J$5:$Q$83,7,0)</f>
        <v>#N/A</v>
      </c>
      <c r="J347" s="118" t="e">
        <f>VLOOKUP(B347,'Gebouwgegevens Allacker'!$J$5:$Q$83,8,0)</f>
        <v>#N/A</v>
      </c>
      <c r="K347" s="118" t="e">
        <f>(G347-H347)/(G347-$B$4)</f>
        <v>#N/A</v>
      </c>
      <c r="L347" s="98"/>
      <c r="M347" s="98"/>
      <c r="N347" s="98"/>
      <c r="O347" s="98"/>
      <c r="P347" s="96"/>
    </row>
    <row r="348" spans="1:16" ht="16.5" customHeight="1" thickTop="1" thickBot="1" x14ac:dyDescent="0.3">
      <c r="A348" s="95"/>
      <c r="B348" s="121" t="s">
        <v>234</v>
      </c>
      <c r="C348" s="122" t="e">
        <f>IF(VLOOKUP(B348,'Gebouwgegevens Allacker'!$J$5:$Q$83,2,0)=$B$316,VLOOKUP(B348,'Gebouwgegevens Allacker'!$J$5:$Q$83,2,0),VLOOKUP(B348,'Gebouwgegevens Allacker'!$J$5:$Q$83,3,0))</f>
        <v>#N/A</v>
      </c>
      <c r="D348" s="122" t="e">
        <f>IF(VLOOKUP(B348,'Gebouwgegevens Allacker'!$J$5:$Q$83,2,0)=$B$316,VLOOKUP(B348,'Gebouwgegevens Allacker'!$J$5:$Q$83,3,0),VLOOKUP(B348,'Gebouwgegevens Allacker'!$J$5:$Q$83,2,0))</f>
        <v>#N/A</v>
      </c>
      <c r="E348" s="122" t="e">
        <f>VLOOKUP(B348,'Gebouwgegevens Allacker'!$J$5:$Q$83,4,0)</f>
        <v>#N/A</v>
      </c>
      <c r="F348" s="122" t="e">
        <f>VLOOKUP(B348,'Gebouwgegevens Allacker'!$J$5:$Q$83,5,0)</f>
        <v>#N/A</v>
      </c>
      <c r="G348" s="122" t="e">
        <f>VLOOKUP('Verwarming Tabula 2zone Ref 2'!C348,'Gebouwgegevens Allacker'!$A$35:$F$46,5,0)</f>
        <v>#N/A</v>
      </c>
      <c r="H348" s="122" t="e">
        <f>VLOOKUP('Verwarming Tabula 2zone Ref 2'!D348,'Gebouwgegevens Allacker'!$A$35:$F$46,5,0)</f>
        <v>#N/A</v>
      </c>
      <c r="I348" s="122" t="e">
        <f>VLOOKUP(B348,'Gebouwgegevens Allacker'!$J$5:$Q$83,7,0)</f>
        <v>#N/A</v>
      </c>
      <c r="J348" s="118" t="e">
        <f>VLOOKUP(B348,'Gebouwgegevens Allacker'!$J$5:$Q$83,8,0)</f>
        <v>#N/A</v>
      </c>
      <c r="K348" s="118" t="e">
        <f>(G348-H348)/(G348-$B$4)</f>
        <v>#N/A</v>
      </c>
      <c r="L348" s="98"/>
      <c r="M348" s="98"/>
      <c r="N348" s="98"/>
      <c r="O348" s="98"/>
      <c r="P348" s="96"/>
    </row>
    <row r="349" spans="1:16" ht="16.5" customHeight="1" thickTop="1" thickBot="1" x14ac:dyDescent="0.3">
      <c r="A349" s="95"/>
      <c r="B349" s="92" t="s">
        <v>235</v>
      </c>
      <c r="C349" s="122" t="e">
        <f>IF(VLOOKUP(B349,'Gebouwgegevens Allacker'!$J$5:$Q$83,2,0)=$B$316,VLOOKUP(B349,'Gebouwgegevens Allacker'!$J$5:$Q$83,2,0),VLOOKUP(B349,'Gebouwgegevens Allacker'!$J$5:$Q$83,3,0))</f>
        <v>#N/A</v>
      </c>
      <c r="D349" s="122" t="e">
        <f>IF(VLOOKUP(B349,'Gebouwgegevens Allacker'!$J$5:$Q$83,2,0)=$B$316,VLOOKUP(B349,'Gebouwgegevens Allacker'!$J$5:$Q$83,3,0),VLOOKUP(B349,'Gebouwgegevens Allacker'!$J$5:$Q$83,2,0))</f>
        <v>#N/A</v>
      </c>
      <c r="E349" s="122" t="e">
        <f>VLOOKUP(B349,'Gebouwgegevens Allacker'!$J$5:$Q$83,4,0)</f>
        <v>#N/A</v>
      </c>
      <c r="F349" s="122" t="e">
        <f>VLOOKUP(B349,'Gebouwgegevens Allacker'!$J$5:$Q$83,5,0)</f>
        <v>#N/A</v>
      </c>
      <c r="G349" s="122" t="e">
        <f>VLOOKUP('Verwarming Tabula 2zone Ref 2'!C349,'Gebouwgegevens Allacker'!$A$35:$F$46,5,0)</f>
        <v>#N/A</v>
      </c>
      <c r="H349" s="122" t="e">
        <f>VLOOKUP('Verwarming Tabula 2zone Ref 2'!D349,'Gebouwgegevens Allacker'!$A$35:$F$46,5,0)</f>
        <v>#N/A</v>
      </c>
      <c r="I349" s="122" t="e">
        <f>VLOOKUP(B349,'Gebouwgegevens Allacker'!$J$5:$Q$83,7,0)</f>
        <v>#N/A</v>
      </c>
      <c r="J349" s="118" t="e">
        <f>VLOOKUP(B349,'Gebouwgegevens Allacker'!$J$5:$Q$83,8,0)</f>
        <v>#N/A</v>
      </c>
      <c r="K349" s="118" t="e">
        <f>(G349-H349)/(G349-$B$4)</f>
        <v>#N/A</v>
      </c>
      <c r="L349" s="98"/>
      <c r="M349" s="98"/>
      <c r="N349" s="98"/>
      <c r="O349" s="98"/>
      <c r="P349" s="96"/>
    </row>
    <row r="350" spans="1:16" ht="16.5" customHeight="1" thickTop="1" thickBot="1" x14ac:dyDescent="0.3">
      <c r="A350" s="95"/>
      <c r="B350" s="123" t="s">
        <v>236</v>
      </c>
      <c r="C350" s="122" t="e">
        <f>IF(VLOOKUP(B350,'Gebouwgegevens Allacker'!$J$5:$Q$83,2,0)=$B$316,VLOOKUP(B350,'Gebouwgegevens Allacker'!$J$5:$Q$83,2,0),VLOOKUP(B350,'Gebouwgegevens Allacker'!$J$5:$Q$83,3,0))</f>
        <v>#N/A</v>
      </c>
      <c r="D350" s="122" t="e">
        <f>IF(VLOOKUP(B350,'Gebouwgegevens Allacker'!$J$5:$Q$83,2,0)=$B$316,VLOOKUP(B350,'Gebouwgegevens Allacker'!$J$5:$Q$83,3,0),VLOOKUP(B350,'Gebouwgegevens Allacker'!$J$5:$Q$83,2,0))</f>
        <v>#N/A</v>
      </c>
      <c r="E350" s="122" t="e">
        <f>VLOOKUP(B350,'Gebouwgegevens Allacker'!$J$5:$Q$83,4,0)</f>
        <v>#N/A</v>
      </c>
      <c r="F350" s="122" t="e">
        <f>VLOOKUP(B350,'Gebouwgegevens Allacker'!$J$5:$Q$83,5,0)</f>
        <v>#N/A</v>
      </c>
      <c r="G350" s="122" t="e">
        <f>VLOOKUP('Verwarming Tabula 2zone Ref 2'!C350,'Gebouwgegevens Allacker'!$A$35:$F$46,5,0)</f>
        <v>#N/A</v>
      </c>
      <c r="H350" s="122" t="e">
        <f>VLOOKUP('Verwarming Tabula 2zone Ref 2'!D350,'Gebouwgegevens Allacker'!$A$35:$F$46,5,0)</f>
        <v>#N/A</v>
      </c>
      <c r="I350" s="122" t="e">
        <f>VLOOKUP(B350,'Gebouwgegevens Allacker'!$J$5:$Q$83,7,0)</f>
        <v>#N/A</v>
      </c>
      <c r="J350" s="118" t="e">
        <f>VLOOKUP(B350,'Gebouwgegevens Allacker'!$J$5:$Q$83,8,0)</f>
        <v>#N/A</v>
      </c>
      <c r="K350" s="118" t="e">
        <f>(G350-H350)/(G350-$B$4)</f>
        <v>#N/A</v>
      </c>
      <c r="L350" s="98"/>
      <c r="M350" s="98"/>
      <c r="N350" s="98"/>
      <c r="O350" s="98"/>
      <c r="P350" s="96"/>
    </row>
    <row r="351" spans="1:16" ht="16.5" customHeight="1" thickTop="1" thickBot="1" x14ac:dyDescent="0.3">
      <c r="A351" s="95"/>
      <c r="B351" s="123"/>
      <c r="C351" s="139"/>
      <c r="D351" s="122"/>
      <c r="E351" s="122"/>
      <c r="F351" s="122"/>
      <c r="G351" s="122"/>
      <c r="H351" s="122"/>
      <c r="I351" s="122"/>
      <c r="J351" s="118"/>
      <c r="K351" s="118"/>
      <c r="L351" s="98"/>
      <c r="M351" s="98"/>
      <c r="N351" s="98"/>
      <c r="O351" s="98"/>
      <c r="P351" s="96"/>
    </row>
    <row r="352" spans="1:16" ht="16.5" customHeight="1" thickTop="1" thickBot="1" x14ac:dyDescent="0.3">
      <c r="A352" s="95"/>
      <c r="B352" s="123"/>
      <c r="C352" s="139"/>
      <c r="D352" s="122"/>
      <c r="E352" s="122"/>
      <c r="F352" s="122"/>
      <c r="G352" s="122"/>
      <c r="H352" s="122"/>
      <c r="I352" s="122"/>
      <c r="J352" s="118"/>
      <c r="K352" s="118"/>
      <c r="L352" s="98"/>
      <c r="M352" s="98"/>
      <c r="N352" s="98"/>
      <c r="O352" s="98"/>
      <c r="P352" s="96"/>
    </row>
    <row r="353" spans="1:16" ht="16.5" customHeight="1" thickTop="1" thickBot="1" x14ac:dyDescent="0.3">
      <c r="A353" s="95"/>
      <c r="B353" s="123"/>
      <c r="C353" s="139"/>
      <c r="D353" s="122"/>
      <c r="E353" s="122"/>
      <c r="F353" s="122"/>
      <c r="G353" s="122"/>
      <c r="H353" s="122"/>
      <c r="I353" s="122"/>
      <c r="J353" s="118"/>
      <c r="K353" s="118"/>
      <c r="L353" s="98"/>
      <c r="M353" s="98"/>
      <c r="N353" s="98"/>
      <c r="O353" s="98"/>
      <c r="P353" s="96"/>
    </row>
    <row r="354" spans="1:16" ht="16.5" customHeight="1" thickTop="1" thickBot="1" x14ac:dyDescent="0.3">
      <c r="A354" s="95"/>
      <c r="B354" s="123"/>
      <c r="C354" s="139"/>
      <c r="D354" s="122"/>
      <c r="E354" s="122"/>
      <c r="F354" s="122"/>
      <c r="G354" s="122"/>
      <c r="H354" s="122"/>
      <c r="I354" s="122"/>
      <c r="J354" s="118"/>
      <c r="K354" s="118"/>
      <c r="L354" s="98"/>
      <c r="M354" s="98"/>
      <c r="N354" s="98"/>
      <c r="O354" s="98"/>
      <c r="P354" s="96"/>
    </row>
    <row r="355" spans="1:16" ht="16.5" customHeight="1" thickTop="1" thickBot="1" x14ac:dyDescent="0.3">
      <c r="A355" s="95"/>
      <c r="B355" s="123"/>
      <c r="C355" s="139"/>
      <c r="D355" s="122"/>
      <c r="E355" s="122"/>
      <c r="F355" s="122"/>
      <c r="G355" s="122"/>
      <c r="H355" s="122"/>
      <c r="I355" s="122"/>
      <c r="J355" s="118"/>
      <c r="K355" s="118"/>
      <c r="L355" s="98"/>
      <c r="M355" s="98"/>
      <c r="N355" s="98"/>
      <c r="O355" s="98"/>
      <c r="P355" s="96"/>
    </row>
    <row r="356" spans="1:16" ht="15.75" customHeight="1" thickTop="1" x14ac:dyDescent="0.25">
      <c r="A356" s="95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8"/>
      <c r="M356" s="98"/>
      <c r="N356" s="98"/>
      <c r="O356" s="98"/>
      <c r="P356" s="96"/>
    </row>
    <row r="357" spans="1:16" ht="15" customHeight="1" x14ac:dyDescent="0.25">
      <c r="A357" s="95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6"/>
    </row>
    <row r="358" spans="1:16" ht="15.75" customHeight="1" x14ac:dyDescent="0.25">
      <c r="A358" s="103" t="s">
        <v>192</v>
      </c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6"/>
    </row>
    <row r="359" spans="1:16" ht="16.5" customHeight="1" x14ac:dyDescent="0.25">
      <c r="A359" s="124" t="s">
        <v>193</v>
      </c>
      <c r="B359" s="118" t="e">
        <f>SUMPRODUCT(H322:H333,I322:I333)+SUMPRODUCT(G338:G342,H338:H342)+SUMPRODUCT(J346:J355,K346:K355)</f>
        <v>#N/A</v>
      </c>
      <c r="C359" s="118" t="s">
        <v>107</v>
      </c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6"/>
    </row>
    <row r="360" spans="1:16" ht="16.5" customHeight="1" x14ac:dyDescent="0.25">
      <c r="A360" s="124" t="s">
        <v>167</v>
      </c>
      <c r="B360" s="118" t="e">
        <f>B359*(G346-$B$4)</f>
        <v>#N/A</v>
      </c>
      <c r="C360" s="118" t="s">
        <v>169</v>
      </c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6"/>
    </row>
    <row r="361" spans="1:16" ht="15.75" customHeight="1" thickBot="1" x14ac:dyDescent="0.3">
      <c r="A361" s="109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1"/>
    </row>
    <row r="362" spans="1:16" ht="15.75" customHeight="1" thickTop="1" x14ac:dyDescent="0.25">
      <c r="A362" s="343" t="s">
        <v>194</v>
      </c>
      <c r="B362" s="343"/>
      <c r="C362" s="343"/>
      <c r="D362" s="125" t="s">
        <v>222</v>
      </c>
      <c r="E362" s="299"/>
      <c r="F362" s="299"/>
      <c r="G362" s="299"/>
      <c r="H362" s="299"/>
      <c r="I362" s="299"/>
      <c r="J362" s="299"/>
      <c r="K362" s="299"/>
      <c r="L362" s="299"/>
      <c r="M362" s="299"/>
      <c r="N362" s="299"/>
      <c r="O362" s="299"/>
      <c r="P362" s="94"/>
    </row>
    <row r="363" spans="1:16" ht="15" customHeight="1" x14ac:dyDescent="0.25">
      <c r="A363" s="95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6"/>
    </row>
    <row r="364" spans="1:16" ht="15" customHeight="1" thickBot="1" x14ac:dyDescent="0.3">
      <c r="A364" s="126" t="s">
        <v>195</v>
      </c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6"/>
    </row>
    <row r="365" spans="1:16" ht="15" customHeight="1" thickTop="1" thickBot="1" x14ac:dyDescent="0.3">
      <c r="A365" s="127" t="s">
        <v>196</v>
      </c>
      <c r="B365" s="121">
        <v>8</v>
      </c>
      <c r="C365" s="120" t="s">
        <v>197</v>
      </c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6"/>
    </row>
    <row r="366" spans="1:16" ht="15" customHeight="1" thickTop="1" thickBot="1" x14ac:dyDescent="0.3">
      <c r="A366" s="127" t="s">
        <v>198</v>
      </c>
      <c r="B366" s="121">
        <v>0.03</v>
      </c>
      <c r="C366" s="120" t="s">
        <v>199</v>
      </c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6"/>
    </row>
    <row r="367" spans="1:16" ht="15.75" customHeight="1" thickTop="1" thickBot="1" x14ac:dyDescent="0.3">
      <c r="A367" s="127" t="s">
        <v>200</v>
      </c>
      <c r="B367" s="121">
        <v>1</v>
      </c>
      <c r="C367" s="120" t="s">
        <v>201</v>
      </c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6"/>
    </row>
    <row r="368" spans="1:16" ht="16.5" customHeight="1" thickTop="1" x14ac:dyDescent="0.25">
      <c r="A368" s="124" t="s">
        <v>202</v>
      </c>
      <c r="B368" s="118" t="e">
        <f>2*VLOOKUP(B316,'Gebouwgegevens Allacker'!$A$35:$F$46,6,0)*B365*B366*B367</f>
        <v>#N/A</v>
      </c>
      <c r="C368" s="118" t="s">
        <v>203</v>
      </c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6"/>
    </row>
    <row r="369" spans="1:16" ht="15.75" customHeight="1" x14ac:dyDescent="0.25">
      <c r="A369" s="95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6"/>
    </row>
    <row r="370" spans="1:16" ht="15" customHeight="1" x14ac:dyDescent="0.25">
      <c r="A370" s="126" t="s">
        <v>204</v>
      </c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6"/>
    </row>
    <row r="371" spans="1:16" ht="15.75" customHeight="1" x14ac:dyDescent="0.25">
      <c r="A371" s="95" t="s">
        <v>180</v>
      </c>
      <c r="B371" s="98" t="e">
        <f>VLOOKUP(B316,'Gebouwgegevens Allacker'!$A$35:$F$46,6,0)</f>
        <v>#N/A</v>
      </c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6"/>
    </row>
    <row r="372" spans="1:16" ht="16.5" customHeight="1" x14ac:dyDescent="0.25">
      <c r="A372" s="124" t="s">
        <v>205</v>
      </c>
      <c r="B372" s="128" t="e">
        <f>B371*3.6</f>
        <v>#N/A</v>
      </c>
      <c r="C372" s="118" t="s">
        <v>203</v>
      </c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6"/>
    </row>
    <row r="373" spans="1:16" ht="15.75" customHeight="1" x14ac:dyDescent="0.25">
      <c r="A373" s="95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6"/>
    </row>
    <row r="374" spans="1:16" ht="15.75" customHeight="1" x14ac:dyDescent="0.25">
      <c r="A374" s="95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6"/>
    </row>
    <row r="375" spans="1:16" ht="16.5" customHeight="1" x14ac:dyDescent="0.25">
      <c r="A375" s="124" t="s">
        <v>207</v>
      </c>
      <c r="B375" s="118" t="e">
        <f>MAX(B368,B372)</f>
        <v>#N/A</v>
      </c>
      <c r="C375" s="118" t="s">
        <v>203</v>
      </c>
      <c r="D375" s="98"/>
      <c r="E375" s="98"/>
      <c r="F375" s="118" t="s">
        <v>208</v>
      </c>
      <c r="G375" s="118" t="e">
        <f>B375/VLOOKUP(B316,'Gebouwgegevens Allacker'!$A$35:$B$46,2,0)</f>
        <v>#N/A</v>
      </c>
      <c r="H375" s="98"/>
      <c r="I375" s="98"/>
      <c r="J375" s="98"/>
      <c r="K375" s="98"/>
      <c r="L375" s="98"/>
      <c r="M375" s="98"/>
      <c r="N375" s="98"/>
      <c r="O375" s="98"/>
      <c r="P375" s="96"/>
    </row>
    <row r="376" spans="1:16" ht="16.5" customHeight="1" x14ac:dyDescent="0.25">
      <c r="A376" s="138"/>
      <c r="B376" s="58"/>
      <c r="C376" s="5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6"/>
    </row>
    <row r="377" spans="1:16" ht="16.5" customHeight="1" x14ac:dyDescent="0.25">
      <c r="A377" s="124" t="s">
        <v>209</v>
      </c>
      <c r="B377" s="118" t="e">
        <f>0.34*B375</f>
        <v>#N/A</v>
      </c>
      <c r="C377" s="118" t="s">
        <v>107</v>
      </c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6"/>
    </row>
    <row r="378" spans="1:16" ht="16.5" customHeight="1" x14ac:dyDescent="0.25">
      <c r="A378" s="124" t="s">
        <v>167</v>
      </c>
      <c r="B378" s="118" t="e">
        <f>B377*('Gebouwgegevens Allacker'!E338-$B$4)</f>
        <v>#N/A</v>
      </c>
      <c r="C378" s="118" t="s">
        <v>169</v>
      </c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6"/>
    </row>
    <row r="379" spans="1:16" ht="15.75" customHeight="1" thickBot="1" x14ac:dyDescent="0.3">
      <c r="A379" s="140"/>
      <c r="B379" s="141"/>
      <c r="C379" s="141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1"/>
    </row>
    <row r="380" spans="1:16" ht="15.75" customHeight="1" thickTop="1" x14ac:dyDescent="0.25">
      <c r="A380" s="343" t="s">
        <v>210</v>
      </c>
      <c r="B380" s="343"/>
      <c r="C380" s="343"/>
      <c r="D380" s="343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6"/>
    </row>
    <row r="381" spans="1:16" ht="15" customHeight="1" thickBot="1" x14ac:dyDescent="0.3">
      <c r="A381" s="95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6"/>
    </row>
    <row r="382" spans="1:16" ht="15" customHeight="1" thickTop="1" thickBot="1" x14ac:dyDescent="0.3">
      <c r="A382" s="127" t="s">
        <v>211</v>
      </c>
      <c r="B382" s="121">
        <v>22</v>
      </c>
      <c r="C382" s="58" t="s">
        <v>232</v>
      </c>
      <c r="D382" s="5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6"/>
    </row>
    <row r="383" spans="1:16" ht="15.75" customHeight="1" thickTop="1" x14ac:dyDescent="0.25">
      <c r="A383" s="3" t="s">
        <v>113</v>
      </c>
      <c r="B383" s="58" t="e">
        <f>VLOOKUP(B316,'Gebouwgegevens Allacker'!$A$35:$F$46,6,0)</f>
        <v>#N/A</v>
      </c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6"/>
    </row>
    <row r="384" spans="1:16" ht="16.5" customHeight="1" x14ac:dyDescent="0.25">
      <c r="A384" s="124" t="s">
        <v>213</v>
      </c>
      <c r="B384" s="118" t="e">
        <f>B385/('Gebouwgegevens Allacker'!E338-'Verwarming Tabula 2zone Ref 2'!$B$4)</f>
        <v>#N/A</v>
      </c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6"/>
    </row>
    <row r="385" spans="1:16" ht="16.5" customHeight="1" x14ac:dyDescent="0.25">
      <c r="A385" s="124" t="s">
        <v>167</v>
      </c>
      <c r="B385" s="118" t="e">
        <f>B382*B383</f>
        <v>#N/A</v>
      </c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6"/>
    </row>
    <row r="386" spans="1:16" ht="15.75" customHeight="1" x14ac:dyDescent="0.25">
      <c r="A386" s="95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6"/>
    </row>
    <row r="387" spans="1:16" ht="15.75" customHeight="1" thickBot="1" x14ac:dyDescent="0.3">
      <c r="A387" s="95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6"/>
    </row>
    <row r="388" spans="1:16" ht="15.75" customHeight="1" thickTop="1" thickBot="1" x14ac:dyDescent="0.3">
      <c r="A388" s="129" t="s">
        <v>214</v>
      </c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1"/>
    </row>
    <row r="389" spans="1:16" ht="16.5" customHeight="1" thickTop="1" x14ac:dyDescent="0.25">
      <c r="A389" s="124" t="s">
        <v>215</v>
      </c>
      <c r="B389" s="118" t="e">
        <f>SUM(B359,B377,B384)</f>
        <v>#N/A</v>
      </c>
      <c r="C389" s="118" t="s">
        <v>107</v>
      </c>
      <c r="D389" s="132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  <c r="O389" s="132"/>
      <c r="P389" s="133"/>
    </row>
    <row r="390" spans="1:16" ht="16.5" customHeight="1" x14ac:dyDescent="0.25">
      <c r="A390" s="124" t="s">
        <v>167</v>
      </c>
      <c r="B390" s="118" t="e">
        <f>SUM(B360,B378,B385)</f>
        <v>#N/A</v>
      </c>
      <c r="C390" s="118" t="s">
        <v>169</v>
      </c>
      <c r="D390" s="132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  <c r="O390" s="132"/>
      <c r="P390" s="133"/>
    </row>
    <row r="391" spans="1:16" ht="16.5" customHeight="1" thickBot="1" x14ac:dyDescent="0.3">
      <c r="A391" s="134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6"/>
    </row>
    <row r="392" spans="1:16" ht="15.75" customHeight="1" thickTop="1" thickBot="1" x14ac:dyDescent="0.3">
      <c r="A392" s="137"/>
      <c r="B392" s="137"/>
      <c r="C392" s="137"/>
      <c r="D392" s="137"/>
      <c r="E392" s="137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</row>
    <row r="393" spans="1:16" ht="15" customHeight="1" thickTop="1" thickBot="1" x14ac:dyDescent="0.3">
      <c r="A393" s="93"/>
      <c r="B393" s="299"/>
      <c r="C393" s="299"/>
      <c r="D393" s="299"/>
      <c r="E393" s="299"/>
      <c r="F393" s="299"/>
      <c r="G393" s="299"/>
      <c r="H393" s="299"/>
      <c r="I393" s="299"/>
      <c r="J393" s="299"/>
      <c r="K393" s="299"/>
      <c r="L393" s="299"/>
      <c r="M393" s="299"/>
      <c r="N393" s="299"/>
      <c r="O393" s="299"/>
      <c r="P393" s="94"/>
    </row>
    <row r="394" spans="1:16" ht="17.25" customHeight="1" thickTop="1" thickBot="1" x14ac:dyDescent="0.35">
      <c r="A394" s="97" t="s">
        <v>166</v>
      </c>
      <c r="B394" s="92">
        <v>6</v>
      </c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6"/>
    </row>
    <row r="395" spans="1:16" ht="15.75" customHeight="1" thickTop="1" x14ac:dyDescent="0.25">
      <c r="A395" s="343" t="s">
        <v>168</v>
      </c>
      <c r="B395" s="343"/>
      <c r="C395" s="343"/>
      <c r="D395" s="343"/>
      <c r="E395" s="299"/>
      <c r="F395" s="299"/>
      <c r="G395" s="299"/>
      <c r="H395" s="299"/>
      <c r="I395" s="299"/>
      <c r="J395" s="299"/>
      <c r="K395" s="299"/>
      <c r="L395" s="299"/>
      <c r="M395" s="299"/>
      <c r="N395" s="299"/>
      <c r="O395" s="299"/>
      <c r="P395" s="94"/>
    </row>
    <row r="396" spans="1:16" ht="15" customHeight="1" x14ac:dyDescent="0.25">
      <c r="A396" s="95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6"/>
    </row>
    <row r="397" spans="1:16" ht="15" customHeight="1" x14ac:dyDescent="0.25">
      <c r="A397" s="103" t="s">
        <v>170</v>
      </c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6"/>
    </row>
    <row r="398" spans="1:16" ht="15" customHeight="1" x14ac:dyDescent="0.25">
      <c r="A398" s="95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6"/>
    </row>
    <row r="399" spans="1:16" ht="15.75" customHeight="1" thickBot="1" x14ac:dyDescent="0.3">
      <c r="A399" s="95"/>
      <c r="B399" s="104" t="s">
        <v>10</v>
      </c>
      <c r="C399" s="104" t="s">
        <v>171</v>
      </c>
      <c r="D399" s="104" t="s">
        <v>172</v>
      </c>
      <c r="E399" s="104" t="s">
        <v>173</v>
      </c>
      <c r="F399" s="104" t="s">
        <v>174</v>
      </c>
      <c r="G399" s="104" t="s">
        <v>16</v>
      </c>
      <c r="H399" s="105" t="s">
        <v>17</v>
      </c>
      <c r="I399" s="105" t="s">
        <v>175</v>
      </c>
      <c r="J399" s="98"/>
      <c r="K399" s="98"/>
      <c r="L399" s="98"/>
      <c r="M399" s="98"/>
      <c r="N399" s="98"/>
      <c r="O399" s="98"/>
      <c r="P399" s="96"/>
    </row>
    <row r="400" spans="1:16" ht="16.5" customHeight="1" thickTop="1" thickBot="1" x14ac:dyDescent="0.3">
      <c r="A400" s="95"/>
      <c r="B400" s="106" t="s">
        <v>96</v>
      </c>
      <c r="C400" s="107">
        <f>VLOOKUP(B400,'Gebouwgegevens Allacker'!$J$5:$Q$83,3,0)</f>
        <v>3</v>
      </c>
      <c r="D400" s="107" t="str">
        <f>VLOOKUP(B400,'Gebouwgegevens Allacker'!$J$5:$Q$83,4,0)</f>
        <v>Roof</v>
      </c>
      <c r="E400" s="107">
        <f>VLOOKUP(B400,'Gebouwgegevens Allacker'!$J$5:$Q$83,5,0)</f>
        <v>99.627515556697489</v>
      </c>
      <c r="F400" s="107" t="str">
        <f>VLOOKUP(B400,'Gebouwgegevens Allacker'!$J$5:$Q$83,6,0)</f>
        <v>front/back</v>
      </c>
      <c r="G400" s="107">
        <f>VLOOKUP(B400,'Gebouwgegevens Allacker'!$J$5:$Q$83,7,0)</f>
        <v>1.6975498473547073</v>
      </c>
      <c r="H400" s="108">
        <f>VLOOKUP(B400,'Gebouwgegevens Allacker'!$J$5:$Q$83,8,0)</f>
        <v>169.12267382560054</v>
      </c>
      <c r="I400" s="108">
        <v>1</v>
      </c>
      <c r="J400" s="98"/>
      <c r="K400" s="98"/>
      <c r="L400" s="98"/>
      <c r="M400" s="98"/>
      <c r="N400" s="98"/>
      <c r="O400" s="98"/>
      <c r="P400" s="96"/>
    </row>
    <row r="401" spans="1:16" ht="16.5" customHeight="1" thickTop="1" thickBot="1" x14ac:dyDescent="0.3">
      <c r="A401" s="95"/>
      <c r="B401" s="106" t="s">
        <v>98</v>
      </c>
      <c r="C401" s="107">
        <f>VLOOKUP(B401,'Gebouwgegevens Allacker'!$J$5:$Q$83,3,0)</f>
        <v>3</v>
      </c>
      <c r="D401" s="107" t="str">
        <f>VLOOKUP(B401,'Gebouwgegevens Allacker'!$J$5:$Q$83,4,0)</f>
        <v>Floor internal</v>
      </c>
      <c r="E401" s="107">
        <f>VLOOKUP(B401,'Gebouwgegevens Allacker'!$J$5:$Q$83,5,0)</f>
        <v>76.183999999999997</v>
      </c>
      <c r="F401" s="107">
        <f>VLOOKUP(B401,'Gebouwgegevens Allacker'!$J$5:$Q$83,6,0)</f>
        <v>0</v>
      </c>
      <c r="G401" s="107">
        <f>VLOOKUP(B401,'Gebouwgegevens Allacker'!$J$5:$Q$83,7,0)</f>
        <v>2.0895522388059704</v>
      </c>
      <c r="H401" s="108">
        <f>VLOOKUP(B401,'Gebouwgegevens Allacker'!$J$5:$Q$83,8,0)</f>
        <v>159.19044776119404</v>
      </c>
      <c r="I401" s="108">
        <v>1</v>
      </c>
      <c r="J401" s="98"/>
      <c r="K401" s="98"/>
      <c r="L401" s="98"/>
      <c r="M401" s="98"/>
      <c r="N401" s="98"/>
      <c r="O401" s="98"/>
      <c r="P401" s="96"/>
    </row>
    <row r="402" spans="1:16" ht="16.5" customHeight="1" thickTop="1" thickBot="1" x14ac:dyDescent="0.3">
      <c r="A402" s="95"/>
      <c r="B402" s="106" t="s">
        <v>101</v>
      </c>
      <c r="C402" s="107">
        <f>VLOOKUP(B402,'Gebouwgegevens Allacker'!$J$5:$Q$83,3,0)</f>
        <v>2</v>
      </c>
      <c r="D402" s="107" t="str">
        <f>VLOOKUP(B402,'Gebouwgegevens Allacker'!$J$5:$Q$83,4,0)</f>
        <v>Wall internal</v>
      </c>
      <c r="E402" s="107">
        <f>VLOOKUP(B402,'Gebouwgegevens Allacker'!$J$5:$Q$83,5,0)</f>
        <v>140.84</v>
      </c>
      <c r="F402" s="107">
        <f>VLOOKUP(B402,'Gebouwgegevens Allacker'!$J$5:$Q$83,6,0)</f>
        <v>0</v>
      </c>
      <c r="G402" s="107">
        <f>VLOOKUP(B402,'Gebouwgegevens Allacker'!$J$5:$Q$83,7,0)</f>
        <v>1.9926199261992623</v>
      </c>
      <c r="H402" s="108">
        <f>VLOOKUP(B402,'Gebouwgegevens Allacker'!$J$5:$Q$83,8,0)</f>
        <v>280.64059040590411</v>
      </c>
      <c r="I402" s="108">
        <v>1</v>
      </c>
      <c r="J402" s="98"/>
      <c r="K402" s="98"/>
      <c r="L402" s="98"/>
      <c r="M402" s="98"/>
      <c r="N402" s="98"/>
      <c r="O402" s="98"/>
      <c r="P402" s="96"/>
    </row>
    <row r="403" spans="1:16" ht="16.5" customHeight="1" thickTop="1" thickBot="1" x14ac:dyDescent="0.3">
      <c r="A403" s="95"/>
      <c r="B403" s="106"/>
      <c r="C403" s="107"/>
      <c r="D403" s="107"/>
      <c r="E403" s="107"/>
      <c r="F403" s="107"/>
      <c r="G403" s="107"/>
      <c r="H403" s="108"/>
      <c r="I403" s="108"/>
      <c r="J403" s="98"/>
      <c r="K403" s="98"/>
      <c r="L403" s="98"/>
      <c r="M403" s="98"/>
      <c r="N403" s="98"/>
      <c r="O403" s="98"/>
      <c r="P403" s="96"/>
    </row>
    <row r="404" spans="1:16" ht="16.5" customHeight="1" thickTop="1" thickBot="1" x14ac:dyDescent="0.3">
      <c r="A404" s="95"/>
      <c r="B404" s="106"/>
      <c r="C404" s="107"/>
      <c r="D404" s="107"/>
      <c r="E404" s="107"/>
      <c r="F404" s="107"/>
      <c r="G404" s="107"/>
      <c r="H404" s="108"/>
      <c r="I404" s="108"/>
      <c r="J404" s="98"/>
      <c r="K404" s="98"/>
      <c r="L404" s="98"/>
      <c r="M404" s="98"/>
      <c r="N404" s="98"/>
      <c r="O404" s="98"/>
      <c r="P404" s="96"/>
    </row>
    <row r="405" spans="1:16" ht="16.5" customHeight="1" thickTop="1" thickBot="1" x14ac:dyDescent="0.3">
      <c r="A405" s="95"/>
      <c r="B405" s="106"/>
      <c r="C405" s="107"/>
      <c r="D405" s="107"/>
      <c r="E405" s="107"/>
      <c r="F405" s="107"/>
      <c r="G405" s="107"/>
      <c r="H405" s="108"/>
      <c r="I405" s="108"/>
      <c r="J405" s="98"/>
      <c r="K405" s="98"/>
      <c r="L405" s="98"/>
      <c r="M405" s="98"/>
      <c r="N405" s="98"/>
      <c r="O405" s="98"/>
      <c r="P405" s="96"/>
    </row>
    <row r="406" spans="1:16" ht="16.5" customHeight="1" thickTop="1" thickBot="1" x14ac:dyDescent="0.3">
      <c r="A406" s="95"/>
      <c r="B406" s="106"/>
      <c r="C406" s="107"/>
      <c r="D406" s="107"/>
      <c r="E406" s="107"/>
      <c r="F406" s="107"/>
      <c r="G406" s="107"/>
      <c r="H406" s="108"/>
      <c r="I406" s="108"/>
      <c r="J406" s="98"/>
      <c r="K406" s="98"/>
      <c r="L406" s="98"/>
      <c r="M406" s="98"/>
      <c r="N406" s="98"/>
      <c r="O406" s="98"/>
      <c r="P406" s="96"/>
    </row>
    <row r="407" spans="1:16" ht="16.5" customHeight="1" thickTop="1" thickBot="1" x14ac:dyDescent="0.3">
      <c r="A407" s="95"/>
      <c r="B407" s="106"/>
      <c r="C407" s="107"/>
      <c r="D407" s="107"/>
      <c r="E407" s="107"/>
      <c r="F407" s="107"/>
      <c r="G407" s="107"/>
      <c r="H407" s="108"/>
      <c r="I407" s="108"/>
      <c r="J407" s="98"/>
      <c r="K407" s="98"/>
      <c r="L407" s="98"/>
      <c r="M407" s="98"/>
      <c r="N407" s="98"/>
      <c r="O407" s="98"/>
      <c r="P407" s="96"/>
    </row>
    <row r="408" spans="1:16" ht="16.5" customHeight="1" thickTop="1" thickBot="1" x14ac:dyDescent="0.3">
      <c r="A408" s="95"/>
      <c r="B408" s="106"/>
      <c r="C408" s="107"/>
      <c r="D408" s="107"/>
      <c r="E408" s="107"/>
      <c r="F408" s="107"/>
      <c r="G408" s="107"/>
      <c r="H408" s="108"/>
      <c r="I408" s="108"/>
      <c r="J408" s="98"/>
      <c r="K408" s="98"/>
      <c r="L408" s="98"/>
      <c r="M408" s="98"/>
      <c r="N408" s="98"/>
      <c r="O408" s="98"/>
      <c r="P408" s="96"/>
    </row>
    <row r="409" spans="1:16" ht="16.5" customHeight="1" thickTop="1" thickBot="1" x14ac:dyDescent="0.3">
      <c r="A409" s="95"/>
      <c r="B409" s="106"/>
      <c r="C409" s="107"/>
      <c r="D409" s="107"/>
      <c r="E409" s="107"/>
      <c r="F409" s="107"/>
      <c r="G409" s="107"/>
      <c r="H409" s="108"/>
      <c r="I409" s="108"/>
      <c r="J409" s="98"/>
      <c r="K409" s="98"/>
      <c r="L409" s="98"/>
      <c r="M409" s="98"/>
      <c r="N409" s="98"/>
      <c r="O409" s="98"/>
      <c r="P409" s="96"/>
    </row>
    <row r="410" spans="1:16" ht="16.5" customHeight="1" thickTop="1" thickBot="1" x14ac:dyDescent="0.3">
      <c r="A410" s="95"/>
      <c r="B410" s="106"/>
      <c r="C410" s="107"/>
      <c r="D410" s="107"/>
      <c r="E410" s="107"/>
      <c r="F410" s="107"/>
      <c r="G410" s="107"/>
      <c r="H410" s="108"/>
      <c r="I410" s="108"/>
      <c r="J410" s="98"/>
      <c r="K410" s="98"/>
      <c r="L410" s="98"/>
      <c r="M410" s="98"/>
      <c r="N410" s="98"/>
      <c r="O410" s="98"/>
      <c r="P410" s="96"/>
    </row>
    <row r="411" spans="1:16" ht="16.5" customHeight="1" thickTop="1" thickBot="1" x14ac:dyDescent="0.3">
      <c r="A411" s="95"/>
      <c r="B411" s="106"/>
      <c r="C411" s="107"/>
      <c r="D411" s="107"/>
      <c r="E411" s="107"/>
      <c r="F411" s="107"/>
      <c r="G411" s="107"/>
      <c r="H411" s="108"/>
      <c r="I411" s="108"/>
      <c r="J411" s="98"/>
      <c r="K411" s="98"/>
      <c r="L411" s="98"/>
      <c r="M411" s="98"/>
      <c r="N411" s="98"/>
      <c r="O411" s="98"/>
      <c r="P411" s="96"/>
    </row>
    <row r="412" spans="1:16" ht="15.75" customHeight="1" thickTop="1" x14ac:dyDescent="0.25">
      <c r="A412" s="95"/>
      <c r="B412" s="58"/>
      <c r="C412" s="58"/>
      <c r="D412" s="58"/>
      <c r="E412" s="58"/>
      <c r="F412" s="58"/>
      <c r="G412" s="114"/>
      <c r="H412" s="58"/>
      <c r="I412" s="58"/>
      <c r="J412" s="98"/>
      <c r="K412" s="98"/>
      <c r="L412" s="98"/>
      <c r="M412" s="98"/>
      <c r="N412" s="98"/>
      <c r="O412" s="98"/>
      <c r="P412" s="96"/>
    </row>
    <row r="413" spans="1:16" ht="15" customHeight="1" x14ac:dyDescent="0.25">
      <c r="A413" s="95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6"/>
    </row>
    <row r="414" spans="1:16" ht="15" customHeight="1" x14ac:dyDescent="0.25">
      <c r="A414" s="103" t="s">
        <v>177</v>
      </c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6"/>
    </row>
    <row r="415" spans="1:16" ht="15.75" customHeight="1" x14ac:dyDescent="0.25">
      <c r="A415" s="95"/>
      <c r="B415" s="58" t="s">
        <v>10</v>
      </c>
      <c r="C415" s="58" t="s">
        <v>178</v>
      </c>
      <c r="D415" s="58" t="s">
        <v>172</v>
      </c>
      <c r="E415" s="58" t="s">
        <v>179</v>
      </c>
      <c r="F415" s="58" t="s">
        <v>16</v>
      </c>
      <c r="G415" s="114" t="s">
        <v>17</v>
      </c>
      <c r="H415" s="114" t="s">
        <v>175</v>
      </c>
      <c r="I415" s="58" t="s">
        <v>180</v>
      </c>
      <c r="J415" s="58" t="s">
        <v>181</v>
      </c>
      <c r="K415" s="58" t="s">
        <v>182</v>
      </c>
      <c r="L415" s="115" t="s">
        <v>183</v>
      </c>
      <c r="M415" s="115" t="s">
        <v>184</v>
      </c>
      <c r="N415" s="115" t="s">
        <v>185</v>
      </c>
      <c r="O415" s="98"/>
      <c r="P415" s="96"/>
    </row>
    <row r="416" spans="1:16" ht="16.5" customHeight="1" thickBot="1" x14ac:dyDescent="0.3">
      <c r="A416" s="95"/>
      <c r="B416" s="116"/>
      <c r="C416" s="117"/>
      <c r="D416" s="117"/>
      <c r="E416" s="117"/>
      <c r="F416" s="117"/>
      <c r="G416" s="118"/>
      <c r="H416" s="118"/>
      <c r="I416" s="117"/>
      <c r="J416" s="116"/>
      <c r="K416" s="116"/>
      <c r="L416" s="119"/>
      <c r="M416" s="119"/>
      <c r="N416" s="120"/>
      <c r="O416" s="98"/>
      <c r="P416" s="96"/>
    </row>
    <row r="417" spans="1:16" ht="16.5" customHeight="1" thickTop="1" thickBot="1" x14ac:dyDescent="0.3">
      <c r="A417" s="95"/>
      <c r="B417" s="116"/>
      <c r="C417" s="117"/>
      <c r="D417" s="117"/>
      <c r="E417" s="117"/>
      <c r="F417" s="117"/>
      <c r="G417" s="118"/>
      <c r="H417" s="118"/>
      <c r="I417" s="117"/>
      <c r="J417" s="116"/>
      <c r="K417" s="116"/>
      <c r="L417" s="119"/>
      <c r="M417" s="119"/>
      <c r="N417" s="120"/>
      <c r="O417" s="98"/>
      <c r="P417" s="96"/>
    </row>
    <row r="418" spans="1:16" ht="16.5" customHeight="1" thickTop="1" thickBot="1" x14ac:dyDescent="0.3">
      <c r="A418" s="95"/>
      <c r="B418" s="116"/>
      <c r="C418" s="117"/>
      <c r="D418" s="117"/>
      <c r="E418" s="117"/>
      <c r="F418" s="117"/>
      <c r="G418" s="118"/>
      <c r="H418" s="118"/>
      <c r="I418" s="117"/>
      <c r="J418" s="116"/>
      <c r="K418" s="116"/>
      <c r="L418" s="119"/>
      <c r="M418" s="119"/>
      <c r="N418" s="120"/>
      <c r="O418" s="98"/>
      <c r="P418" s="96"/>
    </row>
    <row r="419" spans="1:16" ht="16.5" customHeight="1" thickTop="1" thickBot="1" x14ac:dyDescent="0.3">
      <c r="A419" s="95"/>
      <c r="B419" s="116"/>
      <c r="C419" s="117"/>
      <c r="D419" s="117"/>
      <c r="E419" s="117"/>
      <c r="F419" s="117"/>
      <c r="G419" s="118"/>
      <c r="H419" s="118"/>
      <c r="I419" s="117"/>
      <c r="J419" s="116"/>
      <c r="K419" s="116"/>
      <c r="L419" s="119"/>
      <c r="M419" s="119"/>
      <c r="N419" s="120"/>
      <c r="O419" s="98"/>
      <c r="P419" s="96"/>
    </row>
    <row r="420" spans="1:16" ht="16.5" customHeight="1" thickTop="1" thickBot="1" x14ac:dyDescent="0.3">
      <c r="A420" s="138"/>
      <c r="B420" s="116"/>
      <c r="C420" s="117"/>
      <c r="D420" s="117"/>
      <c r="E420" s="117"/>
      <c r="F420" s="117"/>
      <c r="G420" s="118"/>
      <c r="H420" s="118"/>
      <c r="I420" s="117"/>
      <c r="J420" s="116"/>
      <c r="K420" s="116"/>
      <c r="L420" s="119"/>
      <c r="M420" s="119"/>
      <c r="N420" s="120"/>
      <c r="O420" s="98"/>
      <c r="P420" s="96"/>
    </row>
    <row r="421" spans="1:16" ht="15.75" customHeight="1" thickTop="1" x14ac:dyDescent="0.25">
      <c r="A421" s="95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6"/>
    </row>
    <row r="422" spans="1:16" ht="15" customHeight="1" x14ac:dyDescent="0.25">
      <c r="A422" s="103" t="s">
        <v>186</v>
      </c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6"/>
    </row>
    <row r="423" spans="1:16" ht="15.75" customHeight="1" thickBot="1" x14ac:dyDescent="0.3">
      <c r="A423" s="95"/>
      <c r="B423" s="58" t="s">
        <v>10</v>
      </c>
      <c r="C423" s="58" t="s">
        <v>187</v>
      </c>
      <c r="D423" s="58" t="s">
        <v>188</v>
      </c>
      <c r="E423" s="58" t="s">
        <v>135</v>
      </c>
      <c r="F423" s="58" t="s">
        <v>189</v>
      </c>
      <c r="G423" s="58" t="s">
        <v>190</v>
      </c>
      <c r="H423" s="58" t="s">
        <v>191</v>
      </c>
      <c r="I423" s="58" t="s">
        <v>16</v>
      </c>
      <c r="J423" s="114" t="s">
        <v>17</v>
      </c>
      <c r="K423" s="114" t="s">
        <v>175</v>
      </c>
      <c r="L423" s="98"/>
      <c r="M423" s="98"/>
      <c r="N423" s="98"/>
      <c r="O423" s="98"/>
      <c r="P423" s="96"/>
    </row>
    <row r="424" spans="1:16" ht="16.5" customHeight="1" thickTop="1" thickBot="1" x14ac:dyDescent="0.3">
      <c r="A424" s="95"/>
      <c r="B424" s="116" t="s">
        <v>233</v>
      </c>
      <c r="C424" s="122" t="e">
        <f>IF(VLOOKUP(B424,'Gebouwgegevens Allacker'!$J$5:$Q$83,2,0)=$B$394,VLOOKUP(B424,'Gebouwgegevens Allacker'!$J$5:$Q$83,2,0),VLOOKUP(B424,'Gebouwgegevens Allacker'!$J$5:$Q$83,3,0))</f>
        <v>#N/A</v>
      </c>
      <c r="D424" s="122" t="e">
        <f>IF(VLOOKUP(B424,'Gebouwgegevens Allacker'!$J$5:$Q$83,2,0)=$B$394,VLOOKUP(B424,'Gebouwgegevens Allacker'!$J$5:$Q$83,3,0),VLOOKUP(B424,'Gebouwgegevens Allacker'!$J$5:$Q$83,2,0))</f>
        <v>#N/A</v>
      </c>
      <c r="E424" s="122" t="e">
        <f>VLOOKUP(B424,'Gebouwgegevens Allacker'!$J$5:$Q$83,4,0)</f>
        <v>#N/A</v>
      </c>
      <c r="F424" s="122" t="e">
        <f>VLOOKUP(B424,'Gebouwgegevens Allacker'!$J$5:$Q$83,5,0)</f>
        <v>#N/A</v>
      </c>
      <c r="G424" s="122" t="e">
        <f>VLOOKUP('Verwarming Tabula 2zone Ref 2'!C424,'Gebouwgegevens Allacker'!$A$35:$F$46,5,0)</f>
        <v>#N/A</v>
      </c>
      <c r="H424" s="122" t="e">
        <f>VLOOKUP('Verwarming Tabula 2zone Ref 2'!D424,'Gebouwgegevens Allacker'!$A$35:$F$46,5,0)</f>
        <v>#N/A</v>
      </c>
      <c r="I424" s="122" t="e">
        <f>VLOOKUP(B424,'Gebouwgegevens Allacker'!$J$5:$Q$83,7,0)</f>
        <v>#N/A</v>
      </c>
      <c r="J424" s="118" t="e">
        <f>VLOOKUP(B424,'Gebouwgegevens Allacker'!$J$5:$Q$83,8,0)</f>
        <v>#N/A</v>
      </c>
      <c r="K424" s="118" t="e">
        <f>(G424-H424)/(G424-$B$4)</f>
        <v>#N/A</v>
      </c>
      <c r="L424" s="98"/>
      <c r="M424" s="98"/>
      <c r="N424" s="98"/>
      <c r="O424" s="98"/>
      <c r="P424" s="96"/>
    </row>
    <row r="425" spans="1:16" ht="16.5" customHeight="1" thickTop="1" thickBot="1" x14ac:dyDescent="0.3">
      <c r="A425" s="95"/>
      <c r="B425" s="116" t="s">
        <v>237</v>
      </c>
      <c r="C425" s="122" t="e">
        <f>IF(VLOOKUP(B425,'Gebouwgegevens Allacker'!$J$5:$Q$83,2,0)=$B$394,VLOOKUP(B425,'Gebouwgegevens Allacker'!$J$5:$Q$83,2,0),VLOOKUP(B425,'Gebouwgegevens Allacker'!$J$5:$Q$83,3,0))</f>
        <v>#N/A</v>
      </c>
      <c r="D425" s="122" t="e">
        <f>IF(VLOOKUP(B425,'Gebouwgegevens Allacker'!$J$5:$Q$83,2,0)=$B$394,VLOOKUP(B425,'Gebouwgegevens Allacker'!$J$5:$Q$83,3,0),VLOOKUP(B425,'Gebouwgegevens Allacker'!$J$5:$Q$83,2,0))</f>
        <v>#N/A</v>
      </c>
      <c r="E425" s="122" t="e">
        <f>VLOOKUP(B425,'Gebouwgegevens Allacker'!$J$5:$Q$83,4,0)</f>
        <v>#N/A</v>
      </c>
      <c r="F425" s="122" t="e">
        <f>VLOOKUP(B425,'Gebouwgegevens Allacker'!$J$5:$Q$83,5,0)</f>
        <v>#N/A</v>
      </c>
      <c r="G425" s="122" t="e">
        <f>VLOOKUP('Verwarming Tabula 2zone Ref 2'!C425,'Gebouwgegevens Allacker'!$A$35:$F$46,5,0)</f>
        <v>#N/A</v>
      </c>
      <c r="H425" s="122" t="e">
        <f>VLOOKUP('Verwarming Tabula 2zone Ref 2'!D425,'Gebouwgegevens Allacker'!$A$35:$F$46,5,0)</f>
        <v>#N/A</v>
      </c>
      <c r="I425" s="122" t="e">
        <f>VLOOKUP(B425,'Gebouwgegevens Allacker'!$J$5:$Q$83,7,0)</f>
        <v>#N/A</v>
      </c>
      <c r="J425" s="118" t="e">
        <f>VLOOKUP(B425,'Gebouwgegevens Allacker'!$J$5:$Q$83,8,0)</f>
        <v>#N/A</v>
      </c>
      <c r="K425" s="118" t="e">
        <f>(G425-H425)/(G425-$B$4)</f>
        <v>#N/A</v>
      </c>
      <c r="L425" s="98"/>
      <c r="M425" s="98"/>
      <c r="N425" s="98"/>
      <c r="O425" s="98"/>
      <c r="P425" s="96"/>
    </row>
    <row r="426" spans="1:16" ht="16.5" customHeight="1" thickTop="1" thickBot="1" x14ac:dyDescent="0.3">
      <c r="A426" s="95"/>
      <c r="B426" s="116" t="s">
        <v>238</v>
      </c>
      <c r="C426" s="122" t="e">
        <f>IF(VLOOKUP(B426,'Gebouwgegevens Allacker'!$J$5:$Q$83,2,0)=$B$394,VLOOKUP(B426,'Gebouwgegevens Allacker'!$J$5:$Q$83,2,0),VLOOKUP(B426,'Gebouwgegevens Allacker'!$J$5:$Q$83,3,0))</f>
        <v>#N/A</v>
      </c>
      <c r="D426" s="122" t="e">
        <f>IF(VLOOKUP(B426,'Gebouwgegevens Allacker'!$J$5:$Q$83,2,0)=$B$394,VLOOKUP(B426,'Gebouwgegevens Allacker'!$J$5:$Q$83,3,0),VLOOKUP(B426,'Gebouwgegevens Allacker'!$J$5:$Q$83,2,0))</f>
        <v>#N/A</v>
      </c>
      <c r="E426" s="122" t="e">
        <f>VLOOKUP(B426,'Gebouwgegevens Allacker'!$J$5:$Q$83,4,0)</f>
        <v>#N/A</v>
      </c>
      <c r="F426" s="122" t="e">
        <f>VLOOKUP(B426,'Gebouwgegevens Allacker'!$J$5:$Q$83,5,0)</f>
        <v>#N/A</v>
      </c>
      <c r="G426" s="122" t="e">
        <f>VLOOKUP('Verwarming Tabula 2zone Ref 2'!C426,'Gebouwgegevens Allacker'!$A$35:$F$46,5,0)</f>
        <v>#N/A</v>
      </c>
      <c r="H426" s="122" t="e">
        <f>VLOOKUP('Verwarming Tabula 2zone Ref 2'!D426,'Gebouwgegevens Allacker'!$A$35:$F$46,5,0)</f>
        <v>#N/A</v>
      </c>
      <c r="I426" s="122" t="e">
        <f>VLOOKUP(B426,'Gebouwgegevens Allacker'!$J$5:$Q$83,7,0)</f>
        <v>#N/A</v>
      </c>
      <c r="J426" s="118" t="e">
        <f>VLOOKUP(B426,'Gebouwgegevens Allacker'!$J$5:$Q$83,8,0)</f>
        <v>#N/A</v>
      </c>
      <c r="K426" s="118" t="e">
        <f>(G426-H426)/(G426-$B$4)</f>
        <v>#N/A</v>
      </c>
      <c r="L426" s="98"/>
      <c r="M426" s="98"/>
      <c r="N426" s="98"/>
      <c r="O426" s="98"/>
      <c r="P426" s="96"/>
    </row>
    <row r="427" spans="1:16" ht="16.5" customHeight="1" thickTop="1" thickBot="1" x14ac:dyDescent="0.3">
      <c r="A427" s="95"/>
      <c r="B427" s="116" t="s">
        <v>239</v>
      </c>
      <c r="C427" s="122" t="e">
        <f>IF(VLOOKUP(B427,'Gebouwgegevens Allacker'!$J$5:$Q$83,2,0)=$B$394,VLOOKUP(B427,'Gebouwgegevens Allacker'!$J$5:$Q$83,2,0),VLOOKUP(B427,'Gebouwgegevens Allacker'!$J$5:$Q$83,3,0))</f>
        <v>#N/A</v>
      </c>
      <c r="D427" s="122" t="e">
        <f>IF(VLOOKUP(B427,'Gebouwgegevens Allacker'!$J$5:$Q$83,2,0)=$B$394,VLOOKUP(B427,'Gebouwgegevens Allacker'!$J$5:$Q$83,3,0),VLOOKUP(B427,'Gebouwgegevens Allacker'!$J$5:$Q$83,2,0))</f>
        <v>#N/A</v>
      </c>
      <c r="E427" s="122" t="e">
        <f>VLOOKUP(B427,'Gebouwgegevens Allacker'!$J$5:$Q$83,4,0)</f>
        <v>#N/A</v>
      </c>
      <c r="F427" s="122" t="e">
        <f>VLOOKUP(B427,'Gebouwgegevens Allacker'!$J$5:$Q$83,5,0)</f>
        <v>#N/A</v>
      </c>
      <c r="G427" s="122" t="e">
        <f>VLOOKUP('Verwarming Tabula 2zone Ref 2'!C427,'Gebouwgegevens Allacker'!$A$35:$F$46,5,0)</f>
        <v>#N/A</v>
      </c>
      <c r="H427" s="122" t="e">
        <f>VLOOKUP('Verwarming Tabula 2zone Ref 2'!D427,'Gebouwgegevens Allacker'!$A$35:$F$46,5,0)</f>
        <v>#N/A</v>
      </c>
      <c r="I427" s="122" t="e">
        <f>VLOOKUP(B427,'Gebouwgegevens Allacker'!$J$5:$Q$83,7,0)</f>
        <v>#N/A</v>
      </c>
      <c r="J427" s="118" t="e">
        <f>VLOOKUP(B427,'Gebouwgegevens Allacker'!$J$5:$Q$83,8,0)</f>
        <v>#N/A</v>
      </c>
      <c r="K427" s="118" t="e">
        <f>(G427-H427)/(G427-$B$4)</f>
        <v>#N/A</v>
      </c>
      <c r="L427" s="98"/>
      <c r="M427" s="98"/>
      <c r="N427" s="98"/>
      <c r="O427" s="98"/>
      <c r="P427" s="96"/>
    </row>
    <row r="428" spans="1:16" ht="16.5" customHeight="1" thickTop="1" thickBot="1" x14ac:dyDescent="0.3">
      <c r="A428" s="95"/>
      <c r="B428" s="145" t="s">
        <v>240</v>
      </c>
      <c r="C428" s="122" t="e">
        <f>IF(VLOOKUP(B428,'Gebouwgegevens Allacker'!$J$5:$Q$83,2,0)=$B$394,VLOOKUP(B428,'Gebouwgegevens Allacker'!$J$5:$Q$83,2,0),VLOOKUP(B428,'Gebouwgegevens Allacker'!$J$5:$Q$83,3,0))</f>
        <v>#N/A</v>
      </c>
      <c r="D428" s="122" t="e">
        <f>IF(VLOOKUP(B428,'Gebouwgegevens Allacker'!$J$5:$Q$83,2,0)=$B$394,VLOOKUP(B428,'Gebouwgegevens Allacker'!$J$5:$Q$83,3,0),VLOOKUP(B428,'Gebouwgegevens Allacker'!$J$5:$Q$83,2,0))</f>
        <v>#N/A</v>
      </c>
      <c r="E428" s="122" t="e">
        <f>VLOOKUP(B428,'Gebouwgegevens Allacker'!$J$5:$Q$83,4,0)</f>
        <v>#N/A</v>
      </c>
      <c r="F428" s="122" t="e">
        <f>VLOOKUP(B428,'Gebouwgegevens Allacker'!$J$5:$Q$83,5,0)</f>
        <v>#N/A</v>
      </c>
      <c r="G428" s="122" t="e">
        <f>VLOOKUP('Verwarming Tabula 2zone Ref 2'!C428,'Gebouwgegevens Allacker'!$A$35:$F$46,5,0)</f>
        <v>#N/A</v>
      </c>
      <c r="H428" s="122" t="e">
        <f>VLOOKUP('Verwarming Tabula 2zone Ref 2'!D428,'Gebouwgegevens Allacker'!$A$35:$F$46,5,0)</f>
        <v>#N/A</v>
      </c>
      <c r="I428" s="122" t="e">
        <f>VLOOKUP(B428,'Gebouwgegevens Allacker'!$J$5:$Q$83,7,0)</f>
        <v>#N/A</v>
      </c>
      <c r="J428" s="118" t="e">
        <f>VLOOKUP(B428,'Gebouwgegevens Allacker'!$J$5:$Q$83,8,0)</f>
        <v>#N/A</v>
      </c>
      <c r="K428" s="118" t="e">
        <f>(G428-H428)/(G428-$B$4)</f>
        <v>#N/A</v>
      </c>
      <c r="L428" s="98"/>
      <c r="M428" s="98"/>
      <c r="N428" s="98"/>
      <c r="O428" s="98"/>
      <c r="P428" s="96"/>
    </row>
    <row r="429" spans="1:16" ht="16.5" customHeight="1" thickTop="1" thickBot="1" x14ac:dyDescent="0.3">
      <c r="A429" s="95"/>
      <c r="B429" s="123"/>
      <c r="C429" s="139"/>
      <c r="D429" s="122"/>
      <c r="E429" s="122"/>
      <c r="F429" s="122"/>
      <c r="G429" s="122"/>
      <c r="H429" s="122"/>
      <c r="I429" s="122"/>
      <c r="J429" s="118"/>
      <c r="K429" s="118"/>
      <c r="L429" s="98"/>
      <c r="M429" s="98"/>
      <c r="N429" s="98"/>
      <c r="O429" s="98"/>
      <c r="P429" s="96"/>
    </row>
    <row r="430" spans="1:16" ht="16.5" customHeight="1" thickTop="1" thickBot="1" x14ac:dyDescent="0.3">
      <c r="A430" s="95"/>
      <c r="B430" s="123"/>
      <c r="C430" s="139"/>
      <c r="D430" s="122"/>
      <c r="E430" s="122"/>
      <c r="F430" s="122"/>
      <c r="G430" s="122"/>
      <c r="H430" s="122"/>
      <c r="I430" s="122"/>
      <c r="J430" s="118"/>
      <c r="K430" s="118"/>
      <c r="L430" s="98"/>
      <c r="M430" s="98"/>
      <c r="N430" s="98"/>
      <c r="O430" s="98"/>
      <c r="P430" s="96"/>
    </row>
    <row r="431" spans="1:16" ht="16.5" customHeight="1" thickTop="1" thickBot="1" x14ac:dyDescent="0.3">
      <c r="A431" s="95"/>
      <c r="B431" s="123"/>
      <c r="C431" s="139"/>
      <c r="D431" s="122"/>
      <c r="E431" s="122"/>
      <c r="F431" s="122"/>
      <c r="G431" s="122"/>
      <c r="H431" s="122"/>
      <c r="I431" s="122"/>
      <c r="J431" s="118"/>
      <c r="K431" s="118"/>
      <c r="L431" s="98"/>
      <c r="M431" s="98"/>
      <c r="N431" s="98"/>
      <c r="O431" s="98"/>
      <c r="P431" s="96"/>
    </row>
    <row r="432" spans="1:16" ht="16.5" customHeight="1" thickTop="1" thickBot="1" x14ac:dyDescent="0.3">
      <c r="A432" s="95"/>
      <c r="B432" s="123"/>
      <c r="C432" s="139"/>
      <c r="D432" s="122"/>
      <c r="E432" s="122"/>
      <c r="F432" s="122"/>
      <c r="G432" s="122"/>
      <c r="H432" s="122"/>
      <c r="I432" s="122"/>
      <c r="J432" s="118"/>
      <c r="K432" s="118"/>
      <c r="L432" s="98"/>
      <c r="M432" s="98"/>
      <c r="N432" s="98"/>
      <c r="O432" s="98"/>
      <c r="P432" s="96"/>
    </row>
    <row r="433" spans="1:16" ht="16.5" customHeight="1" thickTop="1" thickBot="1" x14ac:dyDescent="0.3">
      <c r="A433" s="95"/>
      <c r="B433" s="123"/>
      <c r="C433" s="139"/>
      <c r="D433" s="122"/>
      <c r="E433" s="122"/>
      <c r="F433" s="122"/>
      <c r="G433" s="122"/>
      <c r="H433" s="122"/>
      <c r="I433" s="122"/>
      <c r="J433" s="118"/>
      <c r="K433" s="118"/>
      <c r="L433" s="98"/>
      <c r="M433" s="98"/>
      <c r="N433" s="98"/>
      <c r="O433" s="98"/>
      <c r="P433" s="96"/>
    </row>
    <row r="434" spans="1:16" ht="15.75" customHeight="1" thickTop="1" x14ac:dyDescent="0.25">
      <c r="A434" s="95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8"/>
      <c r="M434" s="98"/>
      <c r="N434" s="98"/>
      <c r="O434" s="98"/>
      <c r="P434" s="96"/>
    </row>
    <row r="435" spans="1:16" ht="15" customHeight="1" x14ac:dyDescent="0.25">
      <c r="A435" s="95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6"/>
    </row>
    <row r="436" spans="1:16" ht="15.75" customHeight="1" x14ac:dyDescent="0.25">
      <c r="A436" s="103" t="s">
        <v>192</v>
      </c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6"/>
    </row>
    <row r="437" spans="1:16" ht="16.5" customHeight="1" x14ac:dyDescent="0.25">
      <c r="A437" s="124" t="s">
        <v>193</v>
      </c>
      <c r="B437" s="118" t="e">
        <f>SUMPRODUCT(H400:H411,I400:I411)+SUMPRODUCT(G416:G420,H416:H420)+SUMPRODUCT(J424:J433,K424:K433)</f>
        <v>#N/A</v>
      </c>
      <c r="C437" s="118" t="s">
        <v>107</v>
      </c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6"/>
    </row>
    <row r="438" spans="1:16" ht="16.5" customHeight="1" x14ac:dyDescent="0.25">
      <c r="A438" s="124" t="s">
        <v>167</v>
      </c>
      <c r="B438" s="118" t="e">
        <f>B437*(G424-$B$4)</f>
        <v>#N/A</v>
      </c>
      <c r="C438" s="118" t="s">
        <v>169</v>
      </c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6"/>
    </row>
    <row r="439" spans="1:16" ht="15.75" customHeight="1" thickBot="1" x14ac:dyDescent="0.3">
      <c r="A439" s="109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1"/>
    </row>
    <row r="440" spans="1:16" ht="15.75" customHeight="1" thickTop="1" x14ac:dyDescent="0.25">
      <c r="A440" s="343" t="s">
        <v>194</v>
      </c>
      <c r="B440" s="343"/>
      <c r="C440" s="343"/>
      <c r="D440" s="125" t="s">
        <v>222</v>
      </c>
      <c r="E440" s="299"/>
      <c r="F440" s="299"/>
      <c r="G440" s="299"/>
      <c r="H440" s="299"/>
      <c r="I440" s="299"/>
      <c r="J440" s="299"/>
      <c r="K440" s="299"/>
      <c r="L440" s="299"/>
      <c r="M440" s="299"/>
      <c r="N440" s="299"/>
      <c r="O440" s="299"/>
      <c r="P440" s="94"/>
    </row>
    <row r="441" spans="1:16" ht="15" customHeight="1" x14ac:dyDescent="0.25">
      <c r="A441" s="95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6"/>
    </row>
    <row r="442" spans="1:16" ht="15" customHeight="1" thickBot="1" x14ac:dyDescent="0.3">
      <c r="A442" s="126" t="s">
        <v>195</v>
      </c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6"/>
    </row>
    <row r="443" spans="1:16" ht="15" customHeight="1" thickTop="1" thickBot="1" x14ac:dyDescent="0.3">
      <c r="A443" s="127" t="s">
        <v>196</v>
      </c>
      <c r="B443" s="121">
        <v>8</v>
      </c>
      <c r="C443" s="120" t="s">
        <v>197</v>
      </c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6"/>
    </row>
    <row r="444" spans="1:16" ht="15" customHeight="1" thickTop="1" thickBot="1" x14ac:dyDescent="0.3">
      <c r="A444" s="127" t="s">
        <v>198</v>
      </c>
      <c r="B444" s="121">
        <v>0.03</v>
      </c>
      <c r="C444" s="120" t="s">
        <v>199</v>
      </c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6"/>
    </row>
    <row r="445" spans="1:16" ht="15.75" customHeight="1" thickTop="1" thickBot="1" x14ac:dyDescent="0.3">
      <c r="A445" s="127" t="s">
        <v>200</v>
      </c>
      <c r="B445" s="121">
        <v>1</v>
      </c>
      <c r="C445" s="120" t="s">
        <v>201</v>
      </c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6"/>
    </row>
    <row r="446" spans="1:16" ht="16.5" customHeight="1" thickTop="1" x14ac:dyDescent="0.25">
      <c r="A446" s="124" t="s">
        <v>202</v>
      </c>
      <c r="B446" s="118" t="e">
        <f>2*VLOOKUP(B394,'Gebouwgegevens Allacker'!$A$35:$F$46,6,0)*B443*B444*B445</f>
        <v>#N/A</v>
      </c>
      <c r="C446" s="118" t="s">
        <v>203</v>
      </c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6"/>
    </row>
    <row r="447" spans="1:16" ht="15.75" customHeight="1" x14ac:dyDescent="0.25">
      <c r="A447" s="95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6"/>
    </row>
    <row r="448" spans="1:16" ht="15" customHeight="1" x14ac:dyDescent="0.25">
      <c r="A448" s="126" t="s">
        <v>204</v>
      </c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6"/>
    </row>
    <row r="449" spans="1:16" ht="15.75" customHeight="1" x14ac:dyDescent="0.25">
      <c r="A449" s="95" t="s">
        <v>180</v>
      </c>
      <c r="B449" s="98" t="e">
        <f>VLOOKUP(B394,'Gebouwgegevens Allacker'!$A$35:$F$46,6,0)</f>
        <v>#N/A</v>
      </c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6"/>
    </row>
    <row r="450" spans="1:16" ht="16.5" customHeight="1" x14ac:dyDescent="0.25">
      <c r="A450" s="124" t="s">
        <v>205</v>
      </c>
      <c r="B450" s="128" t="e">
        <f>B449*3.6</f>
        <v>#N/A</v>
      </c>
      <c r="C450" s="118" t="s">
        <v>203</v>
      </c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6"/>
    </row>
    <row r="451" spans="1:16" ht="15.75" customHeight="1" x14ac:dyDescent="0.25">
      <c r="A451" s="138"/>
      <c r="B451" s="58"/>
      <c r="C451" s="5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6"/>
    </row>
    <row r="452" spans="1:16" ht="15.75" customHeight="1" x14ac:dyDescent="0.25">
      <c r="A452" s="138"/>
      <c r="B452" s="58"/>
      <c r="C452" s="5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6"/>
    </row>
    <row r="453" spans="1:16" ht="16.5" customHeight="1" x14ac:dyDescent="0.25">
      <c r="A453" s="124" t="s">
        <v>207</v>
      </c>
      <c r="B453" s="118" t="e">
        <f>MAX(B446,B450)</f>
        <v>#N/A</v>
      </c>
      <c r="C453" s="118" t="s">
        <v>203</v>
      </c>
      <c r="D453" s="98"/>
      <c r="E453" s="98"/>
      <c r="F453" s="118" t="s">
        <v>208</v>
      </c>
      <c r="G453" s="118" t="e">
        <f>B453/VLOOKUP(B394,'Gebouwgegevens Allacker'!$A$35:$B$46,2,0)</f>
        <v>#N/A</v>
      </c>
      <c r="H453" s="98"/>
      <c r="I453" s="98"/>
      <c r="J453" s="98"/>
      <c r="K453" s="98"/>
      <c r="L453" s="98"/>
      <c r="M453" s="98"/>
      <c r="N453" s="98"/>
      <c r="O453" s="98"/>
      <c r="P453" s="96"/>
    </row>
    <row r="454" spans="1:16" ht="16.5" customHeight="1" x14ac:dyDescent="0.25">
      <c r="A454" s="138"/>
      <c r="B454" s="58"/>
      <c r="C454" s="5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6"/>
    </row>
    <row r="455" spans="1:16" ht="16.5" customHeight="1" x14ac:dyDescent="0.25">
      <c r="A455" s="124" t="s">
        <v>209</v>
      </c>
      <c r="B455" s="118" t="e">
        <f>0.34*B453</f>
        <v>#N/A</v>
      </c>
      <c r="C455" s="118" t="s">
        <v>107</v>
      </c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6"/>
    </row>
    <row r="456" spans="1:16" ht="16.5" customHeight="1" x14ac:dyDescent="0.25">
      <c r="A456" s="124" t="s">
        <v>167</v>
      </c>
      <c r="B456" s="118" t="e">
        <f>B455*('Gebouwgegevens Allacker'!E416-$B$4)</f>
        <v>#N/A</v>
      </c>
      <c r="C456" s="118" t="s">
        <v>169</v>
      </c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6"/>
    </row>
    <row r="457" spans="1:16" ht="15.75" customHeight="1" thickBot="1" x14ac:dyDescent="0.3">
      <c r="A457" s="140"/>
      <c r="B457" s="141"/>
      <c r="C457" s="141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1"/>
    </row>
    <row r="458" spans="1:16" ht="15.75" customHeight="1" thickTop="1" x14ac:dyDescent="0.25">
      <c r="A458" s="343" t="s">
        <v>210</v>
      </c>
      <c r="B458" s="343"/>
      <c r="C458" s="343"/>
      <c r="D458" s="343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6"/>
    </row>
    <row r="459" spans="1:16" ht="15" customHeight="1" thickBot="1" x14ac:dyDescent="0.3">
      <c r="A459" s="95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6"/>
    </row>
    <row r="460" spans="1:16" ht="15" customHeight="1" thickTop="1" thickBot="1" x14ac:dyDescent="0.3">
      <c r="A460" s="127" t="s">
        <v>211</v>
      </c>
      <c r="B460" s="121">
        <v>22</v>
      </c>
      <c r="C460" s="58" t="s">
        <v>232</v>
      </c>
      <c r="D460" s="5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6"/>
    </row>
    <row r="461" spans="1:16" ht="15.75" customHeight="1" thickTop="1" x14ac:dyDescent="0.25">
      <c r="A461" s="3" t="s">
        <v>113</v>
      </c>
      <c r="B461" s="58" t="e">
        <f>VLOOKUP(B394,'Gebouwgegevens Allacker'!$A$35:$F$46,6,0)</f>
        <v>#N/A</v>
      </c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6"/>
    </row>
    <row r="462" spans="1:16" ht="16.5" customHeight="1" x14ac:dyDescent="0.25">
      <c r="A462" s="124" t="s">
        <v>213</v>
      </c>
      <c r="B462" s="118" t="e">
        <f>B463/('Gebouwgegevens Allacker'!E416-'Verwarming Tabula 2zone Ref 2'!$B$4)</f>
        <v>#N/A</v>
      </c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6"/>
    </row>
    <row r="463" spans="1:16" ht="16.5" customHeight="1" x14ac:dyDescent="0.25">
      <c r="A463" s="124" t="s">
        <v>167</v>
      </c>
      <c r="B463" s="118" t="e">
        <f>B460*B461</f>
        <v>#N/A</v>
      </c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6"/>
    </row>
    <row r="464" spans="1:16" ht="15.75" customHeight="1" x14ac:dyDescent="0.25">
      <c r="A464" s="95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6"/>
    </row>
    <row r="465" spans="1:16" ht="15.75" customHeight="1" thickBot="1" x14ac:dyDescent="0.3">
      <c r="A465" s="95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6"/>
    </row>
    <row r="466" spans="1:16" ht="15.75" customHeight="1" thickTop="1" thickBot="1" x14ac:dyDescent="0.3">
      <c r="A466" s="129" t="s">
        <v>214</v>
      </c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1"/>
    </row>
    <row r="467" spans="1:16" ht="16.5" customHeight="1" thickTop="1" x14ac:dyDescent="0.25">
      <c r="A467" s="124" t="s">
        <v>215</v>
      </c>
      <c r="B467" s="118" t="e">
        <f>SUM(B437,B455,B462)</f>
        <v>#N/A</v>
      </c>
      <c r="C467" s="118" t="s">
        <v>107</v>
      </c>
      <c r="D467" s="132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  <c r="O467" s="132"/>
      <c r="P467" s="133"/>
    </row>
    <row r="468" spans="1:16" ht="16.5" customHeight="1" x14ac:dyDescent="0.25">
      <c r="A468" s="124" t="s">
        <v>167</v>
      </c>
      <c r="B468" s="118" t="e">
        <f>SUM(B438,B456,B463)</f>
        <v>#N/A</v>
      </c>
      <c r="C468" s="118" t="s">
        <v>169</v>
      </c>
      <c r="D468" s="132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  <c r="O468" s="132"/>
      <c r="P468" s="133"/>
    </row>
    <row r="469" spans="1:16" ht="16.5" customHeight="1" thickBot="1" x14ac:dyDescent="0.3">
      <c r="A469" s="134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6"/>
    </row>
    <row r="470" spans="1:16" ht="15.75" customHeight="1" thickTop="1" thickBot="1" x14ac:dyDescent="0.3">
      <c r="A470" s="137"/>
      <c r="B470" s="137"/>
      <c r="C470" s="137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</row>
    <row r="471" spans="1:16" ht="15" customHeight="1" thickTop="1" thickBot="1" x14ac:dyDescent="0.3">
      <c r="A471" s="93"/>
      <c r="B471" s="299"/>
      <c r="C471" s="299"/>
      <c r="D471" s="299"/>
      <c r="E471" s="299"/>
      <c r="F471" s="299"/>
      <c r="G471" s="299"/>
      <c r="H471" s="299"/>
      <c r="I471" s="299"/>
      <c r="J471" s="299"/>
      <c r="K471" s="299"/>
      <c r="L471" s="299"/>
      <c r="M471" s="299"/>
      <c r="N471" s="299"/>
      <c r="O471" s="299"/>
      <c r="P471" s="94"/>
    </row>
    <row r="472" spans="1:16" ht="17.25" customHeight="1" thickTop="1" thickBot="1" x14ac:dyDescent="0.35">
      <c r="A472" s="97" t="s">
        <v>166</v>
      </c>
      <c r="B472" s="92">
        <v>7</v>
      </c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6"/>
    </row>
    <row r="473" spans="1:16" ht="15.75" customHeight="1" thickTop="1" x14ac:dyDescent="0.25">
      <c r="A473" s="343" t="s">
        <v>168</v>
      </c>
      <c r="B473" s="343"/>
      <c r="C473" s="343"/>
      <c r="D473" s="343"/>
      <c r="E473" s="299"/>
      <c r="F473" s="299"/>
      <c r="G473" s="299"/>
      <c r="H473" s="299"/>
      <c r="I473" s="299"/>
      <c r="J473" s="299"/>
      <c r="K473" s="299"/>
      <c r="L473" s="299"/>
      <c r="M473" s="299"/>
      <c r="N473" s="299"/>
      <c r="O473" s="299"/>
      <c r="P473" s="94"/>
    </row>
    <row r="474" spans="1:16" ht="15" customHeight="1" x14ac:dyDescent="0.25">
      <c r="A474" s="95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6"/>
    </row>
    <row r="475" spans="1:16" ht="15" customHeight="1" x14ac:dyDescent="0.25">
      <c r="A475" s="103" t="s">
        <v>170</v>
      </c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6"/>
    </row>
    <row r="476" spans="1:16" ht="15" customHeight="1" x14ac:dyDescent="0.25">
      <c r="A476" s="95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6"/>
    </row>
    <row r="477" spans="1:16" ht="15.75" customHeight="1" thickBot="1" x14ac:dyDescent="0.3">
      <c r="A477" s="95"/>
      <c r="B477" s="104" t="s">
        <v>10</v>
      </c>
      <c r="C477" s="104" t="s">
        <v>171</v>
      </c>
      <c r="D477" s="104" t="s">
        <v>172</v>
      </c>
      <c r="E477" s="104" t="s">
        <v>173</v>
      </c>
      <c r="F477" s="104" t="s">
        <v>174</v>
      </c>
      <c r="G477" s="104" t="s">
        <v>16</v>
      </c>
      <c r="H477" s="105" t="s">
        <v>17</v>
      </c>
      <c r="I477" s="105" t="s">
        <v>175</v>
      </c>
      <c r="J477" s="98"/>
      <c r="K477" s="98"/>
      <c r="L477" s="98"/>
      <c r="M477" s="98"/>
      <c r="N477" s="98"/>
      <c r="O477" s="98"/>
      <c r="P477" s="96"/>
    </row>
    <row r="478" spans="1:16" ht="16.5" customHeight="1" thickTop="1" thickBot="1" x14ac:dyDescent="0.3">
      <c r="A478" s="95"/>
      <c r="B478" s="106" t="s">
        <v>102</v>
      </c>
      <c r="C478" s="107">
        <f>VLOOKUP(B478,'Gebouwgegevens Allacker'!$J$5:$Q$83,3,0)</f>
        <v>2</v>
      </c>
      <c r="D478" s="107" t="str">
        <f>VLOOKUP(B478,'Gebouwgegevens Allacker'!$J$5:$Q$83,4,0)</f>
        <v>Wall internal</v>
      </c>
      <c r="E478" s="107">
        <f>VLOOKUP(B478,'Gebouwgegevens Allacker'!$J$5:$Q$83,5,0)</f>
        <v>14.24</v>
      </c>
      <c r="F478" s="107">
        <f>VLOOKUP(B478,'Gebouwgegevens Allacker'!$J$5:$Q$83,6,0)</f>
        <v>0</v>
      </c>
      <c r="G478" s="107">
        <f>VLOOKUP(B478,'Gebouwgegevens Allacker'!$J$5:$Q$83,7,0)</f>
        <v>1.9926199261992623</v>
      </c>
      <c r="H478" s="108">
        <f>VLOOKUP(B478,'Gebouwgegevens Allacker'!$J$5:$Q$83,8,0)</f>
        <v>28.374907749077497</v>
      </c>
      <c r="I478" s="108">
        <v>1</v>
      </c>
      <c r="J478" s="98"/>
      <c r="K478" s="98"/>
      <c r="L478" s="98"/>
      <c r="M478" s="98"/>
      <c r="N478" s="98"/>
      <c r="O478" s="98"/>
      <c r="P478" s="96"/>
    </row>
    <row r="479" spans="1:16" ht="16.5" customHeight="1" thickTop="1" thickBot="1" x14ac:dyDescent="0.3">
      <c r="A479" s="95"/>
      <c r="B479" s="106" t="s">
        <v>102</v>
      </c>
      <c r="C479" s="107">
        <f>VLOOKUP(B479,'Gebouwgegevens Allacker'!$J$5:$Q$83,3,0)</f>
        <v>2</v>
      </c>
      <c r="D479" s="107" t="str">
        <f>VLOOKUP(B479,'Gebouwgegevens Allacker'!$J$5:$Q$83,4,0)</f>
        <v>Wall internal</v>
      </c>
      <c r="E479" s="107">
        <f>VLOOKUP(B479,'Gebouwgegevens Allacker'!$J$5:$Q$83,5,0)</f>
        <v>14.24</v>
      </c>
      <c r="F479" s="107">
        <f>VLOOKUP(B479,'Gebouwgegevens Allacker'!$J$5:$Q$83,6,0)</f>
        <v>0</v>
      </c>
      <c r="G479" s="107">
        <f>VLOOKUP(B479,'Gebouwgegevens Allacker'!$J$5:$Q$83,7,0)</f>
        <v>1.9926199261992623</v>
      </c>
      <c r="H479" s="108">
        <f>VLOOKUP(B479,'Gebouwgegevens Allacker'!$J$5:$Q$83,8,0)</f>
        <v>28.374907749077497</v>
      </c>
      <c r="I479" s="108">
        <v>1</v>
      </c>
      <c r="J479" s="98"/>
      <c r="K479" s="98"/>
      <c r="L479" s="98"/>
      <c r="M479" s="98"/>
      <c r="N479" s="98"/>
      <c r="O479" s="98"/>
      <c r="P479" s="96"/>
    </row>
    <row r="480" spans="1:16" ht="16.5" customHeight="1" thickTop="1" thickBot="1" x14ac:dyDescent="0.3">
      <c r="A480" s="95"/>
      <c r="B480" s="106" t="s">
        <v>241</v>
      </c>
      <c r="C480" s="107" t="e">
        <f>VLOOKUP(B480,'Gebouwgegevens Allacker'!$J$5:$Q$83,3,0)</f>
        <v>#N/A</v>
      </c>
      <c r="D480" s="107" t="e">
        <f>VLOOKUP(B480,'Gebouwgegevens Allacker'!$J$5:$Q$83,4,0)</f>
        <v>#N/A</v>
      </c>
      <c r="E480" s="107" t="e">
        <f>VLOOKUP(B480,'Gebouwgegevens Allacker'!$J$5:$Q$83,5,0)</f>
        <v>#N/A</v>
      </c>
      <c r="F480" s="107" t="e">
        <f>VLOOKUP(B480,'Gebouwgegevens Allacker'!$J$5:$Q$83,6,0)</f>
        <v>#N/A</v>
      </c>
      <c r="G480" s="107" t="e">
        <f>VLOOKUP(B480,'Gebouwgegevens Allacker'!$J$5:$Q$83,7,0)</f>
        <v>#N/A</v>
      </c>
      <c r="H480" s="108" t="e">
        <f>VLOOKUP(B480,'Gebouwgegevens Allacker'!$J$5:$Q$83,8,0)</f>
        <v>#N/A</v>
      </c>
      <c r="I480" s="108">
        <v>1</v>
      </c>
      <c r="J480" s="98"/>
      <c r="K480" s="98"/>
      <c r="L480" s="98"/>
      <c r="M480" s="98"/>
      <c r="N480" s="98"/>
      <c r="O480" s="98"/>
      <c r="P480" s="96"/>
    </row>
    <row r="481" spans="1:16" ht="16.5" customHeight="1" thickTop="1" thickBot="1" x14ac:dyDescent="0.3">
      <c r="A481" s="95"/>
      <c r="B481" s="106" t="s">
        <v>242</v>
      </c>
      <c r="C481" s="107" t="e">
        <f>VLOOKUP(B481,'Gebouwgegevens Allacker'!$J$5:$Q$83,3,0)</f>
        <v>#N/A</v>
      </c>
      <c r="D481" s="107" t="e">
        <f>VLOOKUP(B481,'Gebouwgegevens Allacker'!$J$5:$Q$83,4,0)</f>
        <v>#N/A</v>
      </c>
      <c r="E481" s="107" t="e">
        <f>VLOOKUP(B481,'Gebouwgegevens Allacker'!$J$5:$Q$83,5,0)</f>
        <v>#N/A</v>
      </c>
      <c r="F481" s="107" t="e">
        <f>VLOOKUP(B481,'Gebouwgegevens Allacker'!$J$5:$Q$83,6,0)</f>
        <v>#N/A</v>
      </c>
      <c r="G481" s="107" t="e">
        <f>VLOOKUP(B481,'Gebouwgegevens Allacker'!$J$5:$Q$83,7,0)</f>
        <v>#N/A</v>
      </c>
      <c r="H481" s="108" t="e">
        <f>VLOOKUP(B481,'Gebouwgegevens Allacker'!$J$5:$Q$83,8,0)</f>
        <v>#N/A</v>
      </c>
      <c r="I481" s="108">
        <v>1</v>
      </c>
      <c r="J481" s="98"/>
      <c r="K481" s="98"/>
      <c r="L481" s="98"/>
      <c r="M481" s="98"/>
      <c r="N481" s="98"/>
      <c r="O481" s="98"/>
      <c r="P481" s="96"/>
    </row>
    <row r="482" spans="1:16" ht="16.5" customHeight="1" thickTop="1" thickBot="1" x14ac:dyDescent="0.3">
      <c r="A482" s="95"/>
      <c r="B482" s="106" t="s">
        <v>243</v>
      </c>
      <c r="C482" s="107" t="e">
        <f>VLOOKUP(B482,'Gebouwgegevens Allacker'!$J$5:$Q$83,3,0)</f>
        <v>#N/A</v>
      </c>
      <c r="D482" s="107" t="e">
        <f>VLOOKUP(B482,'Gebouwgegevens Allacker'!$J$5:$Q$83,4,0)</f>
        <v>#N/A</v>
      </c>
      <c r="E482" s="107" t="e">
        <f>VLOOKUP(B482,'Gebouwgegevens Allacker'!$J$5:$Q$83,5,0)</f>
        <v>#N/A</v>
      </c>
      <c r="F482" s="107" t="e">
        <f>VLOOKUP(B482,'Gebouwgegevens Allacker'!$J$5:$Q$83,6,0)</f>
        <v>#N/A</v>
      </c>
      <c r="G482" s="107" t="e">
        <f>VLOOKUP(B482,'Gebouwgegevens Allacker'!$J$5:$Q$83,7,0)</f>
        <v>#N/A</v>
      </c>
      <c r="H482" s="108" t="e">
        <f>VLOOKUP(B482,'Gebouwgegevens Allacker'!$J$5:$Q$83,8,0)</f>
        <v>#N/A</v>
      </c>
      <c r="I482" s="108">
        <v>1</v>
      </c>
      <c r="J482" s="98"/>
      <c r="K482" s="98"/>
      <c r="L482" s="98"/>
      <c r="M482" s="98"/>
      <c r="N482" s="98"/>
      <c r="O482" s="98"/>
      <c r="P482" s="96"/>
    </row>
    <row r="483" spans="1:16" ht="16.5" customHeight="1" thickTop="1" thickBot="1" x14ac:dyDescent="0.3">
      <c r="A483" s="95"/>
      <c r="B483" s="106" t="s">
        <v>244</v>
      </c>
      <c r="C483" s="107" t="e">
        <f>VLOOKUP(B483,'Gebouwgegevens Allacker'!$J$5:$Q$83,3,0)</f>
        <v>#N/A</v>
      </c>
      <c r="D483" s="107" t="e">
        <f>VLOOKUP(B483,'Gebouwgegevens Allacker'!$J$5:$Q$83,4,0)</f>
        <v>#N/A</v>
      </c>
      <c r="E483" s="107" t="e">
        <f>VLOOKUP(B483,'Gebouwgegevens Allacker'!$J$5:$Q$83,5,0)</f>
        <v>#N/A</v>
      </c>
      <c r="F483" s="107" t="e">
        <f>VLOOKUP(B483,'Gebouwgegevens Allacker'!$J$5:$Q$83,6,0)</f>
        <v>#N/A</v>
      </c>
      <c r="G483" s="107" t="e">
        <f>VLOOKUP(B483,'Gebouwgegevens Allacker'!$J$5:$Q$83,7,0)</f>
        <v>#N/A</v>
      </c>
      <c r="H483" s="108" t="e">
        <f>VLOOKUP(B483,'Gebouwgegevens Allacker'!$J$5:$Q$83,8,0)</f>
        <v>#N/A</v>
      </c>
      <c r="I483" s="108">
        <v>1</v>
      </c>
      <c r="J483" s="98"/>
      <c r="K483" s="98"/>
      <c r="L483" s="98"/>
      <c r="M483" s="98"/>
      <c r="N483" s="98"/>
      <c r="O483" s="98"/>
      <c r="P483" s="96"/>
    </row>
    <row r="484" spans="1:16" ht="16.5" customHeight="1" thickTop="1" thickBot="1" x14ac:dyDescent="0.3">
      <c r="A484" s="95"/>
      <c r="B484" s="106"/>
      <c r="C484" s="107"/>
      <c r="D484" s="107"/>
      <c r="E484" s="107"/>
      <c r="F484" s="107"/>
      <c r="G484" s="107"/>
      <c r="H484" s="108"/>
      <c r="I484" s="108"/>
      <c r="J484" s="98"/>
      <c r="K484" s="98"/>
      <c r="L484" s="98"/>
      <c r="M484" s="98"/>
      <c r="N484" s="98"/>
      <c r="O484" s="98"/>
      <c r="P484" s="96"/>
    </row>
    <row r="485" spans="1:16" ht="16.5" customHeight="1" thickTop="1" thickBot="1" x14ac:dyDescent="0.3">
      <c r="A485" s="95"/>
      <c r="B485" s="106"/>
      <c r="C485" s="107"/>
      <c r="D485" s="107"/>
      <c r="E485" s="107"/>
      <c r="F485" s="107"/>
      <c r="G485" s="107"/>
      <c r="H485" s="108"/>
      <c r="I485" s="108"/>
      <c r="J485" s="98"/>
      <c r="K485" s="98"/>
      <c r="L485" s="98"/>
      <c r="M485" s="98"/>
      <c r="N485" s="98"/>
      <c r="O485" s="98"/>
      <c r="P485" s="96"/>
    </row>
    <row r="486" spans="1:16" ht="16.5" customHeight="1" thickTop="1" thickBot="1" x14ac:dyDescent="0.3">
      <c r="A486" s="95"/>
      <c r="B486" s="106"/>
      <c r="C486" s="107"/>
      <c r="D486" s="107"/>
      <c r="E486" s="107"/>
      <c r="F486" s="107"/>
      <c r="G486" s="107"/>
      <c r="H486" s="108"/>
      <c r="I486" s="108"/>
      <c r="J486" s="98"/>
      <c r="K486" s="98"/>
      <c r="L486" s="98"/>
      <c r="M486" s="98"/>
      <c r="N486" s="98"/>
      <c r="O486" s="98"/>
      <c r="P486" s="96"/>
    </row>
    <row r="487" spans="1:16" ht="16.5" customHeight="1" thickTop="1" thickBot="1" x14ac:dyDescent="0.3">
      <c r="A487" s="95"/>
      <c r="B487" s="106"/>
      <c r="C487" s="107"/>
      <c r="D487" s="107"/>
      <c r="E487" s="107"/>
      <c r="F487" s="107"/>
      <c r="G487" s="107"/>
      <c r="H487" s="108"/>
      <c r="I487" s="108"/>
      <c r="J487" s="98"/>
      <c r="K487" s="98"/>
      <c r="L487" s="98"/>
      <c r="M487" s="98"/>
      <c r="N487" s="98"/>
      <c r="O487" s="98"/>
      <c r="P487" s="96"/>
    </row>
    <row r="488" spans="1:16" ht="16.5" customHeight="1" thickTop="1" thickBot="1" x14ac:dyDescent="0.3">
      <c r="A488" s="95"/>
      <c r="B488" s="106"/>
      <c r="C488" s="107"/>
      <c r="D488" s="107"/>
      <c r="E488" s="107"/>
      <c r="F488" s="107"/>
      <c r="G488" s="107"/>
      <c r="H488" s="108"/>
      <c r="I488" s="108"/>
      <c r="J488" s="98"/>
      <c r="K488" s="98"/>
      <c r="L488" s="98"/>
      <c r="M488" s="98"/>
      <c r="N488" s="98"/>
      <c r="O488" s="98"/>
      <c r="P488" s="96"/>
    </row>
    <row r="489" spans="1:16" ht="16.5" customHeight="1" thickTop="1" thickBot="1" x14ac:dyDescent="0.3">
      <c r="A489" s="95"/>
      <c r="B489" s="106"/>
      <c r="C489" s="107"/>
      <c r="D489" s="107"/>
      <c r="E489" s="107"/>
      <c r="F489" s="107"/>
      <c r="G489" s="107"/>
      <c r="H489" s="108"/>
      <c r="I489" s="108"/>
      <c r="J489" s="98"/>
      <c r="K489" s="98"/>
      <c r="L489" s="98"/>
      <c r="M489" s="98"/>
      <c r="N489" s="98"/>
      <c r="O489" s="98"/>
      <c r="P489" s="96"/>
    </row>
    <row r="490" spans="1:16" ht="15.75" customHeight="1" thickTop="1" x14ac:dyDescent="0.25">
      <c r="A490" s="95"/>
      <c r="B490" s="58"/>
      <c r="C490" s="58"/>
      <c r="D490" s="58"/>
      <c r="E490" s="58"/>
      <c r="F490" s="58"/>
      <c r="G490" s="114"/>
      <c r="H490" s="58"/>
      <c r="I490" s="58"/>
      <c r="J490" s="98"/>
      <c r="K490" s="98"/>
      <c r="L490" s="98"/>
      <c r="M490" s="98"/>
      <c r="N490" s="98"/>
      <c r="O490" s="98"/>
      <c r="P490" s="96"/>
    </row>
    <row r="491" spans="1:16" ht="15" customHeight="1" x14ac:dyDescent="0.25">
      <c r="A491" s="95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6"/>
    </row>
    <row r="492" spans="1:16" ht="15" customHeight="1" x14ac:dyDescent="0.25">
      <c r="A492" s="103" t="s">
        <v>177</v>
      </c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6"/>
    </row>
    <row r="493" spans="1:16" ht="15.75" customHeight="1" x14ac:dyDescent="0.25">
      <c r="A493" s="95"/>
      <c r="B493" s="58" t="s">
        <v>10</v>
      </c>
      <c r="C493" s="58" t="s">
        <v>178</v>
      </c>
      <c r="D493" s="58" t="s">
        <v>172</v>
      </c>
      <c r="E493" s="58" t="s">
        <v>179</v>
      </c>
      <c r="F493" s="58" t="s">
        <v>16</v>
      </c>
      <c r="G493" s="114" t="s">
        <v>17</v>
      </c>
      <c r="H493" s="114" t="s">
        <v>175</v>
      </c>
      <c r="I493" s="58" t="s">
        <v>180</v>
      </c>
      <c r="J493" s="58" t="s">
        <v>181</v>
      </c>
      <c r="K493" s="58" t="s">
        <v>182</v>
      </c>
      <c r="L493" s="115" t="s">
        <v>183</v>
      </c>
      <c r="M493" s="115" t="s">
        <v>184</v>
      </c>
      <c r="N493" s="115" t="s">
        <v>185</v>
      </c>
      <c r="O493" s="98"/>
      <c r="P493" s="96"/>
    </row>
    <row r="494" spans="1:16" ht="16.5" customHeight="1" thickBot="1" x14ac:dyDescent="0.3">
      <c r="A494" s="95"/>
      <c r="B494" s="116"/>
      <c r="C494" s="117"/>
      <c r="D494" s="117"/>
      <c r="E494" s="117"/>
      <c r="F494" s="117"/>
      <c r="G494" s="118"/>
      <c r="H494" s="118"/>
      <c r="I494" s="117"/>
      <c r="J494" s="116"/>
      <c r="K494" s="116"/>
      <c r="L494" s="119"/>
      <c r="M494" s="119"/>
      <c r="N494" s="120"/>
      <c r="O494" s="98"/>
      <c r="P494" s="96"/>
    </row>
    <row r="495" spans="1:16" ht="16.5" customHeight="1" thickTop="1" thickBot="1" x14ac:dyDescent="0.3">
      <c r="A495" s="95"/>
      <c r="B495" s="116"/>
      <c r="C495" s="117"/>
      <c r="D495" s="117"/>
      <c r="E495" s="117"/>
      <c r="F495" s="117"/>
      <c r="G495" s="118"/>
      <c r="H495" s="118"/>
      <c r="I495" s="117"/>
      <c r="J495" s="116"/>
      <c r="K495" s="116"/>
      <c r="L495" s="119"/>
      <c r="M495" s="119"/>
      <c r="N495" s="120"/>
      <c r="O495" s="98"/>
      <c r="P495" s="96"/>
    </row>
    <row r="496" spans="1:16" ht="16.5" customHeight="1" thickTop="1" thickBot="1" x14ac:dyDescent="0.3">
      <c r="A496" s="95"/>
      <c r="B496" s="116"/>
      <c r="C496" s="117"/>
      <c r="D496" s="117"/>
      <c r="E496" s="117"/>
      <c r="F496" s="117"/>
      <c r="G496" s="118"/>
      <c r="H496" s="118"/>
      <c r="I496" s="117"/>
      <c r="J496" s="116"/>
      <c r="K496" s="116"/>
      <c r="L496" s="119"/>
      <c r="M496" s="119"/>
      <c r="N496" s="120"/>
      <c r="O496" s="98"/>
      <c r="P496" s="96"/>
    </row>
    <row r="497" spans="1:16" ht="16.5" customHeight="1" thickTop="1" thickBot="1" x14ac:dyDescent="0.3">
      <c r="A497" s="95"/>
      <c r="B497" s="116"/>
      <c r="C497" s="117"/>
      <c r="D497" s="117"/>
      <c r="E497" s="117"/>
      <c r="F497" s="117"/>
      <c r="G497" s="118"/>
      <c r="H497" s="118"/>
      <c r="I497" s="117"/>
      <c r="J497" s="116"/>
      <c r="K497" s="116"/>
      <c r="L497" s="119"/>
      <c r="M497" s="119"/>
      <c r="N497" s="120"/>
      <c r="O497" s="98"/>
      <c r="P497" s="96"/>
    </row>
    <row r="498" spans="1:16" ht="16.5" customHeight="1" thickTop="1" thickBot="1" x14ac:dyDescent="0.3">
      <c r="A498" s="138"/>
      <c r="B498" s="116"/>
      <c r="C498" s="117"/>
      <c r="D498" s="117"/>
      <c r="E498" s="117"/>
      <c r="F498" s="117"/>
      <c r="G498" s="118"/>
      <c r="H498" s="118"/>
      <c r="I498" s="117"/>
      <c r="J498" s="116"/>
      <c r="K498" s="116"/>
      <c r="L498" s="119"/>
      <c r="M498" s="119"/>
      <c r="N498" s="120"/>
      <c r="O498" s="98"/>
      <c r="P498" s="96"/>
    </row>
    <row r="499" spans="1:16" ht="15.75" customHeight="1" thickTop="1" x14ac:dyDescent="0.25">
      <c r="A499" s="95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6"/>
    </row>
    <row r="500" spans="1:16" ht="15" customHeight="1" x14ac:dyDescent="0.25">
      <c r="A500" s="103" t="s">
        <v>186</v>
      </c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6"/>
    </row>
    <row r="501" spans="1:16" ht="15.75" customHeight="1" thickBot="1" x14ac:dyDescent="0.3">
      <c r="A501" s="95"/>
      <c r="B501" s="58" t="s">
        <v>10</v>
      </c>
      <c r="C501" s="58" t="s">
        <v>187</v>
      </c>
      <c r="D501" s="58" t="s">
        <v>188</v>
      </c>
      <c r="E501" s="58" t="s">
        <v>135</v>
      </c>
      <c r="F501" s="58" t="s">
        <v>189</v>
      </c>
      <c r="G501" s="58" t="s">
        <v>190</v>
      </c>
      <c r="H501" s="58" t="s">
        <v>191</v>
      </c>
      <c r="I501" s="58" t="s">
        <v>16</v>
      </c>
      <c r="J501" s="114" t="s">
        <v>17</v>
      </c>
      <c r="K501" s="114" t="s">
        <v>175</v>
      </c>
      <c r="L501" s="98"/>
      <c r="M501" s="98"/>
      <c r="N501" s="98"/>
      <c r="O501" s="98"/>
      <c r="P501" s="96"/>
    </row>
    <row r="502" spans="1:16" ht="16.5" customHeight="1" thickTop="1" thickBot="1" x14ac:dyDescent="0.3">
      <c r="A502" s="95"/>
      <c r="B502" s="116" t="s">
        <v>237</v>
      </c>
      <c r="C502" s="122" t="e">
        <f>IF(VLOOKUP(B502,'Gebouwgegevens Allacker'!$J$5:$Q$83,2,0)=$B$472,VLOOKUP(B502,'Gebouwgegevens Allacker'!$J$5:$Q$83,2,0),VLOOKUP(B502,'Gebouwgegevens Allacker'!$J$5:$Q$83,3,0))</f>
        <v>#N/A</v>
      </c>
      <c r="D502" s="122" t="e">
        <f>IF(VLOOKUP(B502,'Gebouwgegevens Allacker'!$J$5:$Q$83,2,0)=$B$472,VLOOKUP(B502,'Gebouwgegevens Allacker'!$J$5:$Q$83,3,0),VLOOKUP(B502,'Gebouwgegevens Allacker'!$J$5:$Q$83,2,0))</f>
        <v>#N/A</v>
      </c>
      <c r="E502" s="122" t="e">
        <f>VLOOKUP(B502,'Gebouwgegevens Allacker'!$J$5:$Q$83,4,0)</f>
        <v>#N/A</v>
      </c>
      <c r="F502" s="122" t="e">
        <f>VLOOKUP(B502,'Gebouwgegevens Allacker'!$J$5:$Q$83,5,0)</f>
        <v>#N/A</v>
      </c>
      <c r="G502" s="122" t="e">
        <f>VLOOKUP('Verwarming Tabula 2zone Ref 2'!C502,'Gebouwgegevens Allacker'!$A$35:$F$46,5,0)</f>
        <v>#N/A</v>
      </c>
      <c r="H502" s="122" t="e">
        <f>VLOOKUP('Verwarming Tabula 2zone Ref 2'!D502,'Gebouwgegevens Allacker'!$A$35:$F$46,5,0)</f>
        <v>#N/A</v>
      </c>
      <c r="I502" s="122" t="e">
        <f>VLOOKUP(B502,'Gebouwgegevens Allacker'!$J$5:$Q$83,7,0)</f>
        <v>#N/A</v>
      </c>
      <c r="J502" s="118" t="e">
        <f>VLOOKUP(B502,'Gebouwgegevens Allacker'!$J$5:$Q$83,8,0)</f>
        <v>#N/A</v>
      </c>
      <c r="K502" s="118" t="e">
        <f>(G502-H502)/(G502-$B$4)</f>
        <v>#N/A</v>
      </c>
      <c r="L502" s="98"/>
      <c r="M502" s="98"/>
      <c r="N502" s="98"/>
      <c r="O502" s="98"/>
      <c r="P502" s="96"/>
    </row>
    <row r="503" spans="1:16" ht="16.5" customHeight="1" thickTop="1" thickBot="1" x14ac:dyDescent="0.3">
      <c r="A503" s="95"/>
      <c r="B503" s="116" t="s">
        <v>221</v>
      </c>
      <c r="C503" s="122" t="e">
        <f>IF(VLOOKUP(B503,'Gebouwgegevens Allacker'!$J$5:$Q$83,2,0)=$B$472,VLOOKUP(B503,'Gebouwgegevens Allacker'!$J$5:$Q$83,2,0),VLOOKUP(B503,'Gebouwgegevens Allacker'!$J$5:$Q$83,3,0))</f>
        <v>#N/A</v>
      </c>
      <c r="D503" s="122" t="e">
        <f>IF(VLOOKUP(B503,'Gebouwgegevens Allacker'!$J$5:$Q$83,2,0)=$B$472,VLOOKUP(B503,'Gebouwgegevens Allacker'!$J$5:$Q$83,3,0),VLOOKUP(B503,'Gebouwgegevens Allacker'!$J$5:$Q$83,2,0))</f>
        <v>#N/A</v>
      </c>
      <c r="E503" s="122" t="e">
        <f>VLOOKUP(B503,'Gebouwgegevens Allacker'!$J$5:$Q$83,4,0)</f>
        <v>#N/A</v>
      </c>
      <c r="F503" s="122" t="e">
        <f>VLOOKUP(B503,'Gebouwgegevens Allacker'!$J$5:$Q$83,5,0)</f>
        <v>#N/A</v>
      </c>
      <c r="G503" s="122" t="e">
        <f>VLOOKUP('Verwarming Tabula 2zone Ref 2'!C503,'Gebouwgegevens Allacker'!$A$35:$F$46,5,0)</f>
        <v>#N/A</v>
      </c>
      <c r="H503" s="122" t="e">
        <f>VLOOKUP('Verwarming Tabula 2zone Ref 2'!D503,'Gebouwgegevens Allacker'!$A$35:$F$46,5,0)</f>
        <v>#N/A</v>
      </c>
      <c r="I503" s="122" t="e">
        <f>VLOOKUP(B503,'Gebouwgegevens Allacker'!$J$5:$Q$83,7,0)</f>
        <v>#N/A</v>
      </c>
      <c r="J503" s="118" t="e">
        <f>VLOOKUP(B503,'Gebouwgegevens Allacker'!$J$5:$Q$83,8,0)</f>
        <v>#N/A</v>
      </c>
      <c r="K503" s="118" t="e">
        <f>(G503-H503)/(G503-$B$4)</f>
        <v>#N/A</v>
      </c>
      <c r="L503" s="98"/>
      <c r="M503" s="98"/>
      <c r="N503" s="98"/>
      <c r="O503" s="98"/>
      <c r="P503" s="96"/>
    </row>
    <row r="504" spans="1:16" ht="16.5" customHeight="1" thickTop="1" thickBot="1" x14ac:dyDescent="0.3">
      <c r="A504" s="95"/>
      <c r="B504" s="116" t="s">
        <v>245</v>
      </c>
      <c r="C504" s="122" t="e">
        <f>IF(VLOOKUP(B504,'Gebouwgegevens Allacker'!$J$5:$Q$83,2,0)=$B$472,VLOOKUP(B504,'Gebouwgegevens Allacker'!$J$5:$Q$83,2,0),VLOOKUP(B504,'Gebouwgegevens Allacker'!$J$5:$Q$83,3,0))</f>
        <v>#N/A</v>
      </c>
      <c r="D504" s="122" t="e">
        <f>IF(VLOOKUP(B504,'Gebouwgegevens Allacker'!$J$5:$Q$83,2,0)=$B$472,VLOOKUP(B504,'Gebouwgegevens Allacker'!$J$5:$Q$83,3,0),VLOOKUP(B504,'Gebouwgegevens Allacker'!$J$5:$Q$83,2,0))</f>
        <v>#N/A</v>
      </c>
      <c r="E504" s="122" t="e">
        <f>VLOOKUP(B504,'Gebouwgegevens Allacker'!$J$5:$Q$83,4,0)</f>
        <v>#N/A</v>
      </c>
      <c r="F504" s="122" t="e">
        <f>VLOOKUP(B504,'Gebouwgegevens Allacker'!$J$5:$Q$83,5,0)</f>
        <v>#N/A</v>
      </c>
      <c r="G504" s="122" t="e">
        <f>VLOOKUP('Verwarming Tabula 2zone Ref 2'!C504,'Gebouwgegevens Allacker'!$A$35:$F$46,5,0)</f>
        <v>#N/A</v>
      </c>
      <c r="H504" s="122" t="e">
        <f>VLOOKUP('Verwarming Tabula 2zone Ref 2'!D504,'Gebouwgegevens Allacker'!$A$35:$F$46,5,0)</f>
        <v>#N/A</v>
      </c>
      <c r="I504" s="122" t="e">
        <f>VLOOKUP(B504,'Gebouwgegevens Allacker'!$J$5:$Q$83,7,0)</f>
        <v>#N/A</v>
      </c>
      <c r="J504" s="118" t="e">
        <f>VLOOKUP(B504,'Gebouwgegevens Allacker'!$J$5:$Q$83,8,0)</f>
        <v>#N/A</v>
      </c>
      <c r="K504" s="118" t="e">
        <f>(G504-H504)/(G504-$B$4)</f>
        <v>#N/A</v>
      </c>
      <c r="L504" s="98"/>
      <c r="M504" s="98"/>
      <c r="N504" s="98"/>
      <c r="O504" s="98"/>
      <c r="P504" s="96"/>
    </row>
    <row r="505" spans="1:16" ht="16.5" customHeight="1" thickTop="1" thickBot="1" x14ac:dyDescent="0.3">
      <c r="A505" s="95"/>
      <c r="B505" s="116"/>
      <c r="C505" s="122"/>
      <c r="D505" s="122"/>
      <c r="E505" s="122"/>
      <c r="F505" s="122"/>
      <c r="G505" s="122"/>
      <c r="H505" s="122"/>
      <c r="I505" s="122"/>
      <c r="J505" s="118"/>
      <c r="K505" s="118"/>
      <c r="L505" s="98"/>
      <c r="M505" s="98"/>
      <c r="N505" s="98"/>
      <c r="O505" s="98"/>
      <c r="P505" s="96"/>
    </row>
    <row r="506" spans="1:16" ht="16.5" customHeight="1" thickTop="1" thickBot="1" x14ac:dyDescent="0.3">
      <c r="A506" s="95"/>
      <c r="B506" s="145"/>
      <c r="C506" s="122"/>
      <c r="D506" s="122"/>
      <c r="E506" s="122"/>
      <c r="F506" s="122"/>
      <c r="G506" s="122"/>
      <c r="H506" s="122"/>
      <c r="I506" s="122"/>
      <c r="J506" s="118"/>
      <c r="K506" s="118"/>
      <c r="L506" s="98"/>
      <c r="M506" s="98"/>
      <c r="N506" s="98"/>
      <c r="O506" s="98"/>
      <c r="P506" s="96"/>
    </row>
    <row r="507" spans="1:16" ht="16.5" customHeight="1" thickTop="1" thickBot="1" x14ac:dyDescent="0.3">
      <c r="A507" s="95"/>
      <c r="B507" s="123"/>
      <c r="C507" s="139"/>
      <c r="D507" s="122"/>
      <c r="E507" s="122"/>
      <c r="F507" s="122"/>
      <c r="G507" s="122"/>
      <c r="H507" s="122"/>
      <c r="I507" s="122"/>
      <c r="J507" s="118"/>
      <c r="K507" s="118"/>
      <c r="L507" s="98"/>
      <c r="M507" s="98"/>
      <c r="N507" s="98"/>
      <c r="O507" s="98"/>
      <c r="P507" s="96"/>
    </row>
    <row r="508" spans="1:16" ht="16.5" customHeight="1" thickTop="1" thickBot="1" x14ac:dyDescent="0.3">
      <c r="A508" s="95"/>
      <c r="B508" s="123"/>
      <c r="C508" s="139"/>
      <c r="D508" s="122"/>
      <c r="E508" s="122"/>
      <c r="F508" s="122"/>
      <c r="G508" s="122"/>
      <c r="H508" s="122"/>
      <c r="I508" s="122"/>
      <c r="J508" s="118"/>
      <c r="K508" s="118"/>
      <c r="L508" s="98"/>
      <c r="M508" s="98"/>
      <c r="N508" s="98"/>
      <c r="O508" s="98"/>
      <c r="P508" s="96"/>
    </row>
    <row r="509" spans="1:16" ht="16.5" customHeight="1" thickTop="1" thickBot="1" x14ac:dyDescent="0.3">
      <c r="A509" s="95"/>
      <c r="B509" s="123"/>
      <c r="C509" s="139"/>
      <c r="D509" s="122"/>
      <c r="E509" s="122"/>
      <c r="F509" s="122"/>
      <c r="G509" s="122"/>
      <c r="H509" s="122"/>
      <c r="I509" s="122"/>
      <c r="J509" s="118"/>
      <c r="K509" s="118"/>
      <c r="L509" s="98"/>
      <c r="M509" s="98"/>
      <c r="N509" s="98"/>
      <c r="O509" s="98"/>
      <c r="P509" s="96"/>
    </row>
    <row r="510" spans="1:16" ht="16.5" customHeight="1" thickTop="1" thickBot="1" x14ac:dyDescent="0.3">
      <c r="A510" s="95"/>
      <c r="B510" s="123"/>
      <c r="C510" s="139"/>
      <c r="D510" s="122"/>
      <c r="E510" s="122"/>
      <c r="F510" s="122"/>
      <c r="G510" s="122"/>
      <c r="H510" s="122"/>
      <c r="I510" s="122"/>
      <c r="J510" s="118"/>
      <c r="K510" s="118"/>
      <c r="L510" s="98"/>
      <c r="M510" s="98"/>
      <c r="N510" s="98"/>
      <c r="O510" s="98"/>
      <c r="P510" s="96"/>
    </row>
    <row r="511" spans="1:16" ht="16.5" customHeight="1" thickTop="1" thickBot="1" x14ac:dyDescent="0.3">
      <c r="A511" s="95"/>
      <c r="B511" s="123"/>
      <c r="C511" s="139"/>
      <c r="D511" s="122"/>
      <c r="E511" s="122"/>
      <c r="F511" s="122"/>
      <c r="G511" s="122"/>
      <c r="H511" s="122"/>
      <c r="I511" s="122"/>
      <c r="J511" s="118"/>
      <c r="K511" s="118"/>
      <c r="L511" s="98"/>
      <c r="M511" s="98"/>
      <c r="N511" s="98"/>
      <c r="O511" s="98"/>
      <c r="P511" s="96"/>
    </row>
    <row r="512" spans="1:16" ht="15.75" customHeight="1" thickTop="1" x14ac:dyDescent="0.25">
      <c r="A512" s="95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8"/>
      <c r="M512" s="98"/>
      <c r="N512" s="98"/>
      <c r="O512" s="98"/>
      <c r="P512" s="96"/>
    </row>
    <row r="513" spans="1:16" ht="15" customHeight="1" x14ac:dyDescent="0.25">
      <c r="A513" s="95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6"/>
    </row>
    <row r="514" spans="1:16" ht="15.75" customHeight="1" x14ac:dyDescent="0.25">
      <c r="A514" s="103" t="s">
        <v>192</v>
      </c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6"/>
    </row>
    <row r="515" spans="1:16" ht="16.5" customHeight="1" x14ac:dyDescent="0.25">
      <c r="A515" s="124" t="s">
        <v>193</v>
      </c>
      <c r="B515" s="118" t="e">
        <f>SUMPRODUCT(H478:H489,I478:I489)+SUMPRODUCT(G494:G498,H494:H498)+SUMPRODUCT(J502:J511,K502:K511)</f>
        <v>#N/A</v>
      </c>
      <c r="C515" s="118" t="s">
        <v>107</v>
      </c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6"/>
    </row>
    <row r="516" spans="1:16" ht="16.5" customHeight="1" x14ac:dyDescent="0.25">
      <c r="A516" s="124" t="s">
        <v>167</v>
      </c>
      <c r="B516" s="118" t="e">
        <f>B515*(G502-$B$4)</f>
        <v>#N/A</v>
      </c>
      <c r="C516" s="118" t="s">
        <v>169</v>
      </c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6"/>
    </row>
    <row r="517" spans="1:16" ht="15.75" customHeight="1" thickBot="1" x14ac:dyDescent="0.3">
      <c r="A517" s="109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1"/>
    </row>
    <row r="518" spans="1:16" ht="15.75" customHeight="1" thickTop="1" x14ac:dyDescent="0.25">
      <c r="A518" s="343" t="s">
        <v>194</v>
      </c>
      <c r="B518" s="343"/>
      <c r="C518" s="343"/>
      <c r="D518" s="125" t="s">
        <v>222</v>
      </c>
      <c r="E518" s="299"/>
      <c r="F518" s="299"/>
      <c r="G518" s="299"/>
      <c r="H518" s="299"/>
      <c r="I518" s="299"/>
      <c r="J518" s="299"/>
      <c r="K518" s="299"/>
      <c r="L518" s="299"/>
      <c r="M518" s="299"/>
      <c r="N518" s="299"/>
      <c r="O518" s="299"/>
      <c r="P518" s="94"/>
    </row>
    <row r="519" spans="1:16" ht="15" customHeight="1" x14ac:dyDescent="0.25">
      <c r="A519" s="95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6"/>
    </row>
    <row r="520" spans="1:16" ht="15" customHeight="1" thickBot="1" x14ac:dyDescent="0.3">
      <c r="A520" s="126" t="s">
        <v>195</v>
      </c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6"/>
    </row>
    <row r="521" spans="1:16" ht="15" customHeight="1" thickTop="1" thickBot="1" x14ac:dyDescent="0.3">
      <c r="A521" s="127" t="s">
        <v>196</v>
      </c>
      <c r="B521" s="121">
        <v>8</v>
      </c>
      <c r="C521" s="120" t="s">
        <v>197</v>
      </c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6"/>
    </row>
    <row r="522" spans="1:16" ht="15" customHeight="1" thickTop="1" thickBot="1" x14ac:dyDescent="0.3">
      <c r="A522" s="127" t="s">
        <v>198</v>
      </c>
      <c r="B522" s="121">
        <v>0.03</v>
      </c>
      <c r="C522" s="120" t="s">
        <v>199</v>
      </c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6"/>
    </row>
    <row r="523" spans="1:16" ht="15.75" customHeight="1" thickTop="1" thickBot="1" x14ac:dyDescent="0.3">
      <c r="A523" s="127" t="s">
        <v>200</v>
      </c>
      <c r="B523" s="121">
        <v>1</v>
      </c>
      <c r="C523" s="120" t="s">
        <v>201</v>
      </c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6"/>
    </row>
    <row r="524" spans="1:16" ht="16.5" customHeight="1" thickTop="1" x14ac:dyDescent="0.25">
      <c r="A524" s="124" t="s">
        <v>202</v>
      </c>
      <c r="B524" s="118" t="e">
        <f>2*VLOOKUP(B472,'Gebouwgegevens Allacker'!$A$35:$F$46,6,0)*B521*B522*B523</f>
        <v>#N/A</v>
      </c>
      <c r="C524" s="118" t="s">
        <v>203</v>
      </c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6"/>
    </row>
    <row r="525" spans="1:16" ht="15.75" customHeight="1" x14ac:dyDescent="0.25">
      <c r="A525" s="138"/>
      <c r="B525" s="58"/>
      <c r="C525" s="5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6"/>
    </row>
    <row r="526" spans="1:16" ht="15" customHeight="1" x14ac:dyDescent="0.25">
      <c r="A526" s="146" t="s">
        <v>204</v>
      </c>
      <c r="B526" s="58"/>
      <c r="C526" s="5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6"/>
    </row>
    <row r="527" spans="1:16" ht="15.75" customHeight="1" x14ac:dyDescent="0.25">
      <c r="A527" s="138" t="s">
        <v>180</v>
      </c>
      <c r="B527" s="58" t="e">
        <f>VLOOKUP(B472,'Gebouwgegevens Allacker'!$A$35:$F$46,6,0)</f>
        <v>#N/A</v>
      </c>
      <c r="C527" s="5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6"/>
    </row>
    <row r="528" spans="1:16" ht="16.5" customHeight="1" x14ac:dyDescent="0.25">
      <c r="A528" s="124" t="s">
        <v>205</v>
      </c>
      <c r="B528" s="128" t="e">
        <f>B527*3.6</f>
        <v>#N/A</v>
      </c>
      <c r="C528" s="118" t="s">
        <v>203</v>
      </c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6"/>
    </row>
    <row r="529" spans="1:16" ht="15.75" customHeight="1" x14ac:dyDescent="0.25">
      <c r="A529" s="138"/>
      <c r="B529" s="58"/>
      <c r="C529" s="5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6"/>
    </row>
    <row r="530" spans="1:16" ht="15.75" customHeight="1" x14ac:dyDescent="0.25">
      <c r="A530" s="138"/>
      <c r="B530" s="58"/>
      <c r="C530" s="5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6"/>
    </row>
    <row r="531" spans="1:16" ht="16.5" customHeight="1" x14ac:dyDescent="0.25">
      <c r="A531" s="124" t="s">
        <v>207</v>
      </c>
      <c r="B531" s="118" t="e">
        <f>MAX(B524,B528)</f>
        <v>#N/A</v>
      </c>
      <c r="C531" s="118" t="s">
        <v>203</v>
      </c>
      <c r="D531" s="98"/>
      <c r="E531" s="98"/>
      <c r="F531" s="118" t="s">
        <v>208</v>
      </c>
      <c r="G531" s="118" t="e">
        <f>B531/VLOOKUP(B472,'Gebouwgegevens Allacker'!$A$35:$B$46,2,0)</f>
        <v>#N/A</v>
      </c>
      <c r="H531" s="98"/>
      <c r="I531" s="98"/>
      <c r="J531" s="98"/>
      <c r="K531" s="98"/>
      <c r="L531" s="98"/>
      <c r="M531" s="98"/>
      <c r="N531" s="98"/>
      <c r="O531" s="98"/>
      <c r="P531" s="96"/>
    </row>
    <row r="532" spans="1:16" ht="16.5" customHeight="1" x14ac:dyDescent="0.25">
      <c r="A532" s="138"/>
      <c r="B532" s="58"/>
      <c r="C532" s="5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6"/>
    </row>
    <row r="533" spans="1:16" ht="16.5" customHeight="1" x14ac:dyDescent="0.25">
      <c r="A533" s="124" t="s">
        <v>209</v>
      </c>
      <c r="B533" s="118" t="e">
        <f>0.34*B531</f>
        <v>#N/A</v>
      </c>
      <c r="C533" s="118" t="s">
        <v>107</v>
      </c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6"/>
    </row>
    <row r="534" spans="1:16" ht="16.5" customHeight="1" x14ac:dyDescent="0.25">
      <c r="A534" s="124" t="s">
        <v>167</v>
      </c>
      <c r="B534" s="118" t="e">
        <f>B533*('Gebouwgegevens Allacker'!E494-$B$4)</f>
        <v>#N/A</v>
      </c>
      <c r="C534" s="118" t="s">
        <v>169</v>
      </c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6"/>
    </row>
    <row r="535" spans="1:16" ht="15.75" customHeight="1" thickBot="1" x14ac:dyDescent="0.3">
      <c r="A535" s="140"/>
      <c r="B535" s="141"/>
      <c r="C535" s="141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1"/>
    </row>
    <row r="536" spans="1:16" ht="15.75" customHeight="1" thickTop="1" x14ac:dyDescent="0.25">
      <c r="A536" s="343" t="s">
        <v>210</v>
      </c>
      <c r="B536" s="343"/>
      <c r="C536" s="343"/>
      <c r="D536" s="343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6"/>
    </row>
    <row r="537" spans="1:16" ht="15" customHeight="1" thickBot="1" x14ac:dyDescent="0.3">
      <c r="A537" s="95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6"/>
    </row>
    <row r="538" spans="1:16" ht="15" customHeight="1" thickTop="1" thickBot="1" x14ac:dyDescent="0.3">
      <c r="A538" s="127" t="s">
        <v>211</v>
      </c>
      <c r="B538" s="121">
        <v>22</v>
      </c>
      <c r="C538" s="58" t="s">
        <v>232</v>
      </c>
      <c r="D538" s="5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6"/>
    </row>
    <row r="539" spans="1:16" ht="15.75" customHeight="1" thickTop="1" x14ac:dyDescent="0.25">
      <c r="A539" s="91" t="s">
        <v>113</v>
      </c>
      <c r="B539" s="98" t="e">
        <f>VLOOKUP(B472,'Gebouwgegevens Allacker'!$A$35:$F$46,6,0)</f>
        <v>#N/A</v>
      </c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6"/>
    </row>
    <row r="540" spans="1:16" ht="16.5" customHeight="1" x14ac:dyDescent="0.25">
      <c r="A540" s="124" t="s">
        <v>213</v>
      </c>
      <c r="B540" s="118" t="e">
        <f>B541/('Gebouwgegevens Allacker'!E494-'Verwarming Tabula 2zone Ref 2'!$B$4)</f>
        <v>#N/A</v>
      </c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6"/>
    </row>
    <row r="541" spans="1:16" ht="16.5" customHeight="1" x14ac:dyDescent="0.25">
      <c r="A541" s="124" t="s">
        <v>167</v>
      </c>
      <c r="B541" s="118" t="e">
        <f>B538*B539</f>
        <v>#N/A</v>
      </c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6"/>
    </row>
    <row r="542" spans="1:16" ht="15.75" customHeight="1" x14ac:dyDescent="0.25">
      <c r="A542" s="95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6"/>
    </row>
    <row r="543" spans="1:16" ht="15.75" customHeight="1" thickBot="1" x14ac:dyDescent="0.3">
      <c r="A543" s="95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6"/>
    </row>
    <row r="544" spans="1:16" ht="15.75" customHeight="1" thickTop="1" thickBot="1" x14ac:dyDescent="0.3">
      <c r="A544" s="129" t="s">
        <v>214</v>
      </c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1"/>
    </row>
    <row r="545" spans="1:16" ht="16.5" customHeight="1" thickTop="1" x14ac:dyDescent="0.25">
      <c r="A545" s="124" t="s">
        <v>215</v>
      </c>
      <c r="B545" s="118" t="e">
        <f>SUM(B515,B533,B540)</f>
        <v>#N/A</v>
      </c>
      <c r="C545" s="118" t="s">
        <v>107</v>
      </c>
      <c r="D545" s="132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  <c r="O545" s="132"/>
      <c r="P545" s="133"/>
    </row>
    <row r="546" spans="1:16" ht="16.5" customHeight="1" x14ac:dyDescent="0.25">
      <c r="A546" s="124" t="s">
        <v>167</v>
      </c>
      <c r="B546" s="118" t="e">
        <f>SUM(B516,B534,B541)</f>
        <v>#N/A</v>
      </c>
      <c r="C546" s="118" t="s">
        <v>169</v>
      </c>
      <c r="D546" s="132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  <c r="O546" s="132"/>
      <c r="P546" s="133"/>
    </row>
    <row r="547" spans="1:16" ht="16.5" customHeight="1" thickBot="1" x14ac:dyDescent="0.3">
      <c r="A547" s="134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6"/>
    </row>
    <row r="548" spans="1:16" ht="15" customHeight="1" thickTop="1" x14ac:dyDescent="0.25">
      <c r="A548" s="137"/>
      <c r="B548" s="137"/>
      <c r="C548" s="137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</row>
    <row r="549" spans="1:16" ht="15.75" customHeight="1" thickBot="1" x14ac:dyDescent="0.3">
      <c r="A549" s="137"/>
      <c r="B549" s="137"/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</row>
    <row r="550" spans="1:16" ht="15" customHeight="1" thickTop="1" thickBot="1" x14ac:dyDescent="0.3">
      <c r="A550" s="93"/>
      <c r="B550" s="299"/>
      <c r="C550" s="299"/>
      <c r="D550" s="299"/>
      <c r="E550" s="299"/>
      <c r="F550" s="299"/>
      <c r="G550" s="299"/>
      <c r="H550" s="299"/>
      <c r="I550" s="299"/>
      <c r="J550" s="299"/>
      <c r="K550" s="299"/>
      <c r="L550" s="299"/>
      <c r="M550" s="299"/>
      <c r="N550" s="299"/>
      <c r="O550" s="299"/>
      <c r="P550" s="94"/>
    </row>
    <row r="551" spans="1:16" ht="17.25" customHeight="1" thickTop="1" thickBot="1" x14ac:dyDescent="0.35">
      <c r="A551" s="97" t="s">
        <v>166</v>
      </c>
      <c r="B551" s="92">
        <v>8</v>
      </c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6"/>
    </row>
    <row r="552" spans="1:16" ht="15.75" customHeight="1" thickTop="1" x14ac:dyDescent="0.25">
      <c r="A552" s="343" t="s">
        <v>168</v>
      </c>
      <c r="B552" s="343"/>
      <c r="C552" s="343"/>
      <c r="D552" s="343"/>
      <c r="E552" s="299"/>
      <c r="F552" s="299"/>
      <c r="G552" s="299"/>
      <c r="H552" s="299"/>
      <c r="I552" s="299"/>
      <c r="J552" s="299"/>
      <c r="K552" s="299"/>
      <c r="L552" s="299"/>
      <c r="M552" s="299"/>
      <c r="N552" s="299"/>
      <c r="O552" s="299"/>
      <c r="P552" s="94"/>
    </row>
    <row r="553" spans="1:16" ht="15" customHeight="1" x14ac:dyDescent="0.25">
      <c r="A553" s="95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6"/>
    </row>
    <row r="554" spans="1:16" ht="15" customHeight="1" x14ac:dyDescent="0.25">
      <c r="A554" s="103" t="s">
        <v>170</v>
      </c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6"/>
    </row>
    <row r="555" spans="1:16" ht="15" customHeight="1" x14ac:dyDescent="0.25">
      <c r="A555" s="95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6"/>
    </row>
    <row r="556" spans="1:16" ht="15.75" customHeight="1" thickBot="1" x14ac:dyDescent="0.3">
      <c r="A556" s="95"/>
      <c r="B556" s="104" t="s">
        <v>10</v>
      </c>
      <c r="C556" s="104" t="s">
        <v>171</v>
      </c>
      <c r="D556" s="104" t="s">
        <v>172</v>
      </c>
      <c r="E556" s="104" t="s">
        <v>173</v>
      </c>
      <c r="F556" s="104" t="s">
        <v>174</v>
      </c>
      <c r="G556" s="104" t="s">
        <v>16</v>
      </c>
      <c r="H556" s="105" t="s">
        <v>17</v>
      </c>
      <c r="I556" s="105" t="s">
        <v>175</v>
      </c>
      <c r="J556" s="98"/>
      <c r="K556" s="98"/>
      <c r="L556" s="98"/>
      <c r="M556" s="98"/>
      <c r="N556" s="98"/>
      <c r="O556" s="98"/>
      <c r="P556" s="96"/>
    </row>
    <row r="557" spans="1:16" ht="16.5" customHeight="1" thickTop="1" thickBot="1" x14ac:dyDescent="0.3">
      <c r="A557" s="95"/>
      <c r="B557" s="106" t="s">
        <v>246</v>
      </c>
      <c r="C557" s="107" t="e">
        <f>VLOOKUP(B557,'Gebouwgegevens Allacker'!$J$5:$Q$83,3,0)</f>
        <v>#N/A</v>
      </c>
      <c r="D557" s="107" t="e">
        <f>VLOOKUP(B557,'Gebouwgegevens Allacker'!$J$5:$Q$83,4,0)</f>
        <v>#N/A</v>
      </c>
      <c r="E557" s="107" t="e">
        <f>VLOOKUP(B557,'Gebouwgegevens Allacker'!$J$5:$Q$83,5,0)</f>
        <v>#N/A</v>
      </c>
      <c r="F557" s="107" t="e">
        <f>VLOOKUP(B557,'Gebouwgegevens Allacker'!$J$5:$Q$83,6,0)</f>
        <v>#N/A</v>
      </c>
      <c r="G557" s="107" t="e">
        <f>VLOOKUP(B557,'Gebouwgegevens Allacker'!$J$5:$Q$83,7,0)</f>
        <v>#N/A</v>
      </c>
      <c r="H557" s="108" t="e">
        <f>VLOOKUP(B557,'Gebouwgegevens Allacker'!$J$5:$Q$83,8,0)</f>
        <v>#N/A</v>
      </c>
      <c r="I557" s="108">
        <v>1</v>
      </c>
      <c r="J557" s="98"/>
      <c r="K557" s="98"/>
      <c r="L557" s="98"/>
      <c r="M557" s="98"/>
      <c r="N557" s="98"/>
      <c r="O557" s="98"/>
      <c r="P557" s="96"/>
    </row>
    <row r="558" spans="1:16" ht="16.5" customHeight="1" thickTop="1" thickBot="1" x14ac:dyDescent="0.3">
      <c r="A558" s="95"/>
      <c r="B558" s="106" t="s">
        <v>247</v>
      </c>
      <c r="C558" s="107" t="e">
        <f>VLOOKUP(B558,'Gebouwgegevens Allacker'!$J$5:$Q$83,3,0)</f>
        <v>#N/A</v>
      </c>
      <c r="D558" s="107" t="e">
        <f>VLOOKUP(B558,'Gebouwgegevens Allacker'!$J$5:$Q$83,4,0)</f>
        <v>#N/A</v>
      </c>
      <c r="E558" s="107" t="e">
        <f>VLOOKUP(B558,'Gebouwgegevens Allacker'!$J$5:$Q$83,5,0)</f>
        <v>#N/A</v>
      </c>
      <c r="F558" s="107" t="e">
        <f>VLOOKUP(B558,'Gebouwgegevens Allacker'!$J$5:$Q$83,6,0)</f>
        <v>#N/A</v>
      </c>
      <c r="G558" s="107" t="e">
        <f>VLOOKUP(B558,'Gebouwgegevens Allacker'!$J$5:$Q$83,7,0)</f>
        <v>#N/A</v>
      </c>
      <c r="H558" s="108" t="e">
        <f>VLOOKUP(B558,'Gebouwgegevens Allacker'!$J$5:$Q$83,8,0)</f>
        <v>#N/A</v>
      </c>
      <c r="I558" s="108">
        <v>1</v>
      </c>
      <c r="J558" s="98"/>
      <c r="K558" s="98"/>
      <c r="L558" s="98"/>
      <c r="M558" s="98"/>
      <c r="N558" s="98"/>
      <c r="O558" s="98"/>
      <c r="P558" s="96"/>
    </row>
    <row r="559" spans="1:16" ht="16.5" customHeight="1" thickTop="1" thickBot="1" x14ac:dyDescent="0.3">
      <c r="A559" s="95"/>
      <c r="B559" s="106" t="s">
        <v>248</v>
      </c>
      <c r="C559" s="107" t="e">
        <f>VLOOKUP(B559,'Gebouwgegevens Allacker'!$J$5:$Q$83,3,0)</f>
        <v>#N/A</v>
      </c>
      <c r="D559" s="107" t="e">
        <f>VLOOKUP(B559,'Gebouwgegevens Allacker'!$J$5:$Q$83,4,0)</f>
        <v>#N/A</v>
      </c>
      <c r="E559" s="107" t="e">
        <f>VLOOKUP(B559,'Gebouwgegevens Allacker'!$J$5:$Q$83,5,0)</f>
        <v>#N/A</v>
      </c>
      <c r="F559" s="107" t="e">
        <f>VLOOKUP(B559,'Gebouwgegevens Allacker'!$J$5:$Q$83,6,0)</f>
        <v>#N/A</v>
      </c>
      <c r="G559" s="107" t="e">
        <f>VLOOKUP(B559,'Gebouwgegevens Allacker'!$J$5:$Q$83,7,0)</f>
        <v>#N/A</v>
      </c>
      <c r="H559" s="108" t="e">
        <f>VLOOKUP(B559,'Gebouwgegevens Allacker'!$J$5:$Q$83,8,0)</f>
        <v>#N/A</v>
      </c>
      <c r="I559" s="108">
        <v>1</v>
      </c>
      <c r="J559" s="98"/>
      <c r="K559" s="98"/>
      <c r="L559" s="98"/>
      <c r="M559" s="98"/>
      <c r="N559" s="98"/>
      <c r="O559" s="98"/>
      <c r="P559" s="96"/>
    </row>
    <row r="560" spans="1:16" ht="16.5" customHeight="1" thickTop="1" thickBot="1" x14ac:dyDescent="0.3">
      <c r="A560" s="95"/>
      <c r="B560" s="106"/>
      <c r="C560" s="107"/>
      <c r="D560" s="107"/>
      <c r="E560" s="107"/>
      <c r="F560" s="107"/>
      <c r="G560" s="107"/>
      <c r="H560" s="108"/>
      <c r="I560" s="108"/>
      <c r="J560" s="98"/>
      <c r="K560" s="98"/>
      <c r="L560" s="98"/>
      <c r="M560" s="98"/>
      <c r="N560" s="98"/>
      <c r="O560" s="98"/>
      <c r="P560" s="96"/>
    </row>
    <row r="561" spans="1:16" ht="16.5" customHeight="1" thickTop="1" thickBot="1" x14ac:dyDescent="0.3">
      <c r="A561" s="95"/>
      <c r="B561" s="106"/>
      <c r="C561" s="107"/>
      <c r="D561" s="107"/>
      <c r="E561" s="107"/>
      <c r="F561" s="107"/>
      <c r="G561" s="107"/>
      <c r="H561" s="108"/>
      <c r="I561" s="108"/>
      <c r="J561" s="98"/>
      <c r="K561" s="98"/>
      <c r="L561" s="98"/>
      <c r="M561" s="98"/>
      <c r="N561" s="98"/>
      <c r="O561" s="98"/>
      <c r="P561" s="96"/>
    </row>
    <row r="562" spans="1:16" ht="16.5" customHeight="1" thickTop="1" thickBot="1" x14ac:dyDescent="0.3">
      <c r="A562" s="95"/>
      <c r="B562" s="106"/>
      <c r="C562" s="107"/>
      <c r="D562" s="107"/>
      <c r="E562" s="107"/>
      <c r="F562" s="107"/>
      <c r="G562" s="107"/>
      <c r="H562" s="108"/>
      <c r="I562" s="108"/>
      <c r="J562" s="98"/>
      <c r="K562" s="98"/>
      <c r="L562" s="98"/>
      <c r="M562" s="98"/>
      <c r="N562" s="98"/>
      <c r="O562" s="98"/>
      <c r="P562" s="96"/>
    </row>
    <row r="563" spans="1:16" ht="16.5" customHeight="1" thickTop="1" thickBot="1" x14ac:dyDescent="0.3">
      <c r="A563" s="95"/>
      <c r="B563" s="106"/>
      <c r="C563" s="107"/>
      <c r="D563" s="107"/>
      <c r="E563" s="107"/>
      <c r="F563" s="107"/>
      <c r="G563" s="107"/>
      <c r="H563" s="108"/>
      <c r="I563" s="108"/>
      <c r="J563" s="98"/>
      <c r="K563" s="98"/>
      <c r="L563" s="98"/>
      <c r="M563" s="98"/>
      <c r="N563" s="98"/>
      <c r="O563" s="98"/>
      <c r="P563" s="96"/>
    </row>
    <row r="564" spans="1:16" ht="16.5" customHeight="1" thickTop="1" thickBot="1" x14ac:dyDescent="0.3">
      <c r="A564" s="95"/>
      <c r="B564" s="106"/>
      <c r="C564" s="107"/>
      <c r="D564" s="107"/>
      <c r="E564" s="107"/>
      <c r="F564" s="107"/>
      <c r="G564" s="107"/>
      <c r="H564" s="108"/>
      <c r="I564" s="108"/>
      <c r="J564" s="98"/>
      <c r="K564" s="98"/>
      <c r="L564" s="98"/>
      <c r="M564" s="98"/>
      <c r="N564" s="98"/>
      <c r="O564" s="98"/>
      <c r="P564" s="96"/>
    </row>
    <row r="565" spans="1:16" ht="16.5" customHeight="1" thickTop="1" thickBot="1" x14ac:dyDescent="0.3">
      <c r="A565" s="95"/>
      <c r="B565" s="106"/>
      <c r="C565" s="107"/>
      <c r="D565" s="107"/>
      <c r="E565" s="107"/>
      <c r="F565" s="107"/>
      <c r="G565" s="107"/>
      <c r="H565" s="108"/>
      <c r="I565" s="108"/>
      <c r="J565" s="98"/>
      <c r="K565" s="98"/>
      <c r="L565" s="98"/>
      <c r="M565" s="98"/>
      <c r="N565" s="98"/>
      <c r="O565" s="98"/>
      <c r="P565" s="96"/>
    </row>
    <row r="566" spans="1:16" ht="16.5" customHeight="1" thickTop="1" thickBot="1" x14ac:dyDescent="0.3">
      <c r="A566" s="95"/>
      <c r="B566" s="106"/>
      <c r="C566" s="107"/>
      <c r="D566" s="107"/>
      <c r="E566" s="107"/>
      <c r="F566" s="107"/>
      <c r="G566" s="107"/>
      <c r="H566" s="108"/>
      <c r="I566" s="108"/>
      <c r="J566" s="98"/>
      <c r="K566" s="98"/>
      <c r="L566" s="98"/>
      <c r="M566" s="98"/>
      <c r="N566" s="98"/>
      <c r="O566" s="98"/>
      <c r="P566" s="96"/>
    </row>
    <row r="567" spans="1:16" ht="16.5" customHeight="1" thickTop="1" thickBot="1" x14ac:dyDescent="0.3">
      <c r="A567" s="95"/>
      <c r="B567" s="106"/>
      <c r="C567" s="107"/>
      <c r="D567" s="107"/>
      <c r="E567" s="107"/>
      <c r="F567" s="107"/>
      <c r="G567" s="107"/>
      <c r="H567" s="108"/>
      <c r="I567" s="108"/>
      <c r="J567" s="98"/>
      <c r="K567" s="98"/>
      <c r="L567" s="98"/>
      <c r="M567" s="98"/>
      <c r="N567" s="98"/>
      <c r="O567" s="98"/>
      <c r="P567" s="96"/>
    </row>
    <row r="568" spans="1:16" ht="16.5" customHeight="1" thickTop="1" thickBot="1" x14ac:dyDescent="0.3">
      <c r="A568" s="95"/>
      <c r="B568" s="106"/>
      <c r="C568" s="107"/>
      <c r="D568" s="107"/>
      <c r="E568" s="107"/>
      <c r="F568" s="107"/>
      <c r="G568" s="107"/>
      <c r="H568" s="108"/>
      <c r="I568" s="108"/>
      <c r="J568" s="98"/>
      <c r="K568" s="98"/>
      <c r="L568" s="98"/>
      <c r="M568" s="98"/>
      <c r="N568" s="98"/>
      <c r="O568" s="98"/>
      <c r="P568" s="96"/>
    </row>
    <row r="569" spans="1:16" ht="15.75" customHeight="1" thickTop="1" x14ac:dyDescent="0.25">
      <c r="A569" s="95"/>
      <c r="B569" s="58"/>
      <c r="C569" s="58"/>
      <c r="D569" s="58"/>
      <c r="E569" s="58"/>
      <c r="F569" s="58"/>
      <c r="G569" s="114"/>
      <c r="H569" s="58"/>
      <c r="I569" s="58"/>
      <c r="J569" s="98"/>
      <c r="K569" s="98"/>
      <c r="L569" s="98"/>
      <c r="M569" s="98"/>
      <c r="N569" s="98"/>
      <c r="O569" s="98"/>
      <c r="P569" s="96"/>
    </row>
    <row r="570" spans="1:16" ht="15" customHeight="1" x14ac:dyDescent="0.25">
      <c r="A570" s="95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6"/>
    </row>
    <row r="571" spans="1:16" ht="15" customHeight="1" x14ac:dyDescent="0.25">
      <c r="A571" s="103" t="s">
        <v>177</v>
      </c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6"/>
    </row>
    <row r="572" spans="1:16" ht="15.75" customHeight="1" x14ac:dyDescent="0.25">
      <c r="A572" s="95"/>
      <c r="B572" s="58" t="s">
        <v>10</v>
      </c>
      <c r="C572" s="58" t="s">
        <v>178</v>
      </c>
      <c r="D572" s="58" t="s">
        <v>172</v>
      </c>
      <c r="E572" s="58" t="s">
        <v>179</v>
      </c>
      <c r="F572" s="58" t="s">
        <v>16</v>
      </c>
      <c r="G572" s="114" t="s">
        <v>17</v>
      </c>
      <c r="H572" s="114" t="s">
        <v>175</v>
      </c>
      <c r="I572" s="58" t="s">
        <v>180</v>
      </c>
      <c r="J572" s="58" t="s">
        <v>181</v>
      </c>
      <c r="K572" s="58" t="s">
        <v>182</v>
      </c>
      <c r="L572" s="115" t="s">
        <v>183</v>
      </c>
      <c r="M572" s="115" t="s">
        <v>184</v>
      </c>
      <c r="N572" s="115" t="s">
        <v>185</v>
      </c>
      <c r="O572" s="98"/>
      <c r="P572" s="96"/>
    </row>
    <row r="573" spans="1:16" ht="16.5" customHeight="1" thickBot="1" x14ac:dyDescent="0.3">
      <c r="A573" s="95"/>
      <c r="B573" s="116" t="s">
        <v>249</v>
      </c>
      <c r="C573" s="117" t="e">
        <f>VLOOKUP(B573,'Gebouwgegevens Allacker'!$J$5:$Q$83,3,0)</f>
        <v>#N/A</v>
      </c>
      <c r="D573" s="117" t="e">
        <f>VLOOKUP(B573,'Gebouwgegevens Allacker'!$J$5:$Q$83,4,0)</f>
        <v>#N/A</v>
      </c>
      <c r="E573" s="117" t="e">
        <f>VLOOKUP(B573,'Gebouwgegevens Allacker'!$J$5:$Q$83,5,0)</f>
        <v>#N/A</v>
      </c>
      <c r="F573" s="117" t="e">
        <f>VLOOKUP(B573,'Gebouwgegevens Allacker'!$J$5:$Q$83,7,0)</f>
        <v>#N/A</v>
      </c>
      <c r="G573" s="118" t="e">
        <f>VLOOKUP(B573,'Gebouwgegevens Allacker'!$J$5:$Q$83,8,0)</f>
        <v>#N/A</v>
      </c>
      <c r="H573" s="118" t="e">
        <f>N573/F573</f>
        <v>#N/A</v>
      </c>
      <c r="I573" s="117" t="e">
        <f>VLOOKUP(C573,'Gebouwgegevens Allacker'!$A$35:$F$46,6,0)</f>
        <v>#N/A</v>
      </c>
      <c r="J573" s="116">
        <v>6.11</v>
      </c>
      <c r="K573" s="116">
        <v>0.33</v>
      </c>
      <c r="L573" s="119" t="e">
        <f>I573/(0.5*J573)</f>
        <v>#N/A</v>
      </c>
      <c r="M573" s="119" t="e">
        <f>K573+2*(1/F573)</f>
        <v>#N/A</v>
      </c>
      <c r="N573" s="120" t="e">
        <f>IF(M573&lt;L573,2*2/(PI()*L573+M573)*LN(PI()*L573/M573+1),2/(0.457*L573+M573))</f>
        <v>#N/A</v>
      </c>
      <c r="O573" s="98"/>
      <c r="P573" s="96"/>
    </row>
    <row r="574" spans="1:16" ht="16.5" customHeight="1" thickTop="1" thickBot="1" x14ac:dyDescent="0.3">
      <c r="A574" s="95"/>
      <c r="B574" s="116"/>
      <c r="C574" s="117"/>
      <c r="D574" s="117"/>
      <c r="E574" s="117"/>
      <c r="F574" s="117"/>
      <c r="G574" s="118"/>
      <c r="H574" s="118"/>
      <c r="I574" s="117"/>
      <c r="J574" s="116"/>
      <c r="K574" s="116"/>
      <c r="L574" s="119"/>
      <c r="M574" s="119"/>
      <c r="N574" s="120"/>
      <c r="O574" s="98"/>
      <c r="P574" s="96"/>
    </row>
    <row r="575" spans="1:16" ht="16.5" customHeight="1" thickTop="1" thickBot="1" x14ac:dyDescent="0.3">
      <c r="A575" s="95"/>
      <c r="B575" s="116"/>
      <c r="C575" s="117"/>
      <c r="D575" s="117"/>
      <c r="E575" s="117"/>
      <c r="F575" s="117"/>
      <c r="G575" s="118"/>
      <c r="H575" s="118"/>
      <c r="I575" s="117"/>
      <c r="J575" s="116"/>
      <c r="K575" s="116"/>
      <c r="L575" s="119"/>
      <c r="M575" s="119"/>
      <c r="N575" s="120"/>
      <c r="O575" s="98"/>
      <c r="P575" s="96"/>
    </row>
    <row r="576" spans="1:16" ht="16.5" customHeight="1" thickTop="1" thickBot="1" x14ac:dyDescent="0.3">
      <c r="A576" s="95"/>
      <c r="B576" s="116"/>
      <c r="C576" s="117"/>
      <c r="D576" s="117"/>
      <c r="E576" s="117"/>
      <c r="F576" s="117"/>
      <c r="G576" s="118"/>
      <c r="H576" s="118"/>
      <c r="I576" s="117"/>
      <c r="J576" s="116"/>
      <c r="K576" s="116"/>
      <c r="L576" s="119"/>
      <c r="M576" s="119"/>
      <c r="N576" s="120"/>
      <c r="O576" s="98"/>
      <c r="P576" s="96"/>
    </row>
    <row r="577" spans="1:16" ht="16.5" customHeight="1" thickTop="1" thickBot="1" x14ac:dyDescent="0.3">
      <c r="A577" s="138"/>
      <c r="B577" s="116"/>
      <c r="C577" s="117"/>
      <c r="D577" s="117"/>
      <c r="E577" s="117"/>
      <c r="F577" s="117"/>
      <c r="G577" s="118"/>
      <c r="H577" s="118"/>
      <c r="I577" s="117"/>
      <c r="J577" s="116"/>
      <c r="K577" s="116"/>
      <c r="L577" s="119"/>
      <c r="M577" s="119"/>
      <c r="N577" s="120"/>
      <c r="O577" s="98"/>
      <c r="P577" s="96"/>
    </row>
    <row r="578" spans="1:16" ht="15.75" customHeight="1" thickTop="1" x14ac:dyDescent="0.25">
      <c r="A578" s="95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6"/>
    </row>
    <row r="579" spans="1:16" ht="15" customHeight="1" x14ac:dyDescent="0.25">
      <c r="A579" s="103" t="s">
        <v>186</v>
      </c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6"/>
    </row>
    <row r="580" spans="1:16" ht="15.75" customHeight="1" thickBot="1" x14ac:dyDescent="0.3">
      <c r="A580" s="95"/>
      <c r="B580" s="58" t="s">
        <v>10</v>
      </c>
      <c r="C580" s="58" t="s">
        <v>187</v>
      </c>
      <c r="D580" s="58" t="s">
        <v>188</v>
      </c>
      <c r="E580" s="58" t="s">
        <v>135</v>
      </c>
      <c r="F580" s="58" t="s">
        <v>189</v>
      </c>
      <c r="G580" s="58" t="s">
        <v>190</v>
      </c>
      <c r="H580" s="58" t="s">
        <v>191</v>
      </c>
      <c r="I580" s="58" t="s">
        <v>16</v>
      </c>
      <c r="J580" s="114" t="s">
        <v>17</v>
      </c>
      <c r="K580" s="114" t="s">
        <v>175</v>
      </c>
      <c r="L580" s="98"/>
      <c r="M580" s="98"/>
      <c r="N580" s="98"/>
      <c r="O580" s="98"/>
      <c r="P580" s="96"/>
    </row>
    <row r="581" spans="1:16" ht="16.5" customHeight="1" thickTop="1" thickBot="1" x14ac:dyDescent="0.3">
      <c r="A581" s="95"/>
      <c r="B581" s="116" t="s">
        <v>250</v>
      </c>
      <c r="C581" s="122" t="e">
        <f>IF(VLOOKUP(B581,'Gebouwgegevens Allacker'!$J$5:$Q$83,2,0)=$B$551,VLOOKUP(B581,'Gebouwgegevens Allacker'!$J$5:$Q$83,2,0),VLOOKUP(B581,'Gebouwgegevens Allacker'!$J$5:$Q$83,3,0))</f>
        <v>#N/A</v>
      </c>
      <c r="D581" s="122" t="e">
        <f>IF(VLOOKUP(B581,'Gebouwgegevens Allacker'!$J$5:$Q$83,2,0)=$B$551,VLOOKUP(B581,'Gebouwgegevens Allacker'!$J$5:$Q$83,3,0),VLOOKUP(B581,'Gebouwgegevens Allacker'!$J$5:$Q$83,2,0))</f>
        <v>#N/A</v>
      </c>
      <c r="E581" s="122" t="e">
        <f>VLOOKUP(B581,'Gebouwgegevens Allacker'!$J$5:$Q$83,4,0)</f>
        <v>#N/A</v>
      </c>
      <c r="F581" s="122" t="e">
        <f>VLOOKUP(B581,'Gebouwgegevens Allacker'!$J$5:$Q$83,5,0)</f>
        <v>#N/A</v>
      </c>
      <c r="G581" s="122" t="e">
        <f>VLOOKUP('Verwarming Tabula 2zone Ref 2'!C581,'Gebouwgegevens Allacker'!$A$35:$F$46,5,0)</f>
        <v>#N/A</v>
      </c>
      <c r="H581" s="122" t="e">
        <f>VLOOKUP('Verwarming Tabula 2zone Ref 2'!D581,'Gebouwgegevens Allacker'!$A$35:$F$46,5,0)</f>
        <v>#N/A</v>
      </c>
      <c r="I581" s="122" t="e">
        <f>VLOOKUP(B581,'Gebouwgegevens Allacker'!$J$5:$Q$83,7,0)</f>
        <v>#N/A</v>
      </c>
      <c r="J581" s="118" t="e">
        <f>VLOOKUP(B581,'Gebouwgegevens Allacker'!$J$5:$Q$83,8,0)</f>
        <v>#N/A</v>
      </c>
      <c r="K581" s="118" t="e">
        <f>(G581-H581)/(G581-$B$4)</f>
        <v>#N/A</v>
      </c>
      <c r="L581" s="98"/>
      <c r="M581" s="98"/>
      <c r="N581" s="98"/>
      <c r="O581" s="98"/>
      <c r="P581" s="96"/>
    </row>
    <row r="582" spans="1:16" ht="16.5" customHeight="1" thickTop="1" thickBot="1" x14ac:dyDescent="0.3">
      <c r="A582" s="95"/>
      <c r="B582" s="116" t="s">
        <v>224</v>
      </c>
      <c r="C582" s="122" t="e">
        <f>IF(VLOOKUP(B582,'Gebouwgegevens Allacker'!$J$5:$Q$83,2,0)=$B$551,VLOOKUP(B582,'Gebouwgegevens Allacker'!$J$5:$Q$83,2,0),VLOOKUP(B582,'Gebouwgegevens Allacker'!$J$5:$Q$83,3,0))</f>
        <v>#N/A</v>
      </c>
      <c r="D582" s="122" t="e">
        <f>IF(VLOOKUP(B582,'Gebouwgegevens Allacker'!$J$5:$Q$83,2,0)=$B$551,VLOOKUP(B582,'Gebouwgegevens Allacker'!$J$5:$Q$83,3,0),VLOOKUP(B582,'Gebouwgegevens Allacker'!$J$5:$Q$83,2,0))</f>
        <v>#N/A</v>
      </c>
      <c r="E582" s="122" t="e">
        <f>VLOOKUP(B582,'Gebouwgegevens Allacker'!$J$5:$Q$83,4,0)</f>
        <v>#N/A</v>
      </c>
      <c r="F582" s="122" t="e">
        <f>VLOOKUP(B582,'Gebouwgegevens Allacker'!$J$5:$Q$83,5,0)</f>
        <v>#N/A</v>
      </c>
      <c r="G582" s="122" t="e">
        <f>VLOOKUP('Verwarming Tabula 2zone Ref 2'!C582,'Gebouwgegevens Allacker'!$A$35:$F$46,5,0)</f>
        <v>#N/A</v>
      </c>
      <c r="H582" s="122" t="e">
        <f>VLOOKUP('Verwarming Tabula 2zone Ref 2'!D582,'Gebouwgegevens Allacker'!$A$35:$F$46,5,0)</f>
        <v>#N/A</v>
      </c>
      <c r="I582" s="122" t="e">
        <f>VLOOKUP(B582,'Gebouwgegevens Allacker'!$J$5:$Q$83,7,0)</f>
        <v>#N/A</v>
      </c>
      <c r="J582" s="118" t="e">
        <f>VLOOKUP(B582,'Gebouwgegevens Allacker'!$J$5:$Q$83,8,0)</f>
        <v>#N/A</v>
      </c>
      <c r="K582" s="118" t="e">
        <f>(G582-H582)/(G582-$B$4)</f>
        <v>#N/A</v>
      </c>
      <c r="L582" s="98"/>
      <c r="M582" s="98"/>
      <c r="N582" s="98"/>
      <c r="O582" s="98"/>
      <c r="P582" s="96"/>
    </row>
    <row r="583" spans="1:16" ht="16.5" customHeight="1" thickTop="1" thickBot="1" x14ac:dyDescent="0.3">
      <c r="A583" s="95"/>
      <c r="B583" s="116" t="s">
        <v>230</v>
      </c>
      <c r="C583" s="122" t="e">
        <f>IF(VLOOKUP(B583,'Gebouwgegevens Allacker'!$J$5:$Q$83,2,0)=$B$551,VLOOKUP(B583,'Gebouwgegevens Allacker'!$J$5:$Q$83,2,0),VLOOKUP(B583,'Gebouwgegevens Allacker'!$J$5:$Q$83,3,0))</f>
        <v>#N/A</v>
      </c>
      <c r="D583" s="122" t="e">
        <f>IF(VLOOKUP(B583,'Gebouwgegevens Allacker'!$J$5:$Q$83,2,0)=$B$551,VLOOKUP(B583,'Gebouwgegevens Allacker'!$J$5:$Q$83,3,0),VLOOKUP(B583,'Gebouwgegevens Allacker'!$J$5:$Q$83,2,0))</f>
        <v>#N/A</v>
      </c>
      <c r="E583" s="122" t="e">
        <f>VLOOKUP(B583,'Gebouwgegevens Allacker'!$J$5:$Q$83,4,0)</f>
        <v>#N/A</v>
      </c>
      <c r="F583" s="122" t="e">
        <f>VLOOKUP(B583,'Gebouwgegevens Allacker'!$J$5:$Q$83,5,0)</f>
        <v>#N/A</v>
      </c>
      <c r="G583" s="122" t="e">
        <f>VLOOKUP('Verwarming Tabula 2zone Ref 2'!C583,'Gebouwgegevens Allacker'!$A$35:$F$46,5,0)</f>
        <v>#N/A</v>
      </c>
      <c r="H583" s="122" t="e">
        <f>VLOOKUP('Verwarming Tabula 2zone Ref 2'!D583,'Gebouwgegevens Allacker'!$A$35:$F$46,5,0)</f>
        <v>#N/A</v>
      </c>
      <c r="I583" s="122" t="e">
        <f>VLOOKUP(B583,'Gebouwgegevens Allacker'!$J$5:$Q$83,7,0)</f>
        <v>#N/A</v>
      </c>
      <c r="J583" s="118" t="e">
        <f>VLOOKUP(B583,'Gebouwgegevens Allacker'!$J$5:$Q$83,8,0)</f>
        <v>#N/A</v>
      </c>
      <c r="K583" s="118" t="e">
        <f>(G583-H583)/(G583-$B$4)</f>
        <v>#N/A</v>
      </c>
      <c r="L583" s="98"/>
      <c r="M583" s="98"/>
      <c r="N583" s="98"/>
      <c r="O583" s="98"/>
      <c r="P583" s="96"/>
    </row>
    <row r="584" spans="1:16" ht="16.5" customHeight="1" thickTop="1" thickBot="1" x14ac:dyDescent="0.3">
      <c r="A584" s="95"/>
      <c r="B584" s="116"/>
      <c r="C584" s="122"/>
      <c r="D584" s="122"/>
      <c r="E584" s="122"/>
      <c r="F584" s="122"/>
      <c r="G584" s="122"/>
      <c r="H584" s="122"/>
      <c r="I584" s="122"/>
      <c r="J584" s="118"/>
      <c r="K584" s="118"/>
      <c r="L584" s="98"/>
      <c r="M584" s="98"/>
      <c r="N584" s="98"/>
      <c r="O584" s="98"/>
      <c r="P584" s="96"/>
    </row>
    <row r="585" spans="1:16" ht="16.5" customHeight="1" thickTop="1" thickBot="1" x14ac:dyDescent="0.3">
      <c r="A585" s="95"/>
      <c r="B585" s="145"/>
      <c r="C585" s="122"/>
      <c r="D585" s="122"/>
      <c r="E585" s="122"/>
      <c r="F585" s="122"/>
      <c r="G585" s="122"/>
      <c r="H585" s="122"/>
      <c r="I585" s="122"/>
      <c r="J585" s="118"/>
      <c r="K585" s="118"/>
      <c r="L585" s="98"/>
      <c r="M585" s="98"/>
      <c r="N585" s="98"/>
      <c r="O585" s="98"/>
      <c r="P585" s="96"/>
    </row>
    <row r="586" spans="1:16" ht="16.5" customHeight="1" thickTop="1" thickBot="1" x14ac:dyDescent="0.3">
      <c r="A586" s="95"/>
      <c r="B586" s="123"/>
      <c r="C586" s="139"/>
      <c r="D586" s="122"/>
      <c r="E586" s="122"/>
      <c r="F586" s="122"/>
      <c r="G586" s="122"/>
      <c r="H586" s="122"/>
      <c r="I586" s="122"/>
      <c r="J586" s="118"/>
      <c r="K586" s="118"/>
      <c r="L586" s="98"/>
      <c r="M586" s="98"/>
      <c r="N586" s="98"/>
      <c r="O586" s="98"/>
      <c r="P586" s="96"/>
    </row>
    <row r="587" spans="1:16" ht="16.5" customHeight="1" thickTop="1" thickBot="1" x14ac:dyDescent="0.3">
      <c r="A587" s="95"/>
      <c r="B587" s="123"/>
      <c r="C587" s="139"/>
      <c r="D587" s="122"/>
      <c r="E587" s="122"/>
      <c r="F587" s="122"/>
      <c r="G587" s="122"/>
      <c r="H587" s="122"/>
      <c r="I587" s="122"/>
      <c r="J587" s="118"/>
      <c r="K587" s="118"/>
      <c r="L587" s="98"/>
      <c r="M587" s="98"/>
      <c r="N587" s="98"/>
      <c r="O587" s="98"/>
      <c r="P587" s="96"/>
    </row>
    <row r="588" spans="1:16" ht="16.5" customHeight="1" thickTop="1" thickBot="1" x14ac:dyDescent="0.3">
      <c r="A588" s="95"/>
      <c r="B588" s="123"/>
      <c r="C588" s="139"/>
      <c r="D588" s="122"/>
      <c r="E588" s="122"/>
      <c r="F588" s="122"/>
      <c r="G588" s="122"/>
      <c r="H588" s="122"/>
      <c r="I588" s="122"/>
      <c r="J588" s="118"/>
      <c r="K588" s="118"/>
      <c r="L588" s="98"/>
      <c r="M588" s="98"/>
      <c r="N588" s="98"/>
      <c r="O588" s="98"/>
      <c r="P588" s="96"/>
    </row>
    <row r="589" spans="1:16" ht="16.5" customHeight="1" thickTop="1" thickBot="1" x14ac:dyDescent="0.3">
      <c r="A589" s="95"/>
      <c r="B589" s="123"/>
      <c r="C589" s="139"/>
      <c r="D589" s="122"/>
      <c r="E589" s="122"/>
      <c r="F589" s="122"/>
      <c r="G589" s="122"/>
      <c r="H589" s="122"/>
      <c r="I589" s="122"/>
      <c r="J589" s="118"/>
      <c r="K589" s="118"/>
      <c r="L589" s="98"/>
      <c r="M589" s="98"/>
      <c r="N589" s="98"/>
      <c r="O589" s="98"/>
      <c r="P589" s="96"/>
    </row>
    <row r="590" spans="1:16" ht="16.5" customHeight="1" thickTop="1" thickBot="1" x14ac:dyDescent="0.3">
      <c r="A590" s="95"/>
      <c r="B590" s="123"/>
      <c r="C590" s="139"/>
      <c r="D590" s="122"/>
      <c r="E590" s="122"/>
      <c r="F590" s="122"/>
      <c r="G590" s="122"/>
      <c r="H590" s="122"/>
      <c r="I590" s="122"/>
      <c r="J590" s="118"/>
      <c r="K590" s="118"/>
      <c r="L590" s="98"/>
      <c r="M590" s="98"/>
      <c r="N590" s="98"/>
      <c r="O590" s="98"/>
      <c r="P590" s="96"/>
    </row>
    <row r="591" spans="1:16" ht="15.75" customHeight="1" thickTop="1" x14ac:dyDescent="0.25">
      <c r="A591" s="95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8"/>
      <c r="M591" s="98"/>
      <c r="N591" s="98"/>
      <c r="O591" s="98"/>
      <c r="P591" s="96"/>
    </row>
    <row r="592" spans="1:16" ht="15" customHeight="1" x14ac:dyDescent="0.25">
      <c r="A592" s="95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6"/>
    </row>
    <row r="593" spans="1:16" ht="15.75" customHeight="1" x14ac:dyDescent="0.25">
      <c r="A593" s="103" t="s">
        <v>192</v>
      </c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6"/>
    </row>
    <row r="594" spans="1:16" ht="16.5" customHeight="1" x14ac:dyDescent="0.25">
      <c r="A594" s="124" t="s">
        <v>193</v>
      </c>
      <c r="B594" s="118" t="e">
        <f>SUMPRODUCT(H557:H568,I557:I568)+SUMPRODUCT(G573:G577,H573:H577)+SUMPRODUCT(J581:J590,K581:K590)</f>
        <v>#N/A</v>
      </c>
      <c r="C594" s="118" t="s">
        <v>107</v>
      </c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6"/>
    </row>
    <row r="595" spans="1:16" ht="16.5" customHeight="1" x14ac:dyDescent="0.25">
      <c r="A595" s="124" t="s">
        <v>167</v>
      </c>
      <c r="B595" s="118" t="e">
        <f>B594*(G581-$B$4)</f>
        <v>#N/A</v>
      </c>
      <c r="C595" s="118" t="s">
        <v>169</v>
      </c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6"/>
    </row>
    <row r="596" spans="1:16" ht="15.75" customHeight="1" thickBot="1" x14ac:dyDescent="0.3">
      <c r="A596" s="109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1"/>
    </row>
    <row r="597" spans="1:16" ht="15.75" customHeight="1" thickTop="1" x14ac:dyDescent="0.25">
      <c r="A597" s="343" t="s">
        <v>194</v>
      </c>
      <c r="B597" s="343"/>
      <c r="C597" s="343"/>
      <c r="D597" s="125" t="s">
        <v>222</v>
      </c>
      <c r="E597" s="299"/>
      <c r="F597" s="299"/>
      <c r="G597" s="299"/>
      <c r="H597" s="299"/>
      <c r="I597" s="299"/>
      <c r="J597" s="299"/>
      <c r="K597" s="299"/>
      <c r="L597" s="299"/>
      <c r="M597" s="299"/>
      <c r="N597" s="299"/>
      <c r="O597" s="299"/>
      <c r="P597" s="94"/>
    </row>
    <row r="598" spans="1:16" ht="15" customHeight="1" x14ac:dyDescent="0.25">
      <c r="A598" s="95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6"/>
    </row>
    <row r="599" spans="1:16" ht="15" customHeight="1" thickBot="1" x14ac:dyDescent="0.3">
      <c r="A599" s="126" t="s">
        <v>195</v>
      </c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6"/>
    </row>
    <row r="600" spans="1:16" ht="15" customHeight="1" thickTop="1" thickBot="1" x14ac:dyDescent="0.3">
      <c r="A600" s="127" t="s">
        <v>196</v>
      </c>
      <c r="B600" s="121">
        <v>8</v>
      </c>
      <c r="C600" s="120" t="s">
        <v>197</v>
      </c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6"/>
    </row>
    <row r="601" spans="1:16" ht="15" customHeight="1" thickTop="1" thickBot="1" x14ac:dyDescent="0.3">
      <c r="A601" s="127" t="s">
        <v>198</v>
      </c>
      <c r="B601" s="121">
        <v>0.03</v>
      </c>
      <c r="C601" s="120" t="s">
        <v>199</v>
      </c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6"/>
    </row>
    <row r="602" spans="1:16" ht="15.75" customHeight="1" thickTop="1" thickBot="1" x14ac:dyDescent="0.3">
      <c r="A602" s="127" t="s">
        <v>200</v>
      </c>
      <c r="B602" s="121">
        <v>1</v>
      </c>
      <c r="C602" s="120" t="s">
        <v>201</v>
      </c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6"/>
    </row>
    <row r="603" spans="1:16" ht="16.5" customHeight="1" thickTop="1" x14ac:dyDescent="0.25">
      <c r="A603" s="124" t="s">
        <v>202</v>
      </c>
      <c r="B603" s="118" t="e">
        <f>2*VLOOKUP(B551,'Gebouwgegevens Allacker'!$A$35:$F$46,6,0)*B600*B601*B602</f>
        <v>#N/A</v>
      </c>
      <c r="C603" s="118" t="s">
        <v>203</v>
      </c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6"/>
    </row>
    <row r="604" spans="1:16" ht="15.75" customHeight="1" x14ac:dyDescent="0.25">
      <c r="A604" s="138"/>
      <c r="B604" s="58"/>
      <c r="C604" s="5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6"/>
    </row>
    <row r="605" spans="1:16" ht="15" customHeight="1" x14ac:dyDescent="0.25">
      <c r="A605" s="146" t="s">
        <v>204</v>
      </c>
      <c r="B605" s="58"/>
      <c r="C605" s="5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6"/>
    </row>
    <row r="606" spans="1:16" ht="15.75" customHeight="1" x14ac:dyDescent="0.25">
      <c r="A606" s="138" t="s">
        <v>180</v>
      </c>
      <c r="B606" s="58" t="e">
        <f>VLOOKUP(B551,'Gebouwgegevens Allacker'!$A$35:$F$46,6,0)</f>
        <v>#N/A</v>
      </c>
      <c r="C606" s="5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6"/>
    </row>
    <row r="607" spans="1:16" ht="16.5" customHeight="1" x14ac:dyDescent="0.25">
      <c r="A607" s="124" t="s">
        <v>205</v>
      </c>
      <c r="B607" s="128" t="e">
        <f>B606*3.6</f>
        <v>#N/A</v>
      </c>
      <c r="C607" s="118" t="s">
        <v>203</v>
      </c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6"/>
    </row>
    <row r="608" spans="1:16" ht="15.75" customHeight="1" x14ac:dyDescent="0.25">
      <c r="A608" s="138"/>
      <c r="B608" s="58"/>
      <c r="C608" s="5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6"/>
    </row>
    <row r="609" spans="1:16" ht="15.75" customHeight="1" x14ac:dyDescent="0.25">
      <c r="A609" s="138"/>
      <c r="B609" s="58"/>
      <c r="C609" s="5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6"/>
    </row>
    <row r="610" spans="1:16" ht="16.5" customHeight="1" x14ac:dyDescent="0.25">
      <c r="A610" s="124" t="s">
        <v>207</v>
      </c>
      <c r="B610" s="118" t="e">
        <f>MAX(B603,B607)</f>
        <v>#N/A</v>
      </c>
      <c r="C610" s="118" t="s">
        <v>203</v>
      </c>
      <c r="D610" s="98"/>
      <c r="E610" s="98"/>
      <c r="F610" s="118" t="s">
        <v>208</v>
      </c>
      <c r="G610" s="118" t="e">
        <f>B610/VLOOKUP(B551,'Gebouwgegevens Allacker'!$A$35:$B$46,2,0)</f>
        <v>#N/A</v>
      </c>
      <c r="H610" s="98"/>
      <c r="I610" s="98"/>
      <c r="J610" s="98"/>
      <c r="K610" s="98"/>
      <c r="L610" s="98"/>
      <c r="M610" s="98"/>
      <c r="N610" s="98"/>
      <c r="O610" s="98"/>
      <c r="P610" s="96"/>
    </row>
    <row r="611" spans="1:16" ht="16.5" customHeight="1" x14ac:dyDescent="0.25">
      <c r="A611" s="138"/>
      <c r="B611" s="58"/>
      <c r="C611" s="5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6"/>
    </row>
    <row r="612" spans="1:16" ht="16.5" customHeight="1" x14ac:dyDescent="0.25">
      <c r="A612" s="124" t="s">
        <v>209</v>
      </c>
      <c r="B612" s="118" t="e">
        <f>0.34*B610</f>
        <v>#N/A</v>
      </c>
      <c r="C612" s="118" t="s">
        <v>107</v>
      </c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6"/>
    </row>
    <row r="613" spans="1:16" ht="16.5" customHeight="1" x14ac:dyDescent="0.25">
      <c r="A613" s="124" t="s">
        <v>167</v>
      </c>
      <c r="B613" s="118" t="e">
        <f>B612*('Gebouwgegevens Allacker'!E573-$B$4)</f>
        <v>#N/A</v>
      </c>
      <c r="C613" s="118" t="s">
        <v>169</v>
      </c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6"/>
    </row>
    <row r="614" spans="1:16" ht="15.75" customHeight="1" thickBot="1" x14ac:dyDescent="0.3">
      <c r="A614" s="140"/>
      <c r="B614" s="141"/>
      <c r="C614" s="141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1"/>
    </row>
    <row r="615" spans="1:16" ht="15.75" customHeight="1" thickTop="1" x14ac:dyDescent="0.25">
      <c r="A615" s="343" t="s">
        <v>210</v>
      </c>
      <c r="B615" s="343"/>
      <c r="C615" s="343"/>
      <c r="D615" s="343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6"/>
    </row>
    <row r="616" spans="1:16" ht="15" customHeight="1" thickBot="1" x14ac:dyDescent="0.3">
      <c r="A616" s="95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6"/>
    </row>
    <row r="617" spans="1:16" ht="15" customHeight="1" thickTop="1" thickBot="1" x14ac:dyDescent="0.3">
      <c r="A617" s="127" t="s">
        <v>211</v>
      </c>
      <c r="B617" s="121">
        <v>45</v>
      </c>
      <c r="C617" s="58" t="s">
        <v>232</v>
      </c>
      <c r="D617" s="5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6"/>
    </row>
    <row r="618" spans="1:16" ht="15.75" customHeight="1" thickTop="1" x14ac:dyDescent="0.25">
      <c r="A618" s="3" t="s">
        <v>113</v>
      </c>
      <c r="B618" s="58" t="e">
        <f>VLOOKUP(B551,'Gebouwgegevens Allacker'!$A$35:$F$46,6,0)</f>
        <v>#N/A</v>
      </c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6"/>
    </row>
    <row r="619" spans="1:16" ht="16.5" customHeight="1" x14ac:dyDescent="0.25">
      <c r="A619" s="124" t="s">
        <v>213</v>
      </c>
      <c r="B619" s="118" t="e">
        <f>B620/('Gebouwgegevens Allacker'!E573-'Verwarming Tabula 2zone Ref 2'!$B$4)</f>
        <v>#N/A</v>
      </c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6"/>
    </row>
    <row r="620" spans="1:16" ht="16.5" customHeight="1" x14ac:dyDescent="0.25">
      <c r="A620" s="124" t="s">
        <v>167</v>
      </c>
      <c r="B620" s="118" t="e">
        <f>B617*B618</f>
        <v>#N/A</v>
      </c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6"/>
    </row>
    <row r="621" spans="1:16" ht="15.75" customHeight="1" x14ac:dyDescent="0.25">
      <c r="A621" s="95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6"/>
    </row>
    <row r="622" spans="1:16" ht="15.75" customHeight="1" thickBot="1" x14ac:dyDescent="0.3">
      <c r="A622" s="95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6"/>
    </row>
    <row r="623" spans="1:16" ht="15.75" customHeight="1" thickTop="1" thickBot="1" x14ac:dyDescent="0.3">
      <c r="A623" s="129" t="s">
        <v>214</v>
      </c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1"/>
    </row>
    <row r="624" spans="1:16" ht="16.5" customHeight="1" thickTop="1" x14ac:dyDescent="0.25">
      <c r="A624" s="124" t="s">
        <v>215</v>
      </c>
      <c r="B624" s="118" t="e">
        <f>SUM(B594,B612,B619)</f>
        <v>#N/A</v>
      </c>
      <c r="C624" s="118" t="s">
        <v>107</v>
      </c>
      <c r="D624" s="132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  <c r="O624" s="132"/>
      <c r="P624" s="133"/>
    </row>
    <row r="625" spans="1:16" ht="16.5" customHeight="1" x14ac:dyDescent="0.25">
      <c r="A625" s="124" t="s">
        <v>167</v>
      </c>
      <c r="B625" s="118" t="e">
        <f>SUM(B595,B613,B620)</f>
        <v>#N/A</v>
      </c>
      <c r="C625" s="118" t="s">
        <v>169</v>
      </c>
      <c r="D625" s="132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  <c r="O625" s="132"/>
      <c r="P625" s="133"/>
    </row>
    <row r="626" spans="1:16" ht="16.5" customHeight="1" thickBot="1" x14ac:dyDescent="0.3">
      <c r="A626" s="134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6"/>
    </row>
    <row r="627" spans="1:16" ht="15" customHeight="1" thickTop="1" x14ac:dyDescent="0.25">
      <c r="A627" s="137"/>
      <c r="B627" s="137"/>
      <c r="C627" s="137"/>
      <c r="D627" s="137"/>
      <c r="E627" s="137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</row>
    <row r="628" spans="1:16" ht="15.75" customHeight="1" thickBot="1" x14ac:dyDescent="0.3">
      <c r="A628" s="137"/>
      <c r="B628" s="137"/>
      <c r="C628" s="137"/>
      <c r="D628" s="137"/>
      <c r="E628" s="137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</row>
    <row r="629" spans="1:16" ht="15" customHeight="1" thickTop="1" thickBot="1" x14ac:dyDescent="0.3">
      <c r="A629" s="93"/>
      <c r="B629" s="299"/>
      <c r="C629" s="299"/>
      <c r="D629" s="299"/>
      <c r="E629" s="299"/>
      <c r="F629" s="299"/>
      <c r="G629" s="299"/>
      <c r="H629" s="299"/>
      <c r="I629" s="299"/>
      <c r="J629" s="299"/>
      <c r="K629" s="299"/>
      <c r="L629" s="299"/>
      <c r="M629" s="299"/>
      <c r="N629" s="299"/>
      <c r="O629" s="299"/>
      <c r="P629" s="94"/>
    </row>
    <row r="630" spans="1:16" ht="17.25" customHeight="1" thickTop="1" thickBot="1" x14ac:dyDescent="0.35">
      <c r="A630" s="97" t="s">
        <v>166</v>
      </c>
      <c r="B630" s="92">
        <v>9</v>
      </c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6"/>
    </row>
    <row r="631" spans="1:16" ht="15.75" customHeight="1" thickTop="1" x14ac:dyDescent="0.25">
      <c r="A631" s="343" t="s">
        <v>168</v>
      </c>
      <c r="B631" s="343"/>
      <c r="C631" s="343"/>
      <c r="D631" s="343"/>
      <c r="E631" s="299"/>
      <c r="F631" s="299"/>
      <c r="G631" s="299"/>
      <c r="H631" s="299"/>
      <c r="I631" s="299"/>
      <c r="J631" s="299"/>
      <c r="K631" s="299"/>
      <c r="L631" s="299"/>
      <c r="M631" s="299"/>
      <c r="N631" s="299"/>
      <c r="O631" s="299"/>
      <c r="P631" s="94"/>
    </row>
    <row r="632" spans="1:16" ht="15" customHeight="1" x14ac:dyDescent="0.25">
      <c r="A632" s="95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6"/>
    </row>
    <row r="633" spans="1:16" ht="15" customHeight="1" x14ac:dyDescent="0.25">
      <c r="A633" s="103" t="s">
        <v>170</v>
      </c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6"/>
    </row>
    <row r="634" spans="1:16" ht="15" customHeight="1" x14ac:dyDescent="0.25">
      <c r="A634" s="95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6"/>
    </row>
    <row r="635" spans="1:16" ht="15.75" customHeight="1" thickBot="1" x14ac:dyDescent="0.3">
      <c r="A635" s="95"/>
      <c r="B635" s="104" t="s">
        <v>10</v>
      </c>
      <c r="C635" s="104" t="s">
        <v>171</v>
      </c>
      <c r="D635" s="104" t="s">
        <v>172</v>
      </c>
      <c r="E635" s="104" t="s">
        <v>173</v>
      </c>
      <c r="F635" s="104" t="s">
        <v>174</v>
      </c>
      <c r="G635" s="104" t="s">
        <v>16</v>
      </c>
      <c r="H635" s="105" t="s">
        <v>17</v>
      </c>
      <c r="I635" s="105" t="s">
        <v>175</v>
      </c>
      <c r="J635" s="98"/>
      <c r="K635" s="98"/>
      <c r="L635" s="98"/>
      <c r="M635" s="98"/>
      <c r="N635" s="98"/>
      <c r="O635" s="98"/>
      <c r="P635" s="96"/>
    </row>
    <row r="636" spans="1:16" ht="16.5" customHeight="1" thickTop="1" thickBot="1" x14ac:dyDescent="0.3">
      <c r="A636" s="95"/>
      <c r="B636" s="106" t="s">
        <v>251</v>
      </c>
      <c r="C636" s="107" t="e">
        <f>VLOOKUP(B636,'Gebouwgegevens Allacker'!$J$5:$Q$83,3,0)</f>
        <v>#N/A</v>
      </c>
      <c r="D636" s="107" t="e">
        <f>VLOOKUP(B636,'Gebouwgegevens Allacker'!$J$5:$Q$83,4,0)</f>
        <v>#N/A</v>
      </c>
      <c r="E636" s="107" t="e">
        <f>VLOOKUP(B636,'Gebouwgegevens Allacker'!$J$5:$Q$83,5,0)</f>
        <v>#N/A</v>
      </c>
      <c r="F636" s="107" t="e">
        <f>VLOOKUP(B636,'Gebouwgegevens Allacker'!$J$5:$Q$83,6,0)</f>
        <v>#N/A</v>
      </c>
      <c r="G636" s="107" t="e">
        <f>VLOOKUP(B636,'Gebouwgegevens Allacker'!$J$5:$Q$83,7,0)</f>
        <v>#N/A</v>
      </c>
      <c r="H636" s="108" t="e">
        <f>VLOOKUP(B636,'Gebouwgegevens Allacker'!$J$5:$Q$83,8,0)</f>
        <v>#N/A</v>
      </c>
      <c r="I636" s="108">
        <v>1</v>
      </c>
      <c r="J636" s="98"/>
      <c r="K636" s="98"/>
      <c r="L636" s="98"/>
      <c r="M636" s="98"/>
      <c r="N636" s="98"/>
      <c r="O636" s="98"/>
      <c r="P636" s="96"/>
    </row>
    <row r="637" spans="1:16" ht="16.5" customHeight="1" thickTop="1" thickBot="1" x14ac:dyDescent="0.3">
      <c r="A637" s="95"/>
      <c r="B637" s="106" t="s">
        <v>252</v>
      </c>
      <c r="C637" s="107" t="e">
        <f>VLOOKUP(B637,'Gebouwgegevens Allacker'!$J$5:$Q$83,3,0)</f>
        <v>#N/A</v>
      </c>
      <c r="D637" s="107" t="e">
        <f>VLOOKUP(B637,'Gebouwgegevens Allacker'!$J$5:$Q$83,4,0)</f>
        <v>#N/A</v>
      </c>
      <c r="E637" s="107" t="e">
        <f>VLOOKUP(B637,'Gebouwgegevens Allacker'!$J$5:$Q$83,5,0)</f>
        <v>#N/A</v>
      </c>
      <c r="F637" s="107" t="e">
        <f>VLOOKUP(B637,'Gebouwgegevens Allacker'!$J$5:$Q$83,6,0)</f>
        <v>#N/A</v>
      </c>
      <c r="G637" s="107" t="e">
        <f>VLOOKUP(B637,'Gebouwgegevens Allacker'!$J$5:$Q$83,7,0)</f>
        <v>#N/A</v>
      </c>
      <c r="H637" s="108" t="e">
        <f>VLOOKUP(B637,'Gebouwgegevens Allacker'!$J$5:$Q$83,8,0)</f>
        <v>#N/A</v>
      </c>
      <c r="I637" s="108">
        <v>1</v>
      </c>
      <c r="J637" s="98"/>
      <c r="K637" s="98"/>
      <c r="L637" s="98"/>
      <c r="M637" s="98"/>
      <c r="N637" s="98"/>
      <c r="O637" s="98"/>
      <c r="P637" s="96"/>
    </row>
    <row r="638" spans="1:16" ht="16.5" customHeight="1" thickTop="1" thickBot="1" x14ac:dyDescent="0.3">
      <c r="A638" s="95"/>
      <c r="B638" s="106"/>
      <c r="C638" s="107"/>
      <c r="D638" s="107"/>
      <c r="E638" s="107"/>
      <c r="F638" s="107"/>
      <c r="G638" s="107"/>
      <c r="H638" s="108"/>
      <c r="I638" s="108"/>
      <c r="J638" s="98"/>
      <c r="K638" s="98"/>
      <c r="L638" s="98"/>
      <c r="M638" s="98"/>
      <c r="N638" s="98"/>
      <c r="O638" s="98"/>
      <c r="P638" s="96"/>
    </row>
    <row r="639" spans="1:16" ht="16.5" customHeight="1" thickTop="1" thickBot="1" x14ac:dyDescent="0.3">
      <c r="A639" s="95"/>
      <c r="B639" s="106"/>
      <c r="C639" s="107"/>
      <c r="D639" s="107"/>
      <c r="E639" s="107"/>
      <c r="F639" s="107"/>
      <c r="G639" s="107"/>
      <c r="H639" s="108"/>
      <c r="I639" s="108"/>
      <c r="J639" s="98"/>
      <c r="K639" s="98"/>
      <c r="L639" s="98"/>
      <c r="M639" s="98"/>
      <c r="N639" s="98"/>
      <c r="O639" s="98"/>
      <c r="P639" s="96"/>
    </row>
    <row r="640" spans="1:16" ht="16.5" customHeight="1" thickTop="1" thickBot="1" x14ac:dyDescent="0.3">
      <c r="A640" s="95"/>
      <c r="B640" s="106"/>
      <c r="C640" s="107"/>
      <c r="D640" s="107"/>
      <c r="E640" s="107"/>
      <c r="F640" s="107"/>
      <c r="G640" s="107"/>
      <c r="H640" s="108"/>
      <c r="I640" s="108"/>
      <c r="J640" s="98"/>
      <c r="K640" s="98"/>
      <c r="L640" s="98"/>
      <c r="M640" s="98"/>
      <c r="N640" s="98"/>
      <c r="O640" s="98"/>
      <c r="P640" s="96"/>
    </row>
    <row r="641" spans="1:16" ht="16.5" customHeight="1" thickTop="1" thickBot="1" x14ac:dyDescent="0.3">
      <c r="A641" s="95"/>
      <c r="B641" s="106"/>
      <c r="C641" s="107"/>
      <c r="D641" s="107"/>
      <c r="E641" s="107"/>
      <c r="F641" s="107"/>
      <c r="G641" s="107"/>
      <c r="H641" s="108"/>
      <c r="I641" s="108"/>
      <c r="J641" s="98"/>
      <c r="K641" s="98"/>
      <c r="L641" s="98"/>
      <c r="M641" s="98"/>
      <c r="N641" s="98"/>
      <c r="O641" s="98"/>
      <c r="P641" s="96"/>
    </row>
    <row r="642" spans="1:16" ht="16.5" customHeight="1" thickTop="1" thickBot="1" x14ac:dyDescent="0.3">
      <c r="A642" s="95"/>
      <c r="B642" s="106"/>
      <c r="C642" s="107"/>
      <c r="D642" s="107"/>
      <c r="E642" s="107"/>
      <c r="F642" s="107"/>
      <c r="G642" s="107"/>
      <c r="H642" s="108"/>
      <c r="I642" s="108"/>
      <c r="J642" s="98"/>
      <c r="K642" s="98"/>
      <c r="L642" s="98"/>
      <c r="M642" s="98"/>
      <c r="N642" s="98"/>
      <c r="O642" s="98"/>
      <c r="P642" s="96"/>
    </row>
    <row r="643" spans="1:16" ht="16.5" customHeight="1" thickTop="1" thickBot="1" x14ac:dyDescent="0.3">
      <c r="A643" s="95"/>
      <c r="B643" s="106"/>
      <c r="C643" s="107"/>
      <c r="D643" s="107"/>
      <c r="E643" s="107"/>
      <c r="F643" s="107"/>
      <c r="G643" s="107"/>
      <c r="H643" s="108"/>
      <c r="I643" s="108"/>
      <c r="J643" s="98"/>
      <c r="K643" s="98"/>
      <c r="L643" s="98"/>
      <c r="M643" s="98"/>
      <c r="N643" s="98"/>
      <c r="O643" s="98"/>
      <c r="P643" s="96"/>
    </row>
    <row r="644" spans="1:16" ht="16.5" customHeight="1" thickTop="1" thickBot="1" x14ac:dyDescent="0.3">
      <c r="A644" s="95"/>
      <c r="B644" s="106"/>
      <c r="C644" s="107"/>
      <c r="D644" s="107"/>
      <c r="E644" s="107"/>
      <c r="F644" s="107"/>
      <c r="G644" s="107"/>
      <c r="H644" s="108"/>
      <c r="I644" s="108"/>
      <c r="J644" s="98"/>
      <c r="K644" s="98"/>
      <c r="L644" s="98"/>
      <c r="M644" s="98"/>
      <c r="N644" s="98"/>
      <c r="O644" s="98"/>
      <c r="P644" s="96"/>
    </row>
    <row r="645" spans="1:16" ht="16.5" customHeight="1" thickTop="1" thickBot="1" x14ac:dyDescent="0.3">
      <c r="A645" s="95"/>
      <c r="B645" s="106"/>
      <c r="C645" s="107"/>
      <c r="D645" s="107"/>
      <c r="E645" s="107"/>
      <c r="F645" s="107"/>
      <c r="G645" s="107"/>
      <c r="H645" s="108"/>
      <c r="I645" s="108"/>
      <c r="J645" s="98"/>
      <c r="K645" s="98"/>
      <c r="L645" s="98"/>
      <c r="M645" s="98"/>
      <c r="N645" s="98"/>
      <c r="O645" s="98"/>
      <c r="P645" s="96"/>
    </row>
    <row r="646" spans="1:16" ht="16.5" customHeight="1" thickTop="1" thickBot="1" x14ac:dyDescent="0.3">
      <c r="A646" s="95"/>
      <c r="B646" s="106"/>
      <c r="C646" s="107"/>
      <c r="D646" s="107"/>
      <c r="E646" s="107"/>
      <c r="F646" s="107"/>
      <c r="G646" s="107"/>
      <c r="H646" s="108"/>
      <c r="I646" s="108"/>
      <c r="J646" s="98"/>
      <c r="K646" s="98"/>
      <c r="L646" s="98"/>
      <c r="M646" s="98"/>
      <c r="N646" s="98"/>
      <c r="O646" s="98"/>
      <c r="P646" s="96"/>
    </row>
    <row r="647" spans="1:16" ht="16.5" customHeight="1" thickTop="1" thickBot="1" x14ac:dyDescent="0.3">
      <c r="A647" s="95"/>
      <c r="B647" s="106"/>
      <c r="C647" s="107"/>
      <c r="D647" s="107"/>
      <c r="E647" s="107"/>
      <c r="F647" s="107"/>
      <c r="G647" s="107"/>
      <c r="H647" s="108"/>
      <c r="I647" s="108"/>
      <c r="J647" s="98"/>
      <c r="K647" s="98"/>
      <c r="L647" s="98"/>
      <c r="M647" s="98"/>
      <c r="N647" s="98"/>
      <c r="O647" s="98"/>
      <c r="P647" s="96"/>
    </row>
    <row r="648" spans="1:16" ht="15.75" customHeight="1" thickTop="1" x14ac:dyDescent="0.25">
      <c r="A648" s="95"/>
      <c r="B648" s="58"/>
      <c r="C648" s="58"/>
      <c r="D648" s="58"/>
      <c r="E648" s="58"/>
      <c r="F648" s="58"/>
      <c r="G648" s="114"/>
      <c r="H648" s="58"/>
      <c r="I648" s="58"/>
      <c r="J648" s="98"/>
      <c r="K648" s="98"/>
      <c r="L648" s="98"/>
      <c r="M648" s="98"/>
      <c r="N648" s="98"/>
      <c r="O648" s="98"/>
      <c r="P648" s="96"/>
    </row>
    <row r="649" spans="1:16" ht="15" customHeight="1" x14ac:dyDescent="0.25">
      <c r="A649" s="95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6"/>
    </row>
    <row r="650" spans="1:16" ht="15" customHeight="1" x14ac:dyDescent="0.25">
      <c r="A650" s="103" t="s">
        <v>177</v>
      </c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6"/>
    </row>
    <row r="651" spans="1:16" ht="15.75" customHeight="1" x14ac:dyDescent="0.25">
      <c r="A651" s="95"/>
      <c r="B651" s="58" t="s">
        <v>10</v>
      </c>
      <c r="C651" s="58" t="s">
        <v>178</v>
      </c>
      <c r="D651" s="58" t="s">
        <v>172</v>
      </c>
      <c r="E651" s="58" t="s">
        <v>179</v>
      </c>
      <c r="F651" s="58" t="s">
        <v>16</v>
      </c>
      <c r="G651" s="114" t="s">
        <v>17</v>
      </c>
      <c r="H651" s="114" t="s">
        <v>175</v>
      </c>
      <c r="I651" s="58" t="s">
        <v>180</v>
      </c>
      <c r="J651" s="58" t="s">
        <v>181</v>
      </c>
      <c r="K651" s="58" t="s">
        <v>182</v>
      </c>
      <c r="L651" s="115" t="s">
        <v>183</v>
      </c>
      <c r="M651" s="115" t="s">
        <v>184</v>
      </c>
      <c r="N651" s="115" t="s">
        <v>185</v>
      </c>
      <c r="O651" s="98"/>
      <c r="P651" s="96"/>
    </row>
    <row r="652" spans="1:16" ht="16.5" customHeight="1" thickBot="1" x14ac:dyDescent="0.3">
      <c r="A652" s="95"/>
      <c r="B652" s="116" t="s">
        <v>253</v>
      </c>
      <c r="C652" s="117" t="e">
        <f>VLOOKUP(B652,'Gebouwgegevens Allacker'!$J$5:$Q$83,3,0)</f>
        <v>#N/A</v>
      </c>
      <c r="D652" s="117" t="e">
        <f>VLOOKUP(B652,'Gebouwgegevens Allacker'!$J$5:$Q$83,4,0)</f>
        <v>#N/A</v>
      </c>
      <c r="E652" s="117" t="e">
        <f>VLOOKUP(B652,'Gebouwgegevens Allacker'!$J$5:$Q$83,5,0)</f>
        <v>#N/A</v>
      </c>
      <c r="F652" s="117" t="e">
        <f>VLOOKUP(B652,'Gebouwgegevens Allacker'!$J$5:$Q$83,7,0)</f>
        <v>#N/A</v>
      </c>
      <c r="G652" s="118" t="e">
        <f>VLOOKUP(B652,'Gebouwgegevens Allacker'!$J$5:$Q$83,8,0)</f>
        <v>#N/A</v>
      </c>
      <c r="H652" s="118" t="e">
        <f>N652/F652</f>
        <v>#N/A</v>
      </c>
      <c r="I652" s="117" t="e">
        <f>VLOOKUP(C652,'Gebouwgegevens Allacker'!$A$35:$F$46,6,0)</f>
        <v>#N/A</v>
      </c>
      <c r="J652" s="116">
        <v>6.52</v>
      </c>
      <c r="K652" s="116">
        <v>0.33</v>
      </c>
      <c r="L652" s="119" t="e">
        <f>I652/(0.5*J652)</f>
        <v>#N/A</v>
      </c>
      <c r="M652" s="119" t="e">
        <f>K652+2*(1/F652)</f>
        <v>#N/A</v>
      </c>
      <c r="N652" s="120" t="e">
        <f>IF(M652&lt;L652,2*2/(PI()*L652+M652)*LN(PI()*L652/M652+1),2/(0.457*L652+M652))</f>
        <v>#N/A</v>
      </c>
      <c r="O652" s="98"/>
      <c r="P652" s="96"/>
    </row>
    <row r="653" spans="1:16" ht="16.5" customHeight="1" thickTop="1" thickBot="1" x14ac:dyDescent="0.3">
      <c r="A653" s="95"/>
      <c r="B653" s="116"/>
      <c r="C653" s="117"/>
      <c r="D653" s="117"/>
      <c r="E653" s="117"/>
      <c r="F653" s="117"/>
      <c r="G653" s="118"/>
      <c r="H653" s="118"/>
      <c r="I653" s="117"/>
      <c r="J653" s="116"/>
      <c r="K653" s="116"/>
      <c r="L653" s="119"/>
      <c r="M653" s="119"/>
      <c r="N653" s="120"/>
      <c r="O653" s="98"/>
      <c r="P653" s="96"/>
    </row>
    <row r="654" spans="1:16" ht="16.5" customHeight="1" thickTop="1" thickBot="1" x14ac:dyDescent="0.3">
      <c r="A654" s="95"/>
      <c r="B654" s="116"/>
      <c r="C654" s="117"/>
      <c r="D654" s="117"/>
      <c r="E654" s="117"/>
      <c r="F654" s="117"/>
      <c r="G654" s="118"/>
      <c r="H654" s="118"/>
      <c r="I654" s="117"/>
      <c r="J654" s="116"/>
      <c r="K654" s="116"/>
      <c r="L654" s="119"/>
      <c r="M654" s="119"/>
      <c r="N654" s="120"/>
      <c r="O654" s="98"/>
      <c r="P654" s="96"/>
    </row>
    <row r="655" spans="1:16" ht="16.5" customHeight="1" thickTop="1" thickBot="1" x14ac:dyDescent="0.3">
      <c r="A655" s="95"/>
      <c r="B655" s="116"/>
      <c r="C655" s="117"/>
      <c r="D655" s="117"/>
      <c r="E655" s="117"/>
      <c r="F655" s="117"/>
      <c r="G655" s="118"/>
      <c r="H655" s="118"/>
      <c r="I655" s="117"/>
      <c r="J655" s="116"/>
      <c r="K655" s="116"/>
      <c r="L655" s="119"/>
      <c r="M655" s="119"/>
      <c r="N655" s="120"/>
      <c r="O655" s="98"/>
      <c r="P655" s="96"/>
    </row>
    <row r="656" spans="1:16" ht="16.5" customHeight="1" thickTop="1" thickBot="1" x14ac:dyDescent="0.3">
      <c r="A656" s="138"/>
      <c r="B656" s="116"/>
      <c r="C656" s="117"/>
      <c r="D656" s="117"/>
      <c r="E656" s="117"/>
      <c r="F656" s="117"/>
      <c r="G656" s="118"/>
      <c r="H656" s="118"/>
      <c r="I656" s="117"/>
      <c r="J656" s="116"/>
      <c r="K656" s="116"/>
      <c r="L656" s="119"/>
      <c r="M656" s="119"/>
      <c r="N656" s="120"/>
      <c r="O656" s="98"/>
      <c r="P656" s="96"/>
    </row>
    <row r="657" spans="1:16" ht="15.75" customHeight="1" thickTop="1" x14ac:dyDescent="0.25">
      <c r="A657" s="95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6"/>
    </row>
    <row r="658" spans="1:16" ht="15" customHeight="1" x14ac:dyDescent="0.25">
      <c r="A658" s="103" t="s">
        <v>186</v>
      </c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6"/>
    </row>
    <row r="659" spans="1:16" ht="15.75" customHeight="1" thickBot="1" x14ac:dyDescent="0.3">
      <c r="A659" s="95"/>
      <c r="B659" s="58" t="s">
        <v>10</v>
      </c>
      <c r="C659" s="58" t="s">
        <v>187</v>
      </c>
      <c r="D659" s="58" t="s">
        <v>188</v>
      </c>
      <c r="E659" s="58" t="s">
        <v>135</v>
      </c>
      <c r="F659" s="58" t="s">
        <v>189</v>
      </c>
      <c r="G659" s="58" t="s">
        <v>190</v>
      </c>
      <c r="H659" s="58" t="s">
        <v>191</v>
      </c>
      <c r="I659" s="58" t="s">
        <v>16</v>
      </c>
      <c r="J659" s="114" t="s">
        <v>17</v>
      </c>
      <c r="K659" s="114" t="s">
        <v>175</v>
      </c>
      <c r="L659" s="98"/>
      <c r="M659" s="98"/>
      <c r="N659" s="98"/>
      <c r="O659" s="98"/>
      <c r="P659" s="96"/>
    </row>
    <row r="660" spans="1:16" ht="16.5" customHeight="1" thickTop="1" thickBot="1" x14ac:dyDescent="0.3">
      <c r="A660" s="95"/>
      <c r="B660" s="116" t="s">
        <v>219</v>
      </c>
      <c r="C660" s="122" t="e">
        <f>IF(VLOOKUP(B660,'Gebouwgegevens Allacker'!$J$5:$Q$83,2,0)=$B$630,VLOOKUP(B660,'Gebouwgegevens Allacker'!$J$5:$Q$83,2,0),VLOOKUP(B660,'Gebouwgegevens Allacker'!$J$5:$Q$83,3,0))</f>
        <v>#N/A</v>
      </c>
      <c r="D660" s="122" t="e">
        <f>IF(VLOOKUP(B660,'Gebouwgegevens Allacker'!$J$5:$Q$83,2,0)=$B$630,VLOOKUP(B660,'Gebouwgegevens Allacker'!$J$5:$Q$83,3,0),VLOOKUP(B660,'Gebouwgegevens Allacker'!$J$5:$Q$83,2,0))</f>
        <v>#N/A</v>
      </c>
      <c r="E660" s="122" t="e">
        <f>VLOOKUP(B660,'Gebouwgegevens Allacker'!$J$5:$Q$83,4,0)</f>
        <v>#N/A</v>
      </c>
      <c r="F660" s="122" t="e">
        <f>VLOOKUP(B660,'Gebouwgegevens Allacker'!$J$5:$Q$83,5,0)</f>
        <v>#N/A</v>
      </c>
      <c r="G660" s="122" t="e">
        <f>VLOOKUP('Verwarming Tabula 2zone Ref 2'!C660,'Gebouwgegevens Allacker'!$A$35:$F$46,5,0)</f>
        <v>#N/A</v>
      </c>
      <c r="H660" s="122" t="e">
        <f>VLOOKUP('Verwarming Tabula 2zone Ref 2'!D660,'Gebouwgegevens Allacker'!$A$35:$F$46,5,0)</f>
        <v>#N/A</v>
      </c>
      <c r="I660" s="122" t="e">
        <f>VLOOKUP(B660,'Gebouwgegevens Allacker'!$J$5:$Q$83,7,0)</f>
        <v>#N/A</v>
      </c>
      <c r="J660" s="118" t="e">
        <f>VLOOKUP(B660,'Gebouwgegevens Allacker'!$J$5:$Q$83,8,0)</f>
        <v>#N/A</v>
      </c>
      <c r="K660" s="118" t="e">
        <f>(G660-H660)/(G660-$B$4)</f>
        <v>#N/A</v>
      </c>
      <c r="L660" s="98"/>
      <c r="M660" s="98"/>
      <c r="N660" s="98"/>
      <c r="O660" s="98"/>
      <c r="P660" s="96"/>
    </row>
    <row r="661" spans="1:16" ht="16.5" customHeight="1" thickTop="1" thickBot="1" x14ac:dyDescent="0.3">
      <c r="A661" s="95"/>
      <c r="B661" s="116" t="s">
        <v>254</v>
      </c>
      <c r="C661" s="122" t="e">
        <f>IF(VLOOKUP(B661,'Gebouwgegevens Allacker'!$J$5:$Q$83,2,0)=$B$630,VLOOKUP(B661,'Gebouwgegevens Allacker'!$J$5:$Q$83,2,0),VLOOKUP(B661,'Gebouwgegevens Allacker'!$J$5:$Q$83,3,0))</f>
        <v>#N/A</v>
      </c>
      <c r="D661" s="122" t="e">
        <f>IF(VLOOKUP(B661,'Gebouwgegevens Allacker'!$J$5:$Q$83,2,0)=$B$630,VLOOKUP(B661,'Gebouwgegevens Allacker'!$J$5:$Q$83,3,0),VLOOKUP(B661,'Gebouwgegevens Allacker'!$J$5:$Q$83,2,0))</f>
        <v>#N/A</v>
      </c>
      <c r="E661" s="122" t="e">
        <f>VLOOKUP(B661,'Gebouwgegevens Allacker'!$J$5:$Q$83,4,0)</f>
        <v>#N/A</v>
      </c>
      <c r="F661" s="122" t="e">
        <f>VLOOKUP(B661,'Gebouwgegevens Allacker'!$J$5:$Q$83,5,0)</f>
        <v>#N/A</v>
      </c>
      <c r="G661" s="122" t="e">
        <f>VLOOKUP('Verwarming Tabula 2zone Ref 2'!C661,'Gebouwgegevens Allacker'!$A$35:$F$46,5,0)</f>
        <v>#N/A</v>
      </c>
      <c r="H661" s="122" t="e">
        <f>VLOOKUP('Verwarming Tabula 2zone Ref 2'!D661,'Gebouwgegevens Allacker'!$A$35:$F$46,5,0)</f>
        <v>#N/A</v>
      </c>
      <c r="I661" s="122" t="e">
        <f>VLOOKUP(B661,'Gebouwgegevens Allacker'!$J$5:$Q$83,7,0)</f>
        <v>#N/A</v>
      </c>
      <c r="J661" s="118" t="e">
        <f>VLOOKUP(B661,'Gebouwgegevens Allacker'!$J$5:$Q$83,8,0)</f>
        <v>#N/A</v>
      </c>
      <c r="K661" s="118" t="e">
        <f>(G661-H661)/(G661-$B$4)</f>
        <v>#N/A</v>
      </c>
      <c r="L661" s="98"/>
      <c r="M661" s="98"/>
      <c r="N661" s="98"/>
      <c r="O661" s="98"/>
      <c r="P661" s="96"/>
    </row>
    <row r="662" spans="1:16" ht="16.5" customHeight="1" thickTop="1" thickBot="1" x14ac:dyDescent="0.3">
      <c r="A662" s="95"/>
      <c r="B662" s="116"/>
      <c r="C662" s="122"/>
      <c r="D662" s="122"/>
      <c r="E662" s="122"/>
      <c r="F662" s="122"/>
      <c r="G662" s="122"/>
      <c r="H662" s="122"/>
      <c r="I662" s="122"/>
      <c r="J662" s="118"/>
      <c r="K662" s="118"/>
      <c r="L662" s="98"/>
      <c r="M662" s="98"/>
      <c r="N662" s="98"/>
      <c r="O662" s="98"/>
      <c r="P662" s="96"/>
    </row>
    <row r="663" spans="1:16" ht="16.5" customHeight="1" thickTop="1" thickBot="1" x14ac:dyDescent="0.3">
      <c r="A663" s="95"/>
      <c r="B663" s="116"/>
      <c r="C663" s="122"/>
      <c r="D663" s="122"/>
      <c r="E663" s="122"/>
      <c r="F663" s="122"/>
      <c r="G663" s="122"/>
      <c r="H663" s="122"/>
      <c r="I663" s="122"/>
      <c r="J663" s="118"/>
      <c r="K663" s="118"/>
      <c r="L663" s="98"/>
      <c r="M663" s="98"/>
      <c r="N663" s="98"/>
      <c r="O663" s="98"/>
      <c r="P663" s="96"/>
    </row>
    <row r="664" spans="1:16" ht="16.5" customHeight="1" thickTop="1" thickBot="1" x14ac:dyDescent="0.3">
      <c r="A664" s="95"/>
      <c r="B664" s="145"/>
      <c r="C664" s="122"/>
      <c r="D664" s="122"/>
      <c r="E664" s="122"/>
      <c r="F664" s="122"/>
      <c r="G664" s="122"/>
      <c r="H664" s="122"/>
      <c r="I664" s="122"/>
      <c r="J664" s="118"/>
      <c r="K664" s="118"/>
      <c r="L664" s="98"/>
      <c r="M664" s="98"/>
      <c r="N664" s="98"/>
      <c r="O664" s="98"/>
      <c r="P664" s="96"/>
    </row>
    <row r="665" spans="1:16" ht="16.5" customHeight="1" thickTop="1" thickBot="1" x14ac:dyDescent="0.3">
      <c r="A665" s="95"/>
      <c r="B665" s="123"/>
      <c r="C665" s="139"/>
      <c r="D665" s="122"/>
      <c r="E665" s="122"/>
      <c r="F665" s="122"/>
      <c r="G665" s="122"/>
      <c r="H665" s="122"/>
      <c r="I665" s="122"/>
      <c r="J665" s="118"/>
      <c r="K665" s="118"/>
      <c r="L665" s="98"/>
      <c r="M665" s="98"/>
      <c r="N665" s="98"/>
      <c r="O665" s="98"/>
      <c r="P665" s="96"/>
    </row>
    <row r="666" spans="1:16" ht="16.5" customHeight="1" thickTop="1" thickBot="1" x14ac:dyDescent="0.3">
      <c r="A666" s="95"/>
      <c r="B666" s="123"/>
      <c r="C666" s="139"/>
      <c r="D666" s="122"/>
      <c r="E666" s="122"/>
      <c r="F666" s="122"/>
      <c r="G666" s="122"/>
      <c r="H666" s="122"/>
      <c r="I666" s="122"/>
      <c r="J666" s="118"/>
      <c r="K666" s="118"/>
      <c r="L666" s="98"/>
      <c r="M666" s="98"/>
      <c r="N666" s="98"/>
      <c r="O666" s="98"/>
      <c r="P666" s="96"/>
    </row>
    <row r="667" spans="1:16" ht="16.5" customHeight="1" thickTop="1" thickBot="1" x14ac:dyDescent="0.3">
      <c r="A667" s="95"/>
      <c r="B667" s="123"/>
      <c r="C667" s="139"/>
      <c r="D667" s="122"/>
      <c r="E667" s="122"/>
      <c r="F667" s="122"/>
      <c r="G667" s="122"/>
      <c r="H667" s="122"/>
      <c r="I667" s="122"/>
      <c r="J667" s="118"/>
      <c r="K667" s="118"/>
      <c r="L667" s="98"/>
      <c r="M667" s="98"/>
      <c r="N667" s="98"/>
      <c r="O667" s="98"/>
      <c r="P667" s="96"/>
    </row>
    <row r="668" spans="1:16" ht="16.5" customHeight="1" thickTop="1" thickBot="1" x14ac:dyDescent="0.3">
      <c r="A668" s="95"/>
      <c r="B668" s="123"/>
      <c r="C668" s="139"/>
      <c r="D668" s="122"/>
      <c r="E668" s="122"/>
      <c r="F668" s="122"/>
      <c r="G668" s="122"/>
      <c r="H668" s="122"/>
      <c r="I668" s="122"/>
      <c r="J668" s="118"/>
      <c r="K668" s="118"/>
      <c r="L668" s="98"/>
      <c r="M668" s="98"/>
      <c r="N668" s="98"/>
      <c r="O668" s="98"/>
      <c r="P668" s="96"/>
    </row>
    <row r="669" spans="1:16" ht="16.5" customHeight="1" thickTop="1" thickBot="1" x14ac:dyDescent="0.3">
      <c r="A669" s="95"/>
      <c r="B669" s="123"/>
      <c r="C669" s="139"/>
      <c r="D669" s="122"/>
      <c r="E669" s="122"/>
      <c r="F669" s="122"/>
      <c r="G669" s="122"/>
      <c r="H669" s="122"/>
      <c r="I669" s="122"/>
      <c r="J669" s="118"/>
      <c r="K669" s="118"/>
      <c r="L669" s="98"/>
      <c r="M669" s="98"/>
      <c r="N669" s="98"/>
      <c r="O669" s="98"/>
      <c r="P669" s="96"/>
    </row>
    <row r="670" spans="1:16" ht="15.75" customHeight="1" thickTop="1" x14ac:dyDescent="0.25">
      <c r="A670" s="95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8"/>
      <c r="M670" s="98"/>
      <c r="N670" s="98"/>
      <c r="O670" s="98"/>
      <c r="P670" s="96"/>
    </row>
    <row r="671" spans="1:16" ht="15" customHeight="1" x14ac:dyDescent="0.25">
      <c r="A671" s="95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6"/>
    </row>
    <row r="672" spans="1:16" ht="15.75" customHeight="1" x14ac:dyDescent="0.25">
      <c r="A672" s="103" t="s">
        <v>192</v>
      </c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6"/>
    </row>
    <row r="673" spans="1:16" ht="16.5" customHeight="1" x14ac:dyDescent="0.25">
      <c r="A673" s="124" t="s">
        <v>193</v>
      </c>
      <c r="B673" s="118" t="e">
        <f>SUMPRODUCT(H636:H647,I636:I647)+SUMPRODUCT(G652:G656,H652:H656)+SUMPRODUCT(J660:J669,K660:K669)</f>
        <v>#N/A</v>
      </c>
      <c r="C673" s="118" t="s">
        <v>107</v>
      </c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6"/>
    </row>
    <row r="674" spans="1:16" ht="16.5" customHeight="1" x14ac:dyDescent="0.25">
      <c r="A674" s="124" t="s">
        <v>167</v>
      </c>
      <c r="B674" s="118" t="e">
        <f>B673*(G660-$B$4)</f>
        <v>#N/A</v>
      </c>
      <c r="C674" s="118" t="s">
        <v>169</v>
      </c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6"/>
    </row>
    <row r="675" spans="1:16" ht="15.75" customHeight="1" thickBot="1" x14ac:dyDescent="0.3">
      <c r="A675" s="109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1"/>
    </row>
    <row r="676" spans="1:16" ht="15.75" customHeight="1" thickTop="1" x14ac:dyDescent="0.25">
      <c r="A676" s="343" t="s">
        <v>194</v>
      </c>
      <c r="B676" s="343"/>
      <c r="C676" s="343"/>
      <c r="D676" s="125" t="s">
        <v>222</v>
      </c>
      <c r="E676" s="299"/>
      <c r="F676" s="299"/>
      <c r="G676" s="299"/>
      <c r="H676" s="299"/>
      <c r="I676" s="299"/>
      <c r="J676" s="299"/>
      <c r="K676" s="299"/>
      <c r="L676" s="299"/>
      <c r="M676" s="299"/>
      <c r="N676" s="299"/>
      <c r="O676" s="299"/>
      <c r="P676" s="94"/>
    </row>
    <row r="677" spans="1:16" ht="15" customHeight="1" x14ac:dyDescent="0.25">
      <c r="A677" s="95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6"/>
    </row>
    <row r="678" spans="1:16" ht="15" customHeight="1" thickBot="1" x14ac:dyDescent="0.3">
      <c r="A678" s="126" t="s">
        <v>195</v>
      </c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6"/>
    </row>
    <row r="679" spans="1:16" ht="15" customHeight="1" thickTop="1" thickBot="1" x14ac:dyDescent="0.3">
      <c r="A679" s="127" t="s">
        <v>196</v>
      </c>
      <c r="B679" s="121">
        <v>8</v>
      </c>
      <c r="C679" s="120" t="s">
        <v>197</v>
      </c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6"/>
    </row>
    <row r="680" spans="1:16" ht="15" customHeight="1" thickTop="1" thickBot="1" x14ac:dyDescent="0.3">
      <c r="A680" s="127" t="s">
        <v>198</v>
      </c>
      <c r="B680" s="121">
        <v>0.03</v>
      </c>
      <c r="C680" s="120" t="s">
        <v>199</v>
      </c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6"/>
    </row>
    <row r="681" spans="1:16" ht="15.75" customHeight="1" thickTop="1" thickBot="1" x14ac:dyDescent="0.3">
      <c r="A681" s="127" t="s">
        <v>200</v>
      </c>
      <c r="B681" s="121">
        <v>1</v>
      </c>
      <c r="C681" s="120" t="s">
        <v>201</v>
      </c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6"/>
    </row>
    <row r="682" spans="1:16" ht="16.5" customHeight="1" thickTop="1" x14ac:dyDescent="0.25">
      <c r="A682" s="124" t="s">
        <v>202</v>
      </c>
      <c r="B682" s="118" t="e">
        <f>2*VLOOKUP(B630,'Gebouwgegevens Allacker'!$A$35:$F$46,6,0)*B679*B680*B681</f>
        <v>#N/A</v>
      </c>
      <c r="C682" s="118" t="s">
        <v>203</v>
      </c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6"/>
    </row>
    <row r="683" spans="1:16" ht="15.75" customHeight="1" x14ac:dyDescent="0.25">
      <c r="A683" s="138"/>
      <c r="B683" s="58"/>
      <c r="C683" s="5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6"/>
    </row>
    <row r="684" spans="1:16" ht="15" customHeight="1" x14ac:dyDescent="0.25">
      <c r="A684" s="146" t="s">
        <v>204</v>
      </c>
      <c r="B684" s="58"/>
      <c r="C684" s="5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6"/>
    </row>
    <row r="685" spans="1:16" ht="15.75" customHeight="1" x14ac:dyDescent="0.25">
      <c r="A685" s="138" t="s">
        <v>180</v>
      </c>
      <c r="B685" s="58" t="e">
        <f>VLOOKUP(B630,'Gebouwgegevens Allacker'!$A$35:$F$46,6,0)</f>
        <v>#N/A</v>
      </c>
      <c r="C685" s="5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6"/>
    </row>
    <row r="686" spans="1:16" ht="16.5" customHeight="1" x14ac:dyDescent="0.25">
      <c r="A686" s="124" t="s">
        <v>205</v>
      </c>
      <c r="B686" s="128">
        <v>50</v>
      </c>
      <c r="C686" s="118" t="s">
        <v>203</v>
      </c>
      <c r="D686" s="147" t="s">
        <v>255</v>
      </c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6"/>
    </row>
    <row r="687" spans="1:16" ht="15.75" customHeight="1" x14ac:dyDescent="0.25">
      <c r="A687" s="138"/>
      <c r="B687" s="58"/>
      <c r="C687" s="5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6"/>
    </row>
    <row r="688" spans="1:16" ht="15.75" customHeight="1" x14ac:dyDescent="0.25">
      <c r="A688" s="138"/>
      <c r="B688" s="58"/>
      <c r="C688" s="5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6"/>
    </row>
    <row r="689" spans="1:16" ht="16.5" customHeight="1" x14ac:dyDescent="0.25">
      <c r="A689" s="124" t="s">
        <v>207</v>
      </c>
      <c r="B689" s="118" t="e">
        <f>MAX(B682,B686)</f>
        <v>#N/A</v>
      </c>
      <c r="C689" s="118" t="s">
        <v>203</v>
      </c>
      <c r="D689" s="98"/>
      <c r="E689" s="98"/>
      <c r="F689" s="118" t="s">
        <v>208</v>
      </c>
      <c r="G689" s="118" t="e">
        <f>B689/VLOOKUP(B630,'Gebouwgegevens Allacker'!$A$35:$B$46,2,0)</f>
        <v>#N/A</v>
      </c>
      <c r="H689" s="98"/>
      <c r="I689" s="98"/>
      <c r="J689" s="98"/>
      <c r="K689" s="98"/>
      <c r="L689" s="98"/>
      <c r="M689" s="98"/>
      <c r="N689" s="98"/>
      <c r="O689" s="98"/>
      <c r="P689" s="96"/>
    </row>
    <row r="690" spans="1:16" ht="16.5" customHeight="1" x14ac:dyDescent="0.25">
      <c r="A690" s="138"/>
      <c r="B690" s="58"/>
      <c r="C690" s="5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6"/>
    </row>
    <row r="691" spans="1:16" ht="16.5" customHeight="1" x14ac:dyDescent="0.25">
      <c r="A691" s="124" t="s">
        <v>209</v>
      </c>
      <c r="B691" s="118" t="e">
        <f>0.34*B689</f>
        <v>#N/A</v>
      </c>
      <c r="C691" s="118" t="s">
        <v>107</v>
      </c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6"/>
    </row>
    <row r="692" spans="1:16" ht="16.5" customHeight="1" x14ac:dyDescent="0.25">
      <c r="A692" s="124" t="s">
        <v>167</v>
      </c>
      <c r="B692" s="118" t="e">
        <f>B691*('Gebouwgegevens Allacker'!E652-$B$4)</f>
        <v>#N/A</v>
      </c>
      <c r="C692" s="118" t="s">
        <v>169</v>
      </c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6"/>
    </row>
    <row r="693" spans="1:16" ht="15.75" customHeight="1" thickBot="1" x14ac:dyDescent="0.3">
      <c r="A693" s="140"/>
      <c r="B693" s="141"/>
      <c r="C693" s="141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1"/>
    </row>
    <row r="694" spans="1:16" ht="15.75" customHeight="1" thickTop="1" x14ac:dyDescent="0.25">
      <c r="A694" s="343" t="s">
        <v>210</v>
      </c>
      <c r="B694" s="343"/>
      <c r="C694" s="343"/>
      <c r="D694" s="343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6"/>
    </row>
    <row r="695" spans="1:16" ht="15" customHeight="1" thickBot="1" x14ac:dyDescent="0.3">
      <c r="A695" s="95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6"/>
    </row>
    <row r="696" spans="1:16" ht="15" customHeight="1" thickTop="1" thickBot="1" x14ac:dyDescent="0.3">
      <c r="A696" s="127" t="s">
        <v>211</v>
      </c>
      <c r="B696" s="121">
        <v>0</v>
      </c>
      <c r="C696" s="58" t="s">
        <v>232</v>
      </c>
      <c r="D696" s="5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6"/>
    </row>
    <row r="697" spans="1:16" ht="15.75" customHeight="1" thickTop="1" x14ac:dyDescent="0.25">
      <c r="A697" s="3" t="s">
        <v>113</v>
      </c>
      <c r="B697" s="58" t="e">
        <f>VLOOKUP(B630,'Gebouwgegevens Allacker'!$A$35:$F$46,6,0)</f>
        <v>#N/A</v>
      </c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6"/>
    </row>
    <row r="698" spans="1:16" ht="16.5" customHeight="1" x14ac:dyDescent="0.25">
      <c r="A698" s="124" t="s">
        <v>213</v>
      </c>
      <c r="B698" s="118" t="e">
        <f>B699/('Gebouwgegevens Allacker'!E652-'Verwarming Tabula 2zone Ref 2'!$B$4)</f>
        <v>#N/A</v>
      </c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6"/>
    </row>
    <row r="699" spans="1:16" ht="16.5" customHeight="1" x14ac:dyDescent="0.25">
      <c r="A699" s="124" t="s">
        <v>167</v>
      </c>
      <c r="B699" s="118" t="e">
        <f>B696*B697</f>
        <v>#N/A</v>
      </c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6"/>
    </row>
    <row r="700" spans="1:16" ht="15.75" customHeight="1" x14ac:dyDescent="0.25">
      <c r="A700" s="95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6"/>
    </row>
    <row r="701" spans="1:16" ht="15.75" customHeight="1" thickBot="1" x14ac:dyDescent="0.3">
      <c r="A701" s="95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6"/>
    </row>
    <row r="702" spans="1:16" ht="15.75" customHeight="1" thickTop="1" thickBot="1" x14ac:dyDescent="0.3">
      <c r="A702" s="129" t="s">
        <v>214</v>
      </c>
      <c r="B702" s="130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1"/>
    </row>
    <row r="703" spans="1:16" ht="16.5" customHeight="1" thickTop="1" x14ac:dyDescent="0.25">
      <c r="A703" s="124" t="s">
        <v>215</v>
      </c>
      <c r="B703" s="118" t="e">
        <f>SUM(B673,B691,B698)</f>
        <v>#N/A</v>
      </c>
      <c r="C703" s="118" t="s">
        <v>107</v>
      </c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3"/>
    </row>
    <row r="704" spans="1:16" ht="16.5" customHeight="1" x14ac:dyDescent="0.25">
      <c r="A704" s="124" t="s">
        <v>167</v>
      </c>
      <c r="B704" s="118" t="e">
        <f>SUM(B674,B692,B699)</f>
        <v>#N/A</v>
      </c>
      <c r="C704" s="118" t="s">
        <v>169</v>
      </c>
      <c r="D704" s="132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  <c r="O704" s="132"/>
      <c r="P704" s="133"/>
    </row>
    <row r="705" spans="1:16" ht="16.5" customHeight="1" thickBot="1" x14ac:dyDescent="0.3">
      <c r="A705" s="134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6"/>
    </row>
    <row r="706" spans="1:16" ht="15" customHeight="1" thickTop="1" x14ac:dyDescent="0.25">
      <c r="A706" s="137"/>
      <c r="B706" s="137"/>
      <c r="C706" s="137"/>
      <c r="D706" s="137"/>
      <c r="E706" s="137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</row>
    <row r="707" spans="1:16" ht="15.75" customHeight="1" thickBot="1" x14ac:dyDescent="0.3">
      <c r="A707" s="137"/>
      <c r="B707" s="137"/>
      <c r="C707" s="137"/>
      <c r="D707" s="137"/>
      <c r="E707" s="137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</row>
    <row r="708" spans="1:16" ht="15" customHeight="1" thickTop="1" thickBot="1" x14ac:dyDescent="0.3">
      <c r="A708" s="93"/>
      <c r="B708" s="299"/>
      <c r="C708" s="299"/>
      <c r="D708" s="299"/>
      <c r="E708" s="299"/>
      <c r="F708" s="299"/>
      <c r="G708" s="299"/>
      <c r="H708" s="299"/>
      <c r="I708" s="299"/>
      <c r="J708" s="299"/>
      <c r="K708" s="299"/>
      <c r="L708" s="299"/>
      <c r="M708" s="299"/>
      <c r="N708" s="299"/>
      <c r="O708" s="299"/>
      <c r="P708" s="94"/>
    </row>
    <row r="709" spans="1:16" ht="17.25" customHeight="1" thickTop="1" thickBot="1" x14ac:dyDescent="0.35">
      <c r="A709" s="97" t="s">
        <v>166</v>
      </c>
      <c r="B709" s="92">
        <v>10</v>
      </c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6"/>
    </row>
    <row r="710" spans="1:16" ht="15.75" customHeight="1" thickTop="1" x14ac:dyDescent="0.25">
      <c r="A710" s="343" t="s">
        <v>168</v>
      </c>
      <c r="B710" s="343"/>
      <c r="C710" s="343"/>
      <c r="D710" s="343"/>
      <c r="E710" s="299"/>
      <c r="F710" s="299"/>
      <c r="G710" s="299"/>
      <c r="H710" s="299"/>
      <c r="I710" s="299"/>
      <c r="J710" s="299"/>
      <c r="K710" s="299"/>
      <c r="L710" s="299"/>
      <c r="M710" s="299"/>
      <c r="N710" s="299"/>
      <c r="O710" s="299"/>
      <c r="P710" s="94"/>
    </row>
    <row r="711" spans="1:16" ht="15" customHeight="1" x14ac:dyDescent="0.25">
      <c r="A711" s="95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6"/>
    </row>
    <row r="712" spans="1:16" ht="15" customHeight="1" x14ac:dyDescent="0.25">
      <c r="A712" s="103" t="s">
        <v>170</v>
      </c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6"/>
    </row>
    <row r="713" spans="1:16" ht="15" customHeight="1" x14ac:dyDescent="0.25">
      <c r="A713" s="95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6"/>
    </row>
    <row r="714" spans="1:16" ht="15.75" customHeight="1" thickBot="1" x14ac:dyDescent="0.3">
      <c r="A714" s="95"/>
      <c r="B714" s="104" t="s">
        <v>10</v>
      </c>
      <c r="C714" s="104" t="s">
        <v>171</v>
      </c>
      <c r="D714" s="104" t="s">
        <v>172</v>
      </c>
      <c r="E714" s="104" t="s">
        <v>173</v>
      </c>
      <c r="F714" s="104" t="s">
        <v>174</v>
      </c>
      <c r="G714" s="104" t="s">
        <v>16</v>
      </c>
      <c r="H714" s="105" t="s">
        <v>17</v>
      </c>
      <c r="I714" s="105" t="s">
        <v>175</v>
      </c>
      <c r="J714" s="98"/>
      <c r="K714" s="98"/>
      <c r="L714" s="98"/>
      <c r="M714" s="98"/>
      <c r="N714" s="98"/>
      <c r="O714" s="98"/>
      <c r="P714" s="96"/>
    </row>
    <row r="715" spans="1:16" ht="16.5" customHeight="1" thickTop="1" thickBot="1" x14ac:dyDescent="0.3">
      <c r="A715" s="95"/>
      <c r="B715" s="106" t="s">
        <v>256</v>
      </c>
      <c r="C715" s="107" t="e">
        <f>VLOOKUP(B715,'Gebouwgegevens Allacker'!$J$5:$Q$83,3,0)</f>
        <v>#N/A</v>
      </c>
      <c r="D715" s="107" t="e">
        <f>VLOOKUP(B715,'Gebouwgegevens Allacker'!$J$5:$Q$83,4,0)</f>
        <v>#N/A</v>
      </c>
      <c r="E715" s="107" t="e">
        <f>VLOOKUP(B715,'Gebouwgegevens Allacker'!$J$5:$Q$83,5,0)</f>
        <v>#N/A</v>
      </c>
      <c r="F715" s="107" t="e">
        <f>VLOOKUP(B715,'Gebouwgegevens Allacker'!$J$5:$Q$83,6,0)</f>
        <v>#N/A</v>
      </c>
      <c r="G715" s="107" t="e">
        <f>VLOOKUP(B715,'Gebouwgegevens Allacker'!$J$5:$Q$83,7,0)</f>
        <v>#N/A</v>
      </c>
      <c r="H715" s="108" t="e">
        <f>VLOOKUP(B715,'Gebouwgegevens Allacker'!$J$5:$Q$83,8,0)</f>
        <v>#N/A</v>
      </c>
      <c r="I715" s="108">
        <v>1</v>
      </c>
      <c r="J715" s="98"/>
      <c r="K715" s="98"/>
      <c r="L715" s="98"/>
      <c r="M715" s="98"/>
      <c r="N715" s="98"/>
      <c r="O715" s="98"/>
      <c r="P715" s="96"/>
    </row>
    <row r="716" spans="1:16" ht="16.5" customHeight="1" thickTop="1" thickBot="1" x14ac:dyDescent="0.3">
      <c r="A716" s="95"/>
      <c r="B716" s="106" t="s">
        <v>257</v>
      </c>
      <c r="C716" s="107" t="e">
        <f>VLOOKUP(B716,'Gebouwgegevens Allacker'!$J$5:$Q$83,3,0)</f>
        <v>#N/A</v>
      </c>
      <c r="D716" s="107" t="e">
        <f>VLOOKUP(B716,'Gebouwgegevens Allacker'!$J$5:$Q$83,4,0)</f>
        <v>#N/A</v>
      </c>
      <c r="E716" s="107" t="e">
        <f>VLOOKUP(B716,'Gebouwgegevens Allacker'!$J$5:$Q$83,5,0)</f>
        <v>#N/A</v>
      </c>
      <c r="F716" s="107" t="e">
        <f>VLOOKUP(B716,'Gebouwgegevens Allacker'!$J$5:$Q$83,6,0)</f>
        <v>#N/A</v>
      </c>
      <c r="G716" s="107" t="e">
        <f>VLOOKUP(B716,'Gebouwgegevens Allacker'!$J$5:$Q$83,7,0)</f>
        <v>#N/A</v>
      </c>
      <c r="H716" s="108" t="e">
        <f>VLOOKUP(B716,'Gebouwgegevens Allacker'!$J$5:$Q$83,8,0)</f>
        <v>#N/A</v>
      </c>
      <c r="I716" s="108">
        <v>1</v>
      </c>
      <c r="J716" s="98"/>
      <c r="K716" s="98"/>
      <c r="L716" s="98"/>
      <c r="M716" s="98"/>
      <c r="N716" s="98"/>
      <c r="O716" s="98"/>
      <c r="P716" s="96"/>
    </row>
    <row r="717" spans="1:16" ht="16.5" customHeight="1" thickTop="1" thickBot="1" x14ac:dyDescent="0.3">
      <c r="A717" s="95"/>
      <c r="B717" s="106" t="s">
        <v>258</v>
      </c>
      <c r="C717" s="107" t="e">
        <f>VLOOKUP(B717,'Gebouwgegevens Allacker'!$J$5:$Q$83,3,0)</f>
        <v>#N/A</v>
      </c>
      <c r="D717" s="107" t="e">
        <f>VLOOKUP(B717,'Gebouwgegevens Allacker'!$J$5:$Q$83,4,0)</f>
        <v>#N/A</v>
      </c>
      <c r="E717" s="107" t="e">
        <f>VLOOKUP(B717,'Gebouwgegevens Allacker'!$J$5:$Q$83,5,0)</f>
        <v>#N/A</v>
      </c>
      <c r="F717" s="107" t="e">
        <f>VLOOKUP(B717,'Gebouwgegevens Allacker'!$J$5:$Q$83,6,0)</f>
        <v>#N/A</v>
      </c>
      <c r="G717" s="107" t="e">
        <f>VLOOKUP(B717,'Gebouwgegevens Allacker'!$J$5:$Q$83,7,0)</f>
        <v>#N/A</v>
      </c>
      <c r="H717" s="108" t="e">
        <f>VLOOKUP(B717,'Gebouwgegevens Allacker'!$J$5:$Q$83,8,0)</f>
        <v>#N/A</v>
      </c>
      <c r="I717" s="108">
        <v>1</v>
      </c>
      <c r="J717" s="98"/>
      <c r="K717" s="98"/>
      <c r="L717" s="98"/>
      <c r="M717" s="98"/>
      <c r="N717" s="98"/>
      <c r="O717" s="98"/>
      <c r="P717" s="96"/>
    </row>
    <row r="718" spans="1:16" ht="16.5" customHeight="1" thickTop="1" thickBot="1" x14ac:dyDescent="0.3">
      <c r="A718" s="95"/>
      <c r="B718" s="106"/>
      <c r="C718" s="107"/>
      <c r="D718" s="107"/>
      <c r="E718" s="107"/>
      <c r="F718" s="107"/>
      <c r="G718" s="107"/>
      <c r="H718" s="108"/>
      <c r="I718" s="108"/>
      <c r="J718" s="98"/>
      <c r="K718" s="98"/>
      <c r="L718" s="98"/>
      <c r="M718" s="98"/>
      <c r="N718" s="98"/>
      <c r="O718" s="98"/>
      <c r="P718" s="96"/>
    </row>
    <row r="719" spans="1:16" ht="16.5" customHeight="1" thickTop="1" thickBot="1" x14ac:dyDescent="0.3">
      <c r="A719" s="95"/>
      <c r="B719" s="106"/>
      <c r="C719" s="107"/>
      <c r="D719" s="107"/>
      <c r="E719" s="107"/>
      <c r="F719" s="107"/>
      <c r="G719" s="107"/>
      <c r="H719" s="108"/>
      <c r="I719" s="108"/>
      <c r="J719" s="98"/>
      <c r="K719" s="98"/>
      <c r="L719" s="98"/>
      <c r="M719" s="98"/>
      <c r="N719" s="98"/>
      <c r="O719" s="98"/>
      <c r="P719" s="96"/>
    </row>
    <row r="720" spans="1:16" ht="16.5" customHeight="1" thickTop="1" thickBot="1" x14ac:dyDescent="0.3">
      <c r="A720" s="95"/>
      <c r="B720" s="106"/>
      <c r="C720" s="107"/>
      <c r="D720" s="107"/>
      <c r="E720" s="107"/>
      <c r="F720" s="107"/>
      <c r="G720" s="107"/>
      <c r="H720" s="108"/>
      <c r="I720" s="108"/>
      <c r="J720" s="98"/>
      <c r="K720" s="98"/>
      <c r="L720" s="98"/>
      <c r="M720" s="98"/>
      <c r="N720" s="98"/>
      <c r="O720" s="98"/>
      <c r="P720" s="96"/>
    </row>
    <row r="721" spans="1:16" ht="16.5" customHeight="1" thickTop="1" thickBot="1" x14ac:dyDescent="0.3">
      <c r="A721" s="95"/>
      <c r="B721" s="106"/>
      <c r="C721" s="107"/>
      <c r="D721" s="107"/>
      <c r="E721" s="107"/>
      <c r="F721" s="107"/>
      <c r="G721" s="107"/>
      <c r="H721" s="108"/>
      <c r="I721" s="108"/>
      <c r="J721" s="98"/>
      <c r="K721" s="98"/>
      <c r="L721" s="98"/>
      <c r="M721" s="98"/>
      <c r="N721" s="98"/>
      <c r="O721" s="98"/>
      <c r="P721" s="96"/>
    </row>
    <row r="722" spans="1:16" ht="16.5" customHeight="1" thickTop="1" thickBot="1" x14ac:dyDescent="0.3">
      <c r="A722" s="95"/>
      <c r="B722" s="106"/>
      <c r="C722" s="107"/>
      <c r="D722" s="107"/>
      <c r="E722" s="107"/>
      <c r="F722" s="107"/>
      <c r="G722" s="107"/>
      <c r="H722" s="108"/>
      <c r="I722" s="108"/>
      <c r="J722" s="98"/>
      <c r="K722" s="98"/>
      <c r="L722" s="98"/>
      <c r="M722" s="98"/>
      <c r="N722" s="98"/>
      <c r="O722" s="98"/>
      <c r="P722" s="96"/>
    </row>
    <row r="723" spans="1:16" ht="16.5" customHeight="1" thickTop="1" thickBot="1" x14ac:dyDescent="0.3">
      <c r="A723" s="95"/>
      <c r="B723" s="106"/>
      <c r="C723" s="107"/>
      <c r="D723" s="107"/>
      <c r="E723" s="107"/>
      <c r="F723" s="107"/>
      <c r="G723" s="107"/>
      <c r="H723" s="108"/>
      <c r="I723" s="108"/>
      <c r="J723" s="98"/>
      <c r="K723" s="98"/>
      <c r="L723" s="98"/>
      <c r="M723" s="98"/>
      <c r="N723" s="98"/>
      <c r="O723" s="98"/>
      <c r="P723" s="96"/>
    </row>
    <row r="724" spans="1:16" ht="16.5" customHeight="1" thickTop="1" thickBot="1" x14ac:dyDescent="0.3">
      <c r="A724" s="95"/>
      <c r="B724" s="106"/>
      <c r="C724" s="107"/>
      <c r="D724" s="107"/>
      <c r="E724" s="107"/>
      <c r="F724" s="107"/>
      <c r="G724" s="107"/>
      <c r="H724" s="108"/>
      <c r="I724" s="108"/>
      <c r="J724" s="98"/>
      <c r="K724" s="98"/>
      <c r="L724" s="98"/>
      <c r="M724" s="98"/>
      <c r="N724" s="98"/>
      <c r="O724" s="98"/>
      <c r="P724" s="96"/>
    </row>
    <row r="725" spans="1:16" ht="16.5" customHeight="1" thickTop="1" thickBot="1" x14ac:dyDescent="0.3">
      <c r="A725" s="95"/>
      <c r="B725" s="106"/>
      <c r="C725" s="107"/>
      <c r="D725" s="107"/>
      <c r="E725" s="107"/>
      <c r="F725" s="107"/>
      <c r="G725" s="107"/>
      <c r="H725" s="108"/>
      <c r="I725" s="108"/>
      <c r="J725" s="98"/>
      <c r="K725" s="98"/>
      <c r="L725" s="98"/>
      <c r="M725" s="98"/>
      <c r="N725" s="98"/>
      <c r="O725" s="98"/>
      <c r="P725" s="96"/>
    </row>
    <row r="726" spans="1:16" ht="16.5" customHeight="1" thickTop="1" thickBot="1" x14ac:dyDescent="0.3">
      <c r="A726" s="95"/>
      <c r="B726" s="106"/>
      <c r="C726" s="107"/>
      <c r="D726" s="107"/>
      <c r="E726" s="107"/>
      <c r="F726" s="107"/>
      <c r="G726" s="107"/>
      <c r="H726" s="108"/>
      <c r="I726" s="108"/>
      <c r="J726" s="98"/>
      <c r="K726" s="98"/>
      <c r="L726" s="98"/>
      <c r="M726" s="98"/>
      <c r="N726" s="98"/>
      <c r="O726" s="98"/>
      <c r="P726" s="96"/>
    </row>
    <row r="727" spans="1:16" ht="15.75" customHeight="1" thickTop="1" x14ac:dyDescent="0.25">
      <c r="A727" s="95"/>
      <c r="B727" s="58"/>
      <c r="C727" s="58"/>
      <c r="D727" s="58"/>
      <c r="E727" s="58"/>
      <c r="F727" s="58"/>
      <c r="G727" s="114"/>
      <c r="H727" s="58"/>
      <c r="I727" s="58"/>
      <c r="J727" s="98"/>
      <c r="K727" s="98"/>
      <c r="L727" s="98"/>
      <c r="M727" s="98"/>
      <c r="N727" s="98"/>
      <c r="O727" s="98"/>
      <c r="P727" s="96"/>
    </row>
    <row r="728" spans="1:16" ht="15" customHeight="1" x14ac:dyDescent="0.25">
      <c r="A728" s="95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6"/>
    </row>
    <row r="729" spans="1:16" ht="15" customHeight="1" x14ac:dyDescent="0.25">
      <c r="A729" s="103" t="s">
        <v>177</v>
      </c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6"/>
    </row>
    <row r="730" spans="1:16" ht="15.75" customHeight="1" x14ac:dyDescent="0.25">
      <c r="A730" s="95"/>
      <c r="B730" s="58" t="s">
        <v>10</v>
      </c>
      <c r="C730" s="58" t="s">
        <v>178</v>
      </c>
      <c r="D730" s="58" t="s">
        <v>172</v>
      </c>
      <c r="E730" s="58" t="s">
        <v>179</v>
      </c>
      <c r="F730" s="58" t="s">
        <v>16</v>
      </c>
      <c r="G730" s="114" t="s">
        <v>17</v>
      </c>
      <c r="H730" s="114" t="s">
        <v>175</v>
      </c>
      <c r="I730" s="58" t="s">
        <v>180</v>
      </c>
      <c r="J730" s="58" t="s">
        <v>181</v>
      </c>
      <c r="K730" s="58" t="s">
        <v>182</v>
      </c>
      <c r="L730" s="115" t="s">
        <v>183</v>
      </c>
      <c r="M730" s="115" t="s">
        <v>184</v>
      </c>
      <c r="N730" s="115" t="s">
        <v>185</v>
      </c>
      <c r="O730" s="98"/>
      <c r="P730" s="96"/>
    </row>
    <row r="731" spans="1:16" ht="16.5" customHeight="1" thickBot="1" x14ac:dyDescent="0.3">
      <c r="A731" s="95"/>
      <c r="B731" s="116" t="s">
        <v>259</v>
      </c>
      <c r="C731" s="117" t="e">
        <f>VLOOKUP(B731,'Gebouwgegevens Allacker'!$J$5:$Q$83,3,0)</f>
        <v>#N/A</v>
      </c>
      <c r="D731" s="117" t="e">
        <f>VLOOKUP(B731,'Gebouwgegevens Allacker'!$J$5:$Q$83,4,0)</f>
        <v>#N/A</v>
      </c>
      <c r="E731" s="117" t="e">
        <f>VLOOKUP(B731,'Gebouwgegevens Allacker'!$J$5:$Q$83,5,0)</f>
        <v>#N/A</v>
      </c>
      <c r="F731" s="117" t="e">
        <f>VLOOKUP(B731,'Gebouwgegevens Allacker'!$J$5:$Q$83,7,0)</f>
        <v>#N/A</v>
      </c>
      <c r="G731" s="118" t="e">
        <f>VLOOKUP(B731,'Gebouwgegevens Allacker'!$J$5:$Q$83,8,0)</f>
        <v>#N/A</v>
      </c>
      <c r="H731" s="118" t="e">
        <f>N731/F731</f>
        <v>#N/A</v>
      </c>
      <c r="I731" s="117" t="e">
        <f>VLOOKUP(C731,'Gebouwgegevens Allacker'!$A$35:$F$46,6,0)</f>
        <v>#N/A</v>
      </c>
      <c r="J731" s="116">
        <v>4.68</v>
      </c>
      <c r="K731" s="116">
        <v>0.33</v>
      </c>
      <c r="L731" s="119" t="e">
        <f>I731/(0.5*J731)</f>
        <v>#N/A</v>
      </c>
      <c r="M731" s="119" t="e">
        <f>K731+2*(1/F731)</f>
        <v>#N/A</v>
      </c>
      <c r="N731" s="120" t="e">
        <f>IF(M731&lt;L731,2*2/(PI()*L731+M731)*LN(PI()*L731/M731+1),2/(0.457*L731+M731))</f>
        <v>#N/A</v>
      </c>
      <c r="O731" s="98"/>
      <c r="P731" s="96"/>
    </row>
    <row r="732" spans="1:16" ht="16.5" customHeight="1" thickTop="1" thickBot="1" x14ac:dyDescent="0.3">
      <c r="A732" s="95"/>
      <c r="B732" s="116"/>
      <c r="C732" s="117"/>
      <c r="D732" s="117"/>
      <c r="E732" s="117"/>
      <c r="F732" s="117"/>
      <c r="G732" s="118"/>
      <c r="H732" s="118"/>
      <c r="I732" s="117"/>
      <c r="J732" s="116"/>
      <c r="K732" s="116"/>
      <c r="L732" s="119"/>
      <c r="M732" s="119"/>
      <c r="N732" s="120"/>
      <c r="O732" s="98"/>
      <c r="P732" s="96"/>
    </row>
    <row r="733" spans="1:16" ht="16.5" customHeight="1" thickTop="1" thickBot="1" x14ac:dyDescent="0.3">
      <c r="A733" s="95"/>
      <c r="B733" s="116"/>
      <c r="C733" s="117"/>
      <c r="D733" s="117"/>
      <c r="E733" s="117"/>
      <c r="F733" s="117"/>
      <c r="G733" s="118"/>
      <c r="H733" s="118"/>
      <c r="I733" s="117"/>
      <c r="J733" s="116"/>
      <c r="K733" s="116"/>
      <c r="L733" s="119"/>
      <c r="M733" s="119"/>
      <c r="N733" s="120"/>
      <c r="O733" s="98"/>
      <c r="P733" s="96"/>
    </row>
    <row r="734" spans="1:16" ht="16.5" customHeight="1" thickTop="1" thickBot="1" x14ac:dyDescent="0.3">
      <c r="A734" s="95"/>
      <c r="B734" s="116"/>
      <c r="C734" s="117"/>
      <c r="D734" s="117"/>
      <c r="E734" s="117"/>
      <c r="F734" s="117"/>
      <c r="G734" s="118"/>
      <c r="H734" s="118"/>
      <c r="I734" s="117"/>
      <c r="J734" s="116"/>
      <c r="K734" s="116"/>
      <c r="L734" s="119"/>
      <c r="M734" s="119"/>
      <c r="N734" s="120"/>
      <c r="O734" s="98"/>
      <c r="P734" s="96"/>
    </row>
    <row r="735" spans="1:16" ht="16.5" customHeight="1" thickTop="1" thickBot="1" x14ac:dyDescent="0.3">
      <c r="A735" s="138"/>
      <c r="B735" s="116"/>
      <c r="C735" s="117"/>
      <c r="D735" s="117"/>
      <c r="E735" s="117"/>
      <c r="F735" s="117"/>
      <c r="G735" s="118"/>
      <c r="H735" s="118"/>
      <c r="I735" s="117"/>
      <c r="J735" s="116"/>
      <c r="K735" s="116"/>
      <c r="L735" s="119"/>
      <c r="M735" s="119"/>
      <c r="N735" s="120"/>
      <c r="O735" s="98"/>
      <c r="P735" s="96"/>
    </row>
    <row r="736" spans="1:16" ht="15.75" customHeight="1" thickTop="1" x14ac:dyDescent="0.25">
      <c r="A736" s="95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6"/>
    </row>
    <row r="737" spans="1:16" ht="15" customHeight="1" x14ac:dyDescent="0.25">
      <c r="A737" s="103" t="s">
        <v>186</v>
      </c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6"/>
    </row>
    <row r="738" spans="1:16" ht="15.75" customHeight="1" thickBot="1" x14ac:dyDescent="0.3">
      <c r="A738" s="95"/>
      <c r="B738" s="58" t="s">
        <v>10</v>
      </c>
      <c r="C738" s="58" t="s">
        <v>187</v>
      </c>
      <c r="D738" s="58" t="s">
        <v>188</v>
      </c>
      <c r="E738" s="58" t="s">
        <v>135</v>
      </c>
      <c r="F738" s="58" t="s">
        <v>189</v>
      </c>
      <c r="G738" s="58" t="s">
        <v>190</v>
      </c>
      <c r="H738" s="58" t="s">
        <v>191</v>
      </c>
      <c r="I738" s="58" t="s">
        <v>16</v>
      </c>
      <c r="J738" s="114" t="s">
        <v>17</v>
      </c>
      <c r="K738" s="114" t="s">
        <v>175</v>
      </c>
      <c r="L738" s="98"/>
      <c r="M738" s="98"/>
      <c r="N738" s="98"/>
      <c r="O738" s="98"/>
      <c r="P738" s="96"/>
    </row>
    <row r="739" spans="1:16" ht="16.5" customHeight="1" thickTop="1" thickBot="1" x14ac:dyDescent="0.3">
      <c r="A739" s="95"/>
      <c r="B739" s="116" t="s">
        <v>260</v>
      </c>
      <c r="C739" s="122" t="e">
        <f>IF(VLOOKUP(B739,'Gebouwgegevens Allacker'!$J$5:$Q$83,2,0)=$B$709,VLOOKUP(B739,'Gebouwgegevens Allacker'!$J$5:$Q$83,2,0),VLOOKUP(B739,'Gebouwgegevens Allacker'!$J$5:$Q$83,3,0))</f>
        <v>#N/A</v>
      </c>
      <c r="D739" s="122" t="e">
        <f>IF(VLOOKUP(B739,'Gebouwgegevens Allacker'!$J$5:$Q$83,2,0)=$B$709,VLOOKUP(B739,'Gebouwgegevens Allacker'!$J$5:$Q$83,3,0),VLOOKUP(B739,'Gebouwgegevens Allacker'!$J$5:$Q$83,2,0))</f>
        <v>#N/A</v>
      </c>
      <c r="E739" s="122" t="e">
        <f>VLOOKUP(B739,'Gebouwgegevens Allacker'!$J$5:$Q$83,4,0)</f>
        <v>#N/A</v>
      </c>
      <c r="F739" s="122" t="e">
        <f>VLOOKUP(B739,'Gebouwgegevens Allacker'!$J$5:$Q$83,5,0)</f>
        <v>#N/A</v>
      </c>
      <c r="G739" s="122" t="e">
        <f>VLOOKUP('Verwarming Tabula 2zone Ref 2'!C739,'Gebouwgegevens Allacker'!$A$35:$F$46,5,0)</f>
        <v>#N/A</v>
      </c>
      <c r="H739" s="122" t="e">
        <f>VLOOKUP('Verwarming Tabula 2zone Ref 2'!D739,'Gebouwgegevens Allacker'!$A$35:$F$46,5,0)</f>
        <v>#N/A</v>
      </c>
      <c r="I739" s="122" t="e">
        <f>VLOOKUP(B739,'Gebouwgegevens Allacker'!$J$5:$Q$83,7,0)</f>
        <v>#N/A</v>
      </c>
      <c r="J739" s="118" t="e">
        <f>VLOOKUP(B739,'Gebouwgegevens Allacker'!$J$5:$Q$83,8,0)</f>
        <v>#N/A</v>
      </c>
      <c r="K739" s="118" t="e">
        <f t="shared" ref="K739:K750" si="0">(G739-H739)/(G739-$B$4)</f>
        <v>#N/A</v>
      </c>
      <c r="L739" s="98"/>
      <c r="M739" s="98"/>
      <c r="N739" s="98"/>
      <c r="O739" s="98"/>
      <c r="P739" s="96"/>
    </row>
    <row r="740" spans="1:16" ht="16.5" customHeight="1" thickTop="1" thickBot="1" x14ac:dyDescent="0.3">
      <c r="A740" s="95"/>
      <c r="B740" s="116" t="s">
        <v>220</v>
      </c>
      <c r="C740" s="122" t="e">
        <f>IF(VLOOKUP(B740,'Gebouwgegevens Allacker'!$J$5:$Q$83,2,0)=$B$709,VLOOKUP(B740,'Gebouwgegevens Allacker'!$J$5:$Q$83,2,0),VLOOKUP(B740,'Gebouwgegevens Allacker'!$J$5:$Q$83,3,0))</f>
        <v>#N/A</v>
      </c>
      <c r="D740" s="122" t="e">
        <f>IF(VLOOKUP(B740,'Gebouwgegevens Allacker'!$J$5:$Q$83,2,0)=$B$709,VLOOKUP(B740,'Gebouwgegevens Allacker'!$J$5:$Q$83,3,0),VLOOKUP(B740,'Gebouwgegevens Allacker'!$J$5:$Q$83,2,0))</f>
        <v>#N/A</v>
      </c>
      <c r="E740" s="122" t="e">
        <f>VLOOKUP(B740,'Gebouwgegevens Allacker'!$J$5:$Q$83,4,0)</f>
        <v>#N/A</v>
      </c>
      <c r="F740" s="122" t="e">
        <f>VLOOKUP(B740,'Gebouwgegevens Allacker'!$J$5:$Q$83,5,0)</f>
        <v>#N/A</v>
      </c>
      <c r="G740" s="122" t="e">
        <f>VLOOKUP('Verwarming Tabula 2zone Ref 2'!C740,'Gebouwgegevens Allacker'!$A$35:$F$46,5,0)</f>
        <v>#N/A</v>
      </c>
      <c r="H740" s="122" t="e">
        <f>VLOOKUP('Verwarming Tabula 2zone Ref 2'!D740,'Gebouwgegevens Allacker'!$A$35:$F$46,5,0)</f>
        <v>#N/A</v>
      </c>
      <c r="I740" s="122" t="e">
        <f>VLOOKUP(B740,'Gebouwgegevens Allacker'!$J$5:$Q$83,7,0)</f>
        <v>#N/A</v>
      </c>
      <c r="J740" s="118" t="e">
        <f>VLOOKUP(B740,'Gebouwgegevens Allacker'!$J$5:$Q$83,8,0)</f>
        <v>#N/A</v>
      </c>
      <c r="K740" s="118" t="e">
        <f t="shared" si="0"/>
        <v>#N/A</v>
      </c>
      <c r="L740" s="98"/>
      <c r="M740" s="98"/>
      <c r="N740" s="98"/>
      <c r="O740" s="98"/>
      <c r="P740" s="96"/>
    </row>
    <row r="741" spans="1:16" ht="16.5" customHeight="1" thickTop="1" thickBot="1" x14ac:dyDescent="0.3">
      <c r="A741" s="95"/>
      <c r="B741" s="116" t="s">
        <v>225</v>
      </c>
      <c r="C741" s="122" t="e">
        <f>IF(VLOOKUP(B741,'Gebouwgegevens Allacker'!$J$5:$Q$83,2,0)=$B$709,VLOOKUP(B741,'Gebouwgegevens Allacker'!$J$5:$Q$83,2,0),VLOOKUP(B741,'Gebouwgegevens Allacker'!$J$5:$Q$83,3,0))</f>
        <v>#N/A</v>
      </c>
      <c r="D741" s="122" t="e">
        <f>IF(VLOOKUP(B741,'Gebouwgegevens Allacker'!$J$5:$Q$83,2,0)=$B$709,VLOOKUP(B741,'Gebouwgegevens Allacker'!$J$5:$Q$83,3,0),VLOOKUP(B741,'Gebouwgegevens Allacker'!$J$5:$Q$83,2,0))</f>
        <v>#N/A</v>
      </c>
      <c r="E741" s="122" t="e">
        <f>VLOOKUP(B741,'Gebouwgegevens Allacker'!$J$5:$Q$83,4,0)</f>
        <v>#N/A</v>
      </c>
      <c r="F741" s="122" t="e">
        <f>VLOOKUP(B741,'Gebouwgegevens Allacker'!$J$5:$Q$83,5,0)</f>
        <v>#N/A</v>
      </c>
      <c r="G741" s="122" t="e">
        <f>VLOOKUP('Verwarming Tabula 2zone Ref 2'!C741,'Gebouwgegevens Allacker'!$A$35:$F$46,5,0)</f>
        <v>#N/A</v>
      </c>
      <c r="H741" s="122" t="e">
        <f>VLOOKUP('Verwarming Tabula 2zone Ref 2'!D741,'Gebouwgegevens Allacker'!$A$35:$F$46,5,0)</f>
        <v>#N/A</v>
      </c>
      <c r="I741" s="122" t="e">
        <f>VLOOKUP(B741,'Gebouwgegevens Allacker'!$J$5:$Q$83,7,0)</f>
        <v>#N/A</v>
      </c>
      <c r="J741" s="118" t="e">
        <f>VLOOKUP(B741,'Gebouwgegevens Allacker'!$J$5:$Q$83,8,0)</f>
        <v>#N/A</v>
      </c>
      <c r="K741" s="118" t="e">
        <f t="shared" si="0"/>
        <v>#N/A</v>
      </c>
      <c r="L741" s="98"/>
      <c r="M741" s="98"/>
      <c r="N741" s="98"/>
      <c r="O741" s="98"/>
      <c r="P741" s="96"/>
    </row>
    <row r="742" spans="1:16" ht="16.5" customHeight="1" thickTop="1" thickBot="1" x14ac:dyDescent="0.3">
      <c r="A742" s="95"/>
      <c r="B742" s="116" t="s">
        <v>229</v>
      </c>
      <c r="C742" s="122" t="e">
        <f>IF(VLOOKUP(B742,'Gebouwgegevens Allacker'!$J$5:$Q$83,2,0)=$B$709,VLOOKUP(B742,'Gebouwgegevens Allacker'!$J$5:$Q$83,2,0),VLOOKUP(B742,'Gebouwgegevens Allacker'!$J$5:$Q$83,3,0))</f>
        <v>#N/A</v>
      </c>
      <c r="D742" s="122" t="e">
        <f>IF(VLOOKUP(B742,'Gebouwgegevens Allacker'!$J$5:$Q$83,2,0)=$B$709,VLOOKUP(B742,'Gebouwgegevens Allacker'!$J$5:$Q$83,3,0),VLOOKUP(B742,'Gebouwgegevens Allacker'!$J$5:$Q$83,2,0))</f>
        <v>#N/A</v>
      </c>
      <c r="E742" s="122" t="e">
        <f>VLOOKUP(B742,'Gebouwgegevens Allacker'!$J$5:$Q$83,4,0)</f>
        <v>#N/A</v>
      </c>
      <c r="F742" s="122" t="e">
        <f>VLOOKUP(B742,'Gebouwgegevens Allacker'!$J$5:$Q$83,5,0)</f>
        <v>#N/A</v>
      </c>
      <c r="G742" s="122" t="e">
        <f>VLOOKUP('Verwarming Tabula 2zone Ref 2'!C742,'Gebouwgegevens Allacker'!$A$35:$F$46,5,0)</f>
        <v>#N/A</v>
      </c>
      <c r="H742" s="122" t="e">
        <f>VLOOKUP('Verwarming Tabula 2zone Ref 2'!D742,'Gebouwgegevens Allacker'!$A$35:$F$46,5,0)</f>
        <v>#N/A</v>
      </c>
      <c r="I742" s="122" t="e">
        <f>VLOOKUP(B742,'Gebouwgegevens Allacker'!$J$5:$Q$83,7,0)</f>
        <v>#N/A</v>
      </c>
      <c r="J742" s="118" t="e">
        <f>VLOOKUP(B742,'Gebouwgegevens Allacker'!$J$5:$Q$83,8,0)</f>
        <v>#N/A</v>
      </c>
      <c r="K742" s="118" t="e">
        <f t="shared" si="0"/>
        <v>#N/A</v>
      </c>
      <c r="L742" s="98"/>
      <c r="M742" s="98"/>
      <c r="N742" s="98"/>
      <c r="O742" s="98"/>
      <c r="P742" s="96"/>
    </row>
    <row r="743" spans="1:16" ht="16.5" customHeight="1" thickTop="1" thickBot="1" x14ac:dyDescent="0.3">
      <c r="A743" s="95"/>
      <c r="B743" s="145" t="s">
        <v>234</v>
      </c>
      <c r="C743" s="122" t="e">
        <f>IF(VLOOKUP(B743,'Gebouwgegevens Allacker'!$J$5:$Q$83,2,0)=$B$709,VLOOKUP(B743,'Gebouwgegevens Allacker'!$J$5:$Q$83,2,0),VLOOKUP(B743,'Gebouwgegevens Allacker'!$J$5:$Q$83,3,0))</f>
        <v>#N/A</v>
      </c>
      <c r="D743" s="122" t="e">
        <f>IF(VLOOKUP(B743,'Gebouwgegevens Allacker'!$J$5:$Q$83,2,0)=$B$709,VLOOKUP(B743,'Gebouwgegevens Allacker'!$J$5:$Q$83,3,0),VLOOKUP(B743,'Gebouwgegevens Allacker'!$J$5:$Q$83,2,0))</f>
        <v>#N/A</v>
      </c>
      <c r="E743" s="122" t="e">
        <f>VLOOKUP(B743,'Gebouwgegevens Allacker'!$J$5:$Q$83,4,0)</f>
        <v>#N/A</v>
      </c>
      <c r="F743" s="122" t="e">
        <f>VLOOKUP(B743,'Gebouwgegevens Allacker'!$J$5:$Q$83,5,0)</f>
        <v>#N/A</v>
      </c>
      <c r="G743" s="122" t="e">
        <f>VLOOKUP('Verwarming Tabula 2zone Ref 2'!C743,'Gebouwgegevens Allacker'!$A$35:$F$46,5,0)</f>
        <v>#N/A</v>
      </c>
      <c r="H743" s="122" t="e">
        <f>VLOOKUP('Verwarming Tabula 2zone Ref 2'!D743,'Gebouwgegevens Allacker'!$A$35:$F$46,5,0)</f>
        <v>#N/A</v>
      </c>
      <c r="I743" s="122" t="e">
        <f>VLOOKUP(B743,'Gebouwgegevens Allacker'!$J$5:$Q$83,7,0)</f>
        <v>#N/A</v>
      </c>
      <c r="J743" s="118" t="e">
        <f>VLOOKUP(B743,'Gebouwgegevens Allacker'!$J$5:$Q$83,8,0)</f>
        <v>#N/A</v>
      </c>
      <c r="K743" s="118" t="e">
        <f t="shared" si="0"/>
        <v>#N/A</v>
      </c>
      <c r="L743" s="98"/>
      <c r="M743" s="98"/>
      <c r="N743" s="98"/>
      <c r="O743" s="98"/>
      <c r="P743" s="96"/>
    </row>
    <row r="744" spans="1:16" ht="16.5" customHeight="1" thickTop="1" thickBot="1" x14ac:dyDescent="0.3">
      <c r="A744" s="95"/>
      <c r="B744" s="123" t="s">
        <v>238</v>
      </c>
      <c r="C744" s="122" t="e">
        <f>IF(VLOOKUP(B744,'Gebouwgegevens Allacker'!$J$5:$Q$83,2,0)=$B$709,VLOOKUP(B744,'Gebouwgegevens Allacker'!$J$5:$Q$83,2,0),VLOOKUP(B744,'Gebouwgegevens Allacker'!$J$5:$Q$83,3,0))</f>
        <v>#N/A</v>
      </c>
      <c r="D744" s="122" t="e">
        <f>IF(VLOOKUP(B744,'Gebouwgegevens Allacker'!$J$5:$Q$83,2,0)=$B$709,VLOOKUP(B744,'Gebouwgegevens Allacker'!$J$5:$Q$83,3,0),VLOOKUP(B744,'Gebouwgegevens Allacker'!$J$5:$Q$83,2,0))</f>
        <v>#N/A</v>
      </c>
      <c r="E744" s="122" t="e">
        <f>VLOOKUP(B744,'Gebouwgegevens Allacker'!$J$5:$Q$83,4,0)</f>
        <v>#N/A</v>
      </c>
      <c r="F744" s="122" t="e">
        <f>VLOOKUP(B744,'Gebouwgegevens Allacker'!$J$5:$Q$83,5,0)</f>
        <v>#N/A</v>
      </c>
      <c r="G744" s="122" t="e">
        <f>VLOOKUP('Verwarming Tabula 2zone Ref 2'!C744,'Gebouwgegevens Allacker'!$A$35:$F$46,5,0)</f>
        <v>#N/A</v>
      </c>
      <c r="H744" s="122" t="e">
        <f>VLOOKUP('Verwarming Tabula 2zone Ref 2'!D744,'Gebouwgegevens Allacker'!$A$35:$F$46,5,0)</f>
        <v>#N/A</v>
      </c>
      <c r="I744" s="122" t="e">
        <f>VLOOKUP(B744,'Gebouwgegevens Allacker'!$J$5:$Q$83,7,0)</f>
        <v>#N/A</v>
      </c>
      <c r="J744" s="118" t="e">
        <f>VLOOKUP(B744,'Gebouwgegevens Allacker'!$J$5:$Q$83,8,0)</f>
        <v>#N/A</v>
      </c>
      <c r="K744" s="118" t="e">
        <f t="shared" si="0"/>
        <v>#N/A</v>
      </c>
      <c r="L744" s="98"/>
      <c r="M744" s="98"/>
      <c r="N744" s="98"/>
      <c r="O744" s="98"/>
      <c r="P744" s="96"/>
    </row>
    <row r="745" spans="1:16" ht="16.5" customHeight="1" thickTop="1" thickBot="1" x14ac:dyDescent="0.3">
      <c r="A745" s="95"/>
      <c r="B745" s="123" t="s">
        <v>261</v>
      </c>
      <c r="C745" s="122" t="e">
        <f>IF(VLOOKUP(B745,'Gebouwgegevens Allacker'!$J$5:$Q$83,2,0)=$B$709,VLOOKUP(B745,'Gebouwgegevens Allacker'!$J$5:$Q$83,2,0),VLOOKUP(B745,'Gebouwgegevens Allacker'!$J$5:$Q$83,3,0))</f>
        <v>#N/A</v>
      </c>
      <c r="D745" s="122" t="e">
        <f>IF(VLOOKUP(B745,'Gebouwgegevens Allacker'!$J$5:$Q$83,2,0)=$B$709,VLOOKUP(B745,'Gebouwgegevens Allacker'!$J$5:$Q$83,3,0),VLOOKUP(B745,'Gebouwgegevens Allacker'!$J$5:$Q$83,2,0))</f>
        <v>#N/A</v>
      </c>
      <c r="E745" s="122" t="e">
        <f>VLOOKUP(B745,'Gebouwgegevens Allacker'!$J$5:$Q$83,4,0)</f>
        <v>#N/A</v>
      </c>
      <c r="F745" s="122" t="e">
        <f>VLOOKUP(B745,'Gebouwgegevens Allacker'!$J$5:$Q$83,5,0)</f>
        <v>#N/A</v>
      </c>
      <c r="G745" s="122" t="e">
        <f>VLOOKUP('Verwarming Tabula 2zone Ref 2'!C745,'Gebouwgegevens Allacker'!$A$35:$F$46,5,0)</f>
        <v>#N/A</v>
      </c>
      <c r="H745" s="122" t="e">
        <f>VLOOKUP('Verwarming Tabula 2zone Ref 2'!D745,'Gebouwgegevens Allacker'!$A$35:$F$46,5,0)</f>
        <v>#N/A</v>
      </c>
      <c r="I745" s="122" t="e">
        <f>VLOOKUP(B745,'Gebouwgegevens Allacker'!$J$5:$Q$83,7,0)</f>
        <v>#N/A</v>
      </c>
      <c r="J745" s="118" t="e">
        <f>VLOOKUP(B745,'Gebouwgegevens Allacker'!$J$5:$Q$83,8,0)</f>
        <v>#N/A</v>
      </c>
      <c r="K745" s="118" t="e">
        <f t="shared" si="0"/>
        <v>#N/A</v>
      </c>
      <c r="L745" s="98"/>
      <c r="M745" s="98"/>
      <c r="N745" s="98"/>
      <c r="O745" s="98"/>
      <c r="P745" s="96"/>
    </row>
    <row r="746" spans="1:16" ht="16.5" customHeight="1" thickTop="1" thickBot="1" x14ac:dyDescent="0.3">
      <c r="A746" s="95"/>
      <c r="B746" s="123" t="s">
        <v>262</v>
      </c>
      <c r="C746" s="122" t="e">
        <f>IF(VLOOKUP(B746,'Gebouwgegevens Allacker'!$J$5:$Q$83,2,0)=$B$709,VLOOKUP(B746,'Gebouwgegevens Allacker'!$J$5:$Q$83,2,0),VLOOKUP(B746,'Gebouwgegevens Allacker'!$J$5:$Q$83,3,0))</f>
        <v>#N/A</v>
      </c>
      <c r="D746" s="122" t="e">
        <f>IF(VLOOKUP(B746,'Gebouwgegevens Allacker'!$J$5:$Q$83,2,0)=$B$709,VLOOKUP(B746,'Gebouwgegevens Allacker'!$J$5:$Q$83,3,0),VLOOKUP(B746,'Gebouwgegevens Allacker'!$J$5:$Q$83,2,0))</f>
        <v>#N/A</v>
      </c>
      <c r="E746" s="122" t="e">
        <f>VLOOKUP(B746,'Gebouwgegevens Allacker'!$J$5:$Q$83,4,0)</f>
        <v>#N/A</v>
      </c>
      <c r="F746" s="122" t="e">
        <f>VLOOKUP(B746,'Gebouwgegevens Allacker'!$J$5:$Q$83,5,0)</f>
        <v>#N/A</v>
      </c>
      <c r="G746" s="122" t="e">
        <f>VLOOKUP('Verwarming Tabula 2zone Ref 2'!C746,'Gebouwgegevens Allacker'!$A$35:$F$46,5,0)</f>
        <v>#N/A</v>
      </c>
      <c r="H746" s="122" t="e">
        <f>VLOOKUP('Verwarming Tabula 2zone Ref 2'!D746,'Gebouwgegevens Allacker'!$A$35:$F$46,5,0)</f>
        <v>#N/A</v>
      </c>
      <c r="I746" s="122" t="e">
        <f>VLOOKUP(B746,'Gebouwgegevens Allacker'!$J$5:$Q$83,7,0)</f>
        <v>#N/A</v>
      </c>
      <c r="J746" s="118" t="e">
        <f>VLOOKUP(B746,'Gebouwgegevens Allacker'!$J$5:$Q$83,8,0)</f>
        <v>#N/A</v>
      </c>
      <c r="K746" s="118" t="e">
        <f t="shared" si="0"/>
        <v>#N/A</v>
      </c>
      <c r="L746" s="98"/>
      <c r="M746" s="98"/>
      <c r="N746" s="98"/>
      <c r="O746" s="98"/>
      <c r="P746" s="96"/>
    </row>
    <row r="747" spans="1:16" ht="16.5" customHeight="1" thickTop="1" thickBot="1" x14ac:dyDescent="0.3">
      <c r="A747" s="95"/>
      <c r="B747" s="123" t="s">
        <v>263</v>
      </c>
      <c r="C747" s="122" t="e">
        <f>IF(VLOOKUP(B747,'Gebouwgegevens Allacker'!$J$5:$Q$83,2,0)=$B$709,VLOOKUP(B747,'Gebouwgegevens Allacker'!$J$5:$Q$83,2,0),VLOOKUP(B747,'Gebouwgegevens Allacker'!$J$5:$Q$83,3,0))</f>
        <v>#N/A</v>
      </c>
      <c r="D747" s="122" t="e">
        <f>IF(VLOOKUP(B747,'Gebouwgegevens Allacker'!$J$5:$Q$83,2,0)=$B$709,VLOOKUP(B747,'Gebouwgegevens Allacker'!$J$5:$Q$83,3,0),VLOOKUP(B747,'Gebouwgegevens Allacker'!$J$5:$Q$83,2,0))</f>
        <v>#N/A</v>
      </c>
      <c r="E747" s="122" t="e">
        <f>VLOOKUP(B747,'Gebouwgegevens Allacker'!$J$5:$Q$83,4,0)</f>
        <v>#N/A</v>
      </c>
      <c r="F747" s="122" t="e">
        <f>VLOOKUP(B747,'Gebouwgegevens Allacker'!$J$5:$Q$83,5,0)</f>
        <v>#N/A</v>
      </c>
      <c r="G747" s="122" t="e">
        <f>VLOOKUP('Verwarming Tabula 2zone Ref 2'!C747,'Gebouwgegevens Allacker'!$A$35:$F$46,5,0)</f>
        <v>#N/A</v>
      </c>
      <c r="H747" s="122" t="e">
        <f>VLOOKUP('Verwarming Tabula 2zone Ref 2'!D747,'Gebouwgegevens Allacker'!$A$35:$F$46,5,0)</f>
        <v>#N/A</v>
      </c>
      <c r="I747" s="122" t="e">
        <f>VLOOKUP(B747,'Gebouwgegevens Allacker'!$J$5:$Q$83,7,0)</f>
        <v>#N/A</v>
      </c>
      <c r="J747" s="118" t="e">
        <f>VLOOKUP(B747,'Gebouwgegevens Allacker'!$J$5:$Q$83,8,0)</f>
        <v>#N/A</v>
      </c>
      <c r="K747" s="118" t="e">
        <f t="shared" si="0"/>
        <v>#N/A</v>
      </c>
      <c r="L747" s="98"/>
      <c r="M747" s="98"/>
      <c r="N747" s="98"/>
      <c r="O747" s="98"/>
      <c r="P747" s="96"/>
    </row>
    <row r="748" spans="1:16" ht="16.5" customHeight="1" thickTop="1" thickBot="1" x14ac:dyDescent="0.3">
      <c r="A748" s="95"/>
      <c r="B748" s="123" t="s">
        <v>226</v>
      </c>
      <c r="C748" s="122" t="e">
        <f>IF(VLOOKUP(B748,'Gebouwgegevens Allacker'!$J$5:$Q$83,2,0)=$B$709,VLOOKUP(B748,'Gebouwgegevens Allacker'!$J$5:$Q$83,2,0),VLOOKUP(B748,'Gebouwgegevens Allacker'!$J$5:$Q$83,3,0))</f>
        <v>#N/A</v>
      </c>
      <c r="D748" s="122" t="e">
        <f>IF(VLOOKUP(B748,'Gebouwgegevens Allacker'!$J$5:$Q$83,2,0)=$B$709,VLOOKUP(B748,'Gebouwgegevens Allacker'!$J$5:$Q$83,3,0),VLOOKUP(B748,'Gebouwgegevens Allacker'!$J$5:$Q$83,2,0))</f>
        <v>#N/A</v>
      </c>
      <c r="E748" s="122" t="e">
        <f>VLOOKUP(B748,'Gebouwgegevens Allacker'!$J$5:$Q$83,4,0)</f>
        <v>#N/A</v>
      </c>
      <c r="F748" s="122" t="e">
        <f>VLOOKUP(B748,'Gebouwgegevens Allacker'!$J$5:$Q$83,5,0)</f>
        <v>#N/A</v>
      </c>
      <c r="G748" s="122" t="e">
        <f>VLOOKUP('Verwarming Tabula 2zone Ref 2'!C748,'Gebouwgegevens Allacker'!$A$35:$F$46,5,0)</f>
        <v>#N/A</v>
      </c>
      <c r="H748" s="122" t="e">
        <f>VLOOKUP('Verwarming Tabula 2zone Ref 2'!D748,'Gebouwgegevens Allacker'!$A$35:$F$46,5,0)</f>
        <v>#N/A</v>
      </c>
      <c r="I748" s="122" t="e">
        <f>VLOOKUP(B748,'Gebouwgegevens Allacker'!$J$5:$Q$83,7,0)</f>
        <v>#N/A</v>
      </c>
      <c r="J748" s="118" t="e">
        <f>VLOOKUP(B748,'Gebouwgegevens Allacker'!$J$5:$Q$83,8,0)</f>
        <v>#N/A</v>
      </c>
      <c r="K748" s="118" t="e">
        <f t="shared" si="0"/>
        <v>#N/A</v>
      </c>
      <c r="L748" s="98"/>
      <c r="M748" s="98"/>
      <c r="N748" s="98"/>
      <c r="O748" s="98"/>
      <c r="P748" s="96"/>
    </row>
    <row r="749" spans="1:16" ht="16.5" customHeight="1" thickTop="1" thickBot="1" x14ac:dyDescent="0.3">
      <c r="A749" s="95"/>
      <c r="B749" s="123" t="s">
        <v>264</v>
      </c>
      <c r="C749" s="122" t="e">
        <f>IF(VLOOKUP(B749,'Gebouwgegevens Allacker'!$J$5:$Q$83,2,0)=$B$709,VLOOKUP(B749,'Gebouwgegevens Allacker'!$J$5:$Q$83,2,0),VLOOKUP(B749,'Gebouwgegevens Allacker'!$J$5:$Q$83,3,0))</f>
        <v>#N/A</v>
      </c>
      <c r="D749" s="122" t="e">
        <f>IF(VLOOKUP(B749,'Gebouwgegevens Allacker'!$J$5:$Q$83,2,0)=$B$709,VLOOKUP(B749,'Gebouwgegevens Allacker'!$J$5:$Q$83,3,0),VLOOKUP(B749,'Gebouwgegevens Allacker'!$J$5:$Q$83,2,0))</f>
        <v>#N/A</v>
      </c>
      <c r="E749" s="122" t="e">
        <f>VLOOKUP(B749,'Gebouwgegevens Allacker'!$J$5:$Q$83,4,0)</f>
        <v>#N/A</v>
      </c>
      <c r="F749" s="122" t="e">
        <f>VLOOKUP(B749,'Gebouwgegevens Allacker'!$J$5:$Q$83,5,0)</f>
        <v>#N/A</v>
      </c>
      <c r="G749" s="122" t="e">
        <f>VLOOKUP('Verwarming Tabula 2zone Ref 2'!C749,'Gebouwgegevens Allacker'!$A$35:$F$46,5,0)</f>
        <v>#N/A</v>
      </c>
      <c r="H749" s="122" t="e">
        <f>VLOOKUP('Verwarming Tabula 2zone Ref 2'!D749,'Gebouwgegevens Allacker'!$A$35:$F$46,5,0)</f>
        <v>#N/A</v>
      </c>
      <c r="I749" s="122" t="e">
        <f>VLOOKUP(B749,'Gebouwgegevens Allacker'!$J$5:$Q$83,7,0)</f>
        <v>#N/A</v>
      </c>
      <c r="J749" s="118" t="e">
        <f>VLOOKUP(B749,'Gebouwgegevens Allacker'!$J$5:$Q$83,8,0)</f>
        <v>#N/A</v>
      </c>
      <c r="K749" s="118" t="e">
        <f t="shared" si="0"/>
        <v>#N/A</v>
      </c>
      <c r="L749" s="98"/>
      <c r="M749" s="98"/>
      <c r="N749" s="98"/>
      <c r="O749" s="98"/>
      <c r="P749" s="96"/>
    </row>
    <row r="750" spans="1:16" ht="16.5" customHeight="1" thickTop="1" thickBot="1" x14ac:dyDescent="0.3">
      <c r="A750" s="95"/>
      <c r="B750" s="123" t="s">
        <v>265</v>
      </c>
      <c r="C750" s="122" t="e">
        <f>IF(VLOOKUP(B750,'Gebouwgegevens Allacker'!$J$5:$Q$83,2,0)=$B$709,VLOOKUP(B750,'Gebouwgegevens Allacker'!$J$5:$Q$83,2,0),VLOOKUP(B750,'Gebouwgegevens Allacker'!$J$5:$Q$83,3,0))</f>
        <v>#N/A</v>
      </c>
      <c r="D750" s="122" t="e">
        <f>IF(VLOOKUP(B750,'Gebouwgegevens Allacker'!$J$5:$Q$83,2,0)=$B$709,VLOOKUP(B750,'Gebouwgegevens Allacker'!$J$5:$Q$83,3,0),VLOOKUP(B750,'Gebouwgegevens Allacker'!$J$5:$Q$83,2,0))</f>
        <v>#N/A</v>
      </c>
      <c r="E750" s="122" t="e">
        <f>VLOOKUP(B750,'Gebouwgegevens Allacker'!$J$5:$Q$83,4,0)</f>
        <v>#N/A</v>
      </c>
      <c r="F750" s="122" t="e">
        <f>VLOOKUP(B750,'Gebouwgegevens Allacker'!$J$5:$Q$83,5,0)</f>
        <v>#N/A</v>
      </c>
      <c r="G750" s="122" t="e">
        <f>VLOOKUP('Verwarming Tabula 2zone Ref 2'!C750,'Gebouwgegevens Allacker'!$A$35:$F$46,5,0)</f>
        <v>#N/A</v>
      </c>
      <c r="H750" s="122" t="e">
        <f>VLOOKUP('Verwarming Tabula 2zone Ref 2'!D750,'Gebouwgegevens Allacker'!$A$35:$F$46,5,0)</f>
        <v>#N/A</v>
      </c>
      <c r="I750" s="122" t="e">
        <f>VLOOKUP(B750,'Gebouwgegevens Allacker'!$J$5:$Q$83,7,0)</f>
        <v>#N/A</v>
      </c>
      <c r="J750" s="118" t="e">
        <f>VLOOKUP(B750,'Gebouwgegevens Allacker'!$J$5:$Q$83,8,0)</f>
        <v>#N/A</v>
      </c>
      <c r="K750" s="118" t="e">
        <f t="shared" si="0"/>
        <v>#N/A</v>
      </c>
      <c r="L750" s="98"/>
      <c r="M750" s="98"/>
      <c r="N750" s="98"/>
      <c r="O750" s="98"/>
      <c r="P750" s="96"/>
    </row>
    <row r="751" spans="1:16" ht="16.5" customHeight="1" thickTop="1" x14ac:dyDescent="0.25">
      <c r="A751" s="103" t="s">
        <v>192</v>
      </c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6"/>
    </row>
    <row r="752" spans="1:16" ht="16.5" customHeight="1" x14ac:dyDescent="0.25">
      <c r="A752" s="124" t="s">
        <v>193</v>
      </c>
      <c r="B752" s="118" t="e">
        <f>SUMPRODUCT(H715:H726,I715:I726)+SUMPRODUCT(G731:G735,H731:H735)+SUMPRODUCT(J739:J750,K739:K750)</f>
        <v>#N/A</v>
      </c>
      <c r="C752" s="118" t="s">
        <v>107</v>
      </c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6"/>
    </row>
    <row r="753" spans="1:16" ht="16.5" customHeight="1" x14ac:dyDescent="0.25">
      <c r="A753" s="124" t="s">
        <v>167</v>
      </c>
      <c r="B753" s="118" t="e">
        <f>B752*(G739-$B$4)</f>
        <v>#N/A</v>
      </c>
      <c r="C753" s="118" t="s">
        <v>169</v>
      </c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6"/>
    </row>
    <row r="754" spans="1:16" ht="15.75" customHeight="1" thickBot="1" x14ac:dyDescent="0.3">
      <c r="A754" s="109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1"/>
    </row>
    <row r="755" spans="1:16" ht="15.75" customHeight="1" thickTop="1" x14ac:dyDescent="0.25">
      <c r="A755" s="343" t="s">
        <v>194</v>
      </c>
      <c r="B755" s="343"/>
      <c r="C755" s="343"/>
      <c r="D755" s="125" t="s">
        <v>222</v>
      </c>
      <c r="E755" s="299"/>
      <c r="F755" s="299"/>
      <c r="G755" s="299"/>
      <c r="H755" s="299"/>
      <c r="I755" s="299"/>
      <c r="J755" s="299"/>
      <c r="K755" s="299"/>
      <c r="L755" s="299"/>
      <c r="M755" s="299"/>
      <c r="N755" s="299"/>
      <c r="O755" s="299"/>
      <c r="P755" s="94"/>
    </row>
    <row r="756" spans="1:16" ht="15" customHeight="1" x14ac:dyDescent="0.25">
      <c r="A756" s="95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6"/>
    </row>
    <row r="757" spans="1:16" ht="15" customHeight="1" thickBot="1" x14ac:dyDescent="0.3">
      <c r="A757" s="126" t="s">
        <v>195</v>
      </c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6"/>
    </row>
    <row r="758" spans="1:16" ht="15" customHeight="1" thickTop="1" thickBot="1" x14ac:dyDescent="0.3">
      <c r="A758" s="127" t="s">
        <v>196</v>
      </c>
      <c r="B758" s="121">
        <v>8</v>
      </c>
      <c r="C758" s="120" t="s">
        <v>197</v>
      </c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6"/>
    </row>
    <row r="759" spans="1:16" ht="15" customHeight="1" thickTop="1" thickBot="1" x14ac:dyDescent="0.3">
      <c r="A759" s="127" t="s">
        <v>198</v>
      </c>
      <c r="B759" s="121">
        <v>0.03</v>
      </c>
      <c r="C759" s="120" t="s">
        <v>199</v>
      </c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6"/>
    </row>
    <row r="760" spans="1:16" ht="15.75" customHeight="1" thickTop="1" thickBot="1" x14ac:dyDescent="0.3">
      <c r="A760" s="127" t="s">
        <v>200</v>
      </c>
      <c r="B760" s="121">
        <v>1</v>
      </c>
      <c r="C760" s="120" t="s">
        <v>201</v>
      </c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6"/>
    </row>
    <row r="761" spans="1:16" ht="16.5" customHeight="1" thickTop="1" x14ac:dyDescent="0.25">
      <c r="A761" s="124" t="s">
        <v>202</v>
      </c>
      <c r="B761" s="118" t="e">
        <f>2*VLOOKUP(B709,'Gebouwgegevens Allacker'!$A$35:$F$46,6,0)*B758*B759*B760</f>
        <v>#N/A</v>
      </c>
      <c r="C761" s="118" t="s">
        <v>203</v>
      </c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6"/>
    </row>
    <row r="762" spans="1:16" ht="15.75" customHeight="1" x14ac:dyDescent="0.25">
      <c r="A762" s="138"/>
      <c r="B762" s="58"/>
      <c r="C762" s="5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6"/>
    </row>
    <row r="763" spans="1:16" ht="15" customHeight="1" x14ac:dyDescent="0.25">
      <c r="A763" s="146" t="s">
        <v>204</v>
      </c>
      <c r="B763" s="58"/>
      <c r="C763" s="5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6"/>
    </row>
    <row r="764" spans="1:16" ht="15.75" customHeight="1" x14ac:dyDescent="0.25">
      <c r="A764" s="138" t="s">
        <v>180</v>
      </c>
      <c r="B764" s="58" t="e">
        <f>VLOOKUP(B709,'Gebouwgegevens Allacker'!$A$35:$F$46,6,0)</f>
        <v>#N/A</v>
      </c>
      <c r="C764" s="5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6"/>
    </row>
    <row r="765" spans="1:16" ht="16.5" customHeight="1" x14ac:dyDescent="0.25">
      <c r="A765" s="124" t="s">
        <v>205</v>
      </c>
      <c r="B765" s="118">
        <v>0</v>
      </c>
      <c r="C765" s="118" t="s">
        <v>203</v>
      </c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6"/>
    </row>
    <row r="766" spans="1:16" ht="15.75" customHeight="1" x14ac:dyDescent="0.25">
      <c r="A766" s="138"/>
      <c r="B766" s="58"/>
      <c r="C766" s="5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6"/>
    </row>
    <row r="767" spans="1:16" ht="15.75" customHeight="1" x14ac:dyDescent="0.25">
      <c r="A767" s="138"/>
      <c r="B767" s="58"/>
      <c r="C767" s="5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6"/>
    </row>
    <row r="768" spans="1:16" ht="16.5" customHeight="1" x14ac:dyDescent="0.25">
      <c r="A768" s="124" t="s">
        <v>207</v>
      </c>
      <c r="B768" s="118" t="e">
        <f>MAX(B761,B765)</f>
        <v>#N/A</v>
      </c>
      <c r="C768" s="118" t="s">
        <v>203</v>
      </c>
      <c r="D768" s="98"/>
      <c r="E768" s="98"/>
      <c r="F768" s="118" t="s">
        <v>208</v>
      </c>
      <c r="G768" s="118" t="e">
        <f>B768/VLOOKUP(B709,'Gebouwgegevens Allacker'!$A$35:$B$46,2,0)</f>
        <v>#N/A</v>
      </c>
      <c r="H768" s="98"/>
      <c r="I768" s="98"/>
      <c r="J768" s="98"/>
      <c r="K768" s="98"/>
      <c r="L768" s="98"/>
      <c r="M768" s="98"/>
      <c r="N768" s="98"/>
      <c r="O768" s="98"/>
      <c r="P768" s="96"/>
    </row>
    <row r="769" spans="1:16" ht="16.5" customHeight="1" x14ac:dyDescent="0.25">
      <c r="A769" s="138"/>
      <c r="B769" s="58"/>
      <c r="C769" s="5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6"/>
    </row>
    <row r="770" spans="1:16" ht="16.5" customHeight="1" x14ac:dyDescent="0.25">
      <c r="A770" s="124" t="s">
        <v>209</v>
      </c>
      <c r="B770" s="118" t="e">
        <f>0.34*B768</f>
        <v>#N/A</v>
      </c>
      <c r="C770" s="118" t="s">
        <v>107</v>
      </c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6"/>
    </row>
    <row r="771" spans="1:16" ht="16.5" customHeight="1" x14ac:dyDescent="0.25">
      <c r="A771" s="124" t="s">
        <v>167</v>
      </c>
      <c r="B771" s="118" t="e">
        <f>B770*('Gebouwgegevens Allacker'!E731-$B$4)</f>
        <v>#N/A</v>
      </c>
      <c r="C771" s="118" t="s">
        <v>169</v>
      </c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6"/>
    </row>
    <row r="772" spans="1:16" ht="15.75" customHeight="1" thickBot="1" x14ac:dyDescent="0.3">
      <c r="A772" s="140"/>
      <c r="B772" s="141"/>
      <c r="C772" s="141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1"/>
    </row>
    <row r="773" spans="1:16" ht="15.75" customHeight="1" thickTop="1" x14ac:dyDescent="0.25">
      <c r="A773" s="343" t="s">
        <v>210</v>
      </c>
      <c r="B773" s="343"/>
      <c r="C773" s="343"/>
      <c r="D773" s="343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6"/>
    </row>
    <row r="774" spans="1:16" ht="15" customHeight="1" thickBot="1" x14ac:dyDescent="0.3">
      <c r="A774" s="95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6"/>
    </row>
    <row r="775" spans="1:16" ht="15" customHeight="1" thickTop="1" thickBot="1" x14ac:dyDescent="0.3">
      <c r="A775" s="127" t="s">
        <v>211</v>
      </c>
      <c r="B775" s="121">
        <v>0</v>
      </c>
      <c r="C775" s="58" t="s">
        <v>232</v>
      </c>
      <c r="D775" s="5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6"/>
    </row>
    <row r="776" spans="1:16" ht="15.75" customHeight="1" thickTop="1" x14ac:dyDescent="0.25">
      <c r="A776" s="3" t="s">
        <v>113</v>
      </c>
      <c r="B776" s="58" t="e">
        <f>VLOOKUP(B709,'Gebouwgegevens Allacker'!$A$35:$F$46,6,0)</f>
        <v>#N/A</v>
      </c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6"/>
    </row>
    <row r="777" spans="1:16" ht="16.5" customHeight="1" x14ac:dyDescent="0.25">
      <c r="A777" s="124" t="s">
        <v>213</v>
      </c>
      <c r="B777" s="118" t="e">
        <f>B778/('Gebouwgegevens Allacker'!E731-'Verwarming Tabula 2zone Ref 2'!$B$4)</f>
        <v>#N/A</v>
      </c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6"/>
    </row>
    <row r="778" spans="1:16" ht="16.5" customHeight="1" x14ac:dyDescent="0.25">
      <c r="A778" s="124" t="s">
        <v>167</v>
      </c>
      <c r="B778" s="118" t="e">
        <f>B775*B776</f>
        <v>#N/A</v>
      </c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6"/>
    </row>
    <row r="779" spans="1:16" ht="15.75" customHeight="1" x14ac:dyDescent="0.25">
      <c r="A779" s="95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6"/>
    </row>
    <row r="780" spans="1:16" ht="15.75" customHeight="1" thickBot="1" x14ac:dyDescent="0.3">
      <c r="A780" s="95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6"/>
    </row>
    <row r="781" spans="1:16" ht="15.75" customHeight="1" thickTop="1" thickBot="1" x14ac:dyDescent="0.3">
      <c r="A781" s="129" t="s">
        <v>214</v>
      </c>
      <c r="B781" s="130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1"/>
    </row>
    <row r="782" spans="1:16" ht="16.5" customHeight="1" thickTop="1" x14ac:dyDescent="0.25">
      <c r="A782" s="124" t="s">
        <v>215</v>
      </c>
      <c r="B782" s="118" t="e">
        <f>SUM(B752,B770,B777)</f>
        <v>#N/A</v>
      </c>
      <c r="C782" s="118" t="s">
        <v>107</v>
      </c>
      <c r="D782" s="132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P782" s="133"/>
    </row>
    <row r="783" spans="1:16" ht="16.5" customHeight="1" x14ac:dyDescent="0.25">
      <c r="A783" s="124" t="s">
        <v>167</v>
      </c>
      <c r="B783" s="118" t="e">
        <f>SUM(B753,B771,B778)</f>
        <v>#N/A</v>
      </c>
      <c r="C783" s="118" t="s">
        <v>169</v>
      </c>
      <c r="D783" s="132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  <c r="O783" s="132"/>
      <c r="P783" s="133"/>
    </row>
    <row r="784" spans="1:16" ht="16.5" customHeight="1" thickBot="1" x14ac:dyDescent="0.3">
      <c r="A784" s="134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6"/>
    </row>
  </sheetData>
  <mergeCells count="32"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755:C755"/>
    <mergeCell ref="A773:D773"/>
    <mergeCell ref="A597:C597"/>
    <mergeCell ref="A615:D615"/>
    <mergeCell ref="A631:D631"/>
    <mergeCell ref="A676:C676"/>
    <mergeCell ref="A694:D694"/>
    <mergeCell ref="A710:D7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zoomScale="85" zoomScaleNormal="85" workbookViewId="0">
      <selection sqref="A1:I1"/>
    </sheetView>
  </sheetViews>
  <sheetFormatPr defaultRowHeight="15" x14ac:dyDescent="0.25"/>
  <cols>
    <col min="1" max="1025" width="9.140625" style="3"/>
    <col min="1026" max="16384" width="9.140625" style="81"/>
  </cols>
  <sheetData>
    <row r="1" spans="1:26" ht="20.25" customHeight="1" x14ac:dyDescent="0.25">
      <c r="A1" s="341" t="s">
        <v>161</v>
      </c>
      <c r="B1" s="341"/>
      <c r="C1" s="341"/>
      <c r="D1" s="341"/>
      <c r="E1" s="341"/>
      <c r="F1" s="341"/>
      <c r="G1" s="341"/>
      <c r="H1" s="341"/>
      <c r="I1" s="341"/>
      <c r="J1" s="91"/>
      <c r="K1" s="91"/>
      <c r="L1" s="91"/>
      <c r="M1" s="91"/>
      <c r="N1" s="91"/>
      <c r="O1" s="91"/>
      <c r="P1" s="91"/>
    </row>
    <row r="2" spans="1:26" ht="15.75" customHeight="1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26" ht="15.75" customHeight="1" thickBot="1" x14ac:dyDescent="0.3">
      <c r="A3" s="91" t="s">
        <v>162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26" ht="15.75" customHeight="1" thickTop="1" thickBot="1" x14ac:dyDescent="0.3">
      <c r="A4" s="92" t="s">
        <v>163</v>
      </c>
      <c r="B4" s="92">
        <v>-8</v>
      </c>
      <c r="C4" s="92" t="s">
        <v>164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U4" s="93"/>
      <c r="V4" s="328"/>
      <c r="W4" s="328"/>
      <c r="X4" s="328"/>
      <c r="Y4" s="94"/>
    </row>
    <row r="5" spans="1:26" ht="18" customHeight="1" thickTop="1" thickBot="1" x14ac:dyDescent="0.3">
      <c r="A5" s="93"/>
      <c r="B5" s="328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94"/>
      <c r="U5" s="95"/>
      <c r="V5" s="338" t="s">
        <v>165</v>
      </c>
      <c r="W5" s="338"/>
      <c r="X5" s="338"/>
      <c r="Y5" s="96"/>
    </row>
    <row r="6" spans="1:26" ht="18.75" customHeight="1" thickTop="1" thickBot="1" x14ac:dyDescent="0.35">
      <c r="A6" s="97" t="s">
        <v>166</v>
      </c>
      <c r="B6" s="92">
        <v>1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6"/>
      <c r="U6" s="95"/>
      <c r="V6" s="99" t="s">
        <v>166</v>
      </c>
      <c r="W6" s="100" t="s">
        <v>167</v>
      </c>
      <c r="X6" s="328"/>
      <c r="Y6" s="96"/>
    </row>
    <row r="7" spans="1:26" ht="16.5" customHeight="1" thickTop="1" x14ac:dyDescent="0.25">
      <c r="A7" s="343" t="s">
        <v>168</v>
      </c>
      <c r="B7" s="343"/>
      <c r="C7" s="343"/>
      <c r="D7" s="343"/>
      <c r="E7" s="328"/>
      <c r="F7" s="328"/>
      <c r="G7" s="328"/>
      <c r="H7" s="328"/>
      <c r="I7" s="328"/>
      <c r="J7" s="328"/>
      <c r="K7" s="328"/>
      <c r="L7" s="328"/>
      <c r="M7" s="328"/>
      <c r="N7" s="328"/>
      <c r="O7" s="328"/>
      <c r="P7" s="94"/>
      <c r="U7" s="95"/>
      <c r="V7" s="101">
        <f>B6</f>
        <v>1</v>
      </c>
      <c r="W7" s="102">
        <f>B73</f>
        <v>5738.3414676015582</v>
      </c>
      <c r="X7" s="98" t="s">
        <v>169</v>
      </c>
      <c r="Y7" s="96"/>
      <c r="Z7" s="3">
        <f>0.7*W7</f>
        <v>4016.8390273210903</v>
      </c>
    </row>
    <row r="8" spans="1:26" ht="15" customHeight="1" x14ac:dyDescent="0.25">
      <c r="A8" s="95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6"/>
      <c r="U8" s="95"/>
      <c r="V8" s="101">
        <f>B78</f>
        <v>2</v>
      </c>
      <c r="W8" s="102">
        <f>B152</f>
        <v>4342.7172313835217</v>
      </c>
      <c r="X8" s="98" t="s">
        <v>169</v>
      </c>
      <c r="Y8" s="96"/>
      <c r="Z8" s="3">
        <f>0.7*W8</f>
        <v>3039.9020619684652</v>
      </c>
    </row>
    <row r="9" spans="1:26" ht="15" customHeight="1" x14ac:dyDescent="0.25">
      <c r="A9" s="103" t="s">
        <v>170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6"/>
      <c r="U9" s="95"/>
      <c r="V9" s="101">
        <f>B158</f>
        <v>3</v>
      </c>
      <c r="W9" s="102"/>
      <c r="X9" s="98" t="s">
        <v>169</v>
      </c>
      <c r="Y9" s="96"/>
    </row>
    <row r="10" spans="1:26" ht="15" customHeight="1" x14ac:dyDescent="0.25">
      <c r="A10" s="95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6"/>
      <c r="U10" s="95"/>
      <c r="V10" s="101">
        <f>B237</f>
        <v>4</v>
      </c>
      <c r="W10" s="102"/>
      <c r="X10" s="98" t="s">
        <v>169</v>
      </c>
      <c r="Y10" s="96"/>
    </row>
    <row r="11" spans="1:26" ht="15.75" customHeight="1" thickBot="1" x14ac:dyDescent="0.3">
      <c r="A11" s="95"/>
      <c r="B11" s="104" t="s">
        <v>10</v>
      </c>
      <c r="C11" s="104" t="s">
        <v>171</v>
      </c>
      <c r="D11" s="104" t="s">
        <v>172</v>
      </c>
      <c r="E11" s="104" t="s">
        <v>173</v>
      </c>
      <c r="F11" s="104" t="s">
        <v>174</v>
      </c>
      <c r="G11" s="104" t="s">
        <v>16</v>
      </c>
      <c r="H11" s="105" t="s">
        <v>17</v>
      </c>
      <c r="I11" s="105" t="s">
        <v>175</v>
      </c>
      <c r="J11" s="98"/>
      <c r="K11" s="98"/>
      <c r="L11" s="98"/>
      <c r="M11" s="98"/>
      <c r="N11" s="98"/>
      <c r="O11" s="98"/>
      <c r="P11" s="96"/>
      <c r="U11" s="95"/>
      <c r="V11" s="101">
        <f>B316</f>
        <v>5</v>
      </c>
      <c r="W11" s="102"/>
      <c r="X11" s="98" t="s">
        <v>169</v>
      </c>
      <c r="Y11" s="96"/>
    </row>
    <row r="12" spans="1:26" ht="16.5" customHeight="1" thickTop="1" thickBot="1" x14ac:dyDescent="0.3">
      <c r="A12" s="95"/>
      <c r="B12" s="106" t="str">
        <f>'Tabula RefULG 1'!K6</f>
        <v>W1</v>
      </c>
      <c r="C12" s="107">
        <f>VLOOKUP(B12,'Tabula RefULG 1'!$K$5:$R$83,3,0)</f>
        <v>1</v>
      </c>
      <c r="D12" s="107" t="str">
        <f>VLOOKUP(B12,'Tabula RefULG 1'!$K$5:$R$83,4,0)</f>
        <v>Wall External</v>
      </c>
      <c r="E12" s="107">
        <f>VLOOKUP(B12,'Tabula RefULG 1'!$K$5:$R$83,5,0)</f>
        <v>17.590457494591035</v>
      </c>
      <c r="F12" s="107" t="str">
        <f>VLOOKUP(B12,'Tabula RefULG 1'!$K$5:$R$83,6,0)</f>
        <v>front</v>
      </c>
      <c r="G12" s="107">
        <f>VLOOKUP(B12,'Tabula RefULG 1'!$K$5:$R$83,7,0)</f>
        <v>0.59788861556532236</v>
      </c>
      <c r="H12" s="108">
        <f>VLOOKUP(B12,'Tabula RefULG 1'!$K$5:$R$83,8,0)</f>
        <v>10.517134278601683</v>
      </c>
      <c r="I12" s="108">
        <v>1</v>
      </c>
      <c r="J12" s="98"/>
      <c r="K12" s="98"/>
      <c r="L12" s="98"/>
      <c r="M12" s="98"/>
      <c r="N12" s="98"/>
      <c r="O12" s="98"/>
      <c r="P12" s="96"/>
      <c r="U12" s="95"/>
      <c r="V12" s="101">
        <f>6</f>
        <v>6</v>
      </c>
      <c r="W12" s="102"/>
      <c r="X12" s="98" t="s">
        <v>169</v>
      </c>
      <c r="Y12" s="96"/>
    </row>
    <row r="13" spans="1:26" ht="16.5" customHeight="1" thickTop="1" thickBot="1" x14ac:dyDescent="0.3">
      <c r="A13" s="95"/>
      <c r="B13" s="106" t="str">
        <f>'Tabula RefULG 1'!K7</f>
        <v>W2</v>
      </c>
      <c r="C13" s="107">
        <f>VLOOKUP(B13,'Tabula RefULG 1'!$K$5:$R$83,3,0)</f>
        <v>1</v>
      </c>
      <c r="D13" s="107" t="str">
        <f>VLOOKUP(B13,'Tabula RefULG 1'!$K$5:$R$83,4,0)</f>
        <v>Wall External</v>
      </c>
      <c r="E13" s="107">
        <f>VLOOKUP(B13,'Tabula RefULG 1'!$K$5:$R$83,5,0)</f>
        <v>30.921227867960802</v>
      </c>
      <c r="F13" s="107" t="str">
        <f>VLOOKUP(B13,'Tabula RefULG 1'!$K$5:$R$83,6,0)</f>
        <v>right</v>
      </c>
      <c r="G13" s="107">
        <f>VLOOKUP(B13,'Tabula RefULG 1'!$K$5:$R$83,7,0)</f>
        <v>0.59788861556532236</v>
      </c>
      <c r="H13" s="108">
        <f>VLOOKUP(B13,'Tabula RefULG 1'!$K$5:$R$83,8,0)</f>
        <v>18.487450121554946</v>
      </c>
      <c r="I13" s="108">
        <v>1</v>
      </c>
      <c r="J13" s="98"/>
      <c r="K13" s="98"/>
      <c r="L13" s="98"/>
      <c r="M13" s="98"/>
      <c r="N13" s="98"/>
      <c r="O13" s="98"/>
      <c r="P13" s="96"/>
      <c r="U13" s="95"/>
      <c r="V13" s="101">
        <v>7</v>
      </c>
      <c r="W13" s="102"/>
      <c r="X13" s="98" t="s">
        <v>169</v>
      </c>
      <c r="Y13" s="96"/>
    </row>
    <row r="14" spans="1:26" ht="16.5" customHeight="1" thickTop="1" thickBot="1" x14ac:dyDescent="0.3">
      <c r="A14" s="95"/>
      <c r="B14" s="106" t="str">
        <f>'Tabula RefULG 1'!K8</f>
        <v>W3</v>
      </c>
      <c r="C14" s="107">
        <f>VLOOKUP(B14,'Tabula RefULG 1'!$K$5:$R$83,3,0)</f>
        <v>1</v>
      </c>
      <c r="D14" s="107" t="str">
        <f>VLOOKUP(B14,'Tabula RefULG 1'!$K$5:$R$83,4,0)</f>
        <v>Wall External</v>
      </c>
      <c r="E14" s="107">
        <f>VLOOKUP(B14,'Tabula RefULG 1'!$K$5:$R$83,5,0)</f>
        <v>17.590457494591035</v>
      </c>
      <c r="F14" s="107" t="str">
        <f>VLOOKUP(B14,'Tabula RefULG 1'!$K$5:$R$83,6,0)</f>
        <v>back</v>
      </c>
      <c r="G14" s="107">
        <f>VLOOKUP(B14,'Tabula RefULG 1'!$K$5:$R$83,7,0)</f>
        <v>0.59788861556532236</v>
      </c>
      <c r="H14" s="108">
        <f>VLOOKUP(B14,'Tabula RefULG 1'!$K$5:$R$83,8,0)</f>
        <v>10.517134278601683</v>
      </c>
      <c r="I14" s="108">
        <v>1</v>
      </c>
      <c r="J14" s="98"/>
      <c r="K14" s="98"/>
      <c r="L14" s="98"/>
      <c r="M14" s="98"/>
      <c r="N14" s="98"/>
      <c r="O14" s="98"/>
      <c r="P14" s="96"/>
      <c r="U14" s="95"/>
      <c r="V14" s="101">
        <v>8</v>
      </c>
      <c r="W14" s="102"/>
      <c r="X14" s="98" t="s">
        <v>169</v>
      </c>
      <c r="Y14" s="96"/>
    </row>
    <row r="15" spans="1:26" ht="16.5" customHeight="1" thickTop="1" thickBot="1" x14ac:dyDescent="0.3">
      <c r="A15" s="95"/>
      <c r="B15" s="106" t="str">
        <f>'Tabula RefULG 1'!K9</f>
        <v>W4</v>
      </c>
      <c r="C15" s="107">
        <f>VLOOKUP(B15,'Tabula RefULG 1'!$K$5:$R$83,3,0)</f>
        <v>1</v>
      </c>
      <c r="D15" s="107" t="str">
        <f>VLOOKUP(B15,'Tabula RefULG 1'!$K$5:$R$83,4,0)</f>
        <v>Wall External</v>
      </c>
      <c r="E15" s="107">
        <f>VLOOKUP(B15,'Tabula RefULG 1'!$K$5:$R$83,5,0)</f>
        <v>0</v>
      </c>
      <c r="F15" s="107" t="str">
        <f>VLOOKUP(B15,'Tabula RefULG 1'!$K$5:$R$83,6,0)</f>
        <v>left</v>
      </c>
      <c r="G15" s="107">
        <f>VLOOKUP(B15,'Tabula RefULG 1'!$K$5:$R$83,7,0)</f>
        <v>0.59788861556532236</v>
      </c>
      <c r="H15" s="108">
        <f>VLOOKUP(B15,'Tabula RefULG 1'!$K$5:$R$83,8,0)</f>
        <v>0</v>
      </c>
      <c r="I15" s="108">
        <v>1</v>
      </c>
      <c r="J15" s="98"/>
      <c r="K15" s="98"/>
      <c r="L15" s="98"/>
      <c r="M15" s="98"/>
      <c r="N15" s="98"/>
      <c r="O15" s="98"/>
      <c r="P15" s="96"/>
      <c r="U15" s="95"/>
      <c r="V15" s="101">
        <v>9</v>
      </c>
      <c r="W15" s="102"/>
      <c r="X15" s="98" t="s">
        <v>169</v>
      </c>
      <c r="Y15" s="96"/>
    </row>
    <row r="16" spans="1:26" ht="16.5" customHeight="1" thickTop="1" thickBot="1" x14ac:dyDescent="0.3">
      <c r="A16" s="95"/>
      <c r="B16" s="106" t="str">
        <f>'Tabula RefULG 1'!K10</f>
        <v>W5</v>
      </c>
      <c r="C16" s="107">
        <f>VLOOKUP(B16,'Tabula RefULG 1'!$K$5:$R$83,3,0)</f>
        <v>1</v>
      </c>
      <c r="D16" s="107" t="str">
        <f>VLOOKUP(B16,'Tabula RefULG 1'!$K$5:$R$83,4,0)</f>
        <v>Window</v>
      </c>
      <c r="E16" s="107">
        <f>VLOOKUP(B16,'Tabula RefULG 1'!$K$5:$R$83,5,0)</f>
        <v>4.05</v>
      </c>
      <c r="F16" s="107" t="str">
        <f>VLOOKUP(B16,'Tabula RefULG 1'!$K$5:$R$83,6,0)</f>
        <v>front</v>
      </c>
      <c r="G16" s="107">
        <f>VLOOKUP(B16,'Tabula RefULG 1'!$K$5:$R$83,7,0)</f>
        <v>2</v>
      </c>
      <c r="H16" s="108">
        <f>VLOOKUP(B16,'Tabula RefULG 1'!$K$5:$R$83,8,0)</f>
        <v>8.1</v>
      </c>
      <c r="I16" s="108">
        <v>1</v>
      </c>
      <c r="J16" s="98"/>
      <c r="K16" s="98"/>
      <c r="L16" s="98"/>
      <c r="M16" s="98"/>
      <c r="N16" s="98"/>
      <c r="O16" s="98"/>
      <c r="P16" s="96"/>
      <c r="U16" s="95"/>
      <c r="V16" s="101">
        <v>10</v>
      </c>
      <c r="W16" s="102"/>
      <c r="X16" s="98" t="s">
        <v>169</v>
      </c>
      <c r="Y16" s="96"/>
    </row>
    <row r="17" spans="1:25" ht="16.5" customHeight="1" thickTop="1" thickBot="1" x14ac:dyDescent="0.3">
      <c r="A17" s="95"/>
      <c r="B17" s="106" t="str">
        <f>'Tabula RefULG 1'!K11</f>
        <v>W6</v>
      </c>
      <c r="C17" s="107">
        <f>VLOOKUP(B17,'Tabula RefULG 1'!$K$5:$R$83,3,0)</f>
        <v>1</v>
      </c>
      <c r="D17" s="107" t="str">
        <f>VLOOKUP(B17,'Tabula RefULG 1'!$K$5:$R$83,4,0)</f>
        <v>Window</v>
      </c>
      <c r="E17" s="107">
        <f>VLOOKUP(B17,'Tabula RefULG 1'!$K$5:$R$83,5,0)</f>
        <v>3.45</v>
      </c>
      <c r="F17" s="107" t="str">
        <f>VLOOKUP(B17,'Tabula RefULG 1'!$K$5:$R$83,6,0)</f>
        <v>right</v>
      </c>
      <c r="G17" s="107">
        <f>VLOOKUP(B17,'Tabula RefULG 1'!$K$5:$R$83,7,0)</f>
        <v>2</v>
      </c>
      <c r="H17" s="108">
        <f>VLOOKUP(B17,'Tabula RefULG 1'!$K$5:$R$83,8,0)</f>
        <v>6.9</v>
      </c>
      <c r="I17" s="108">
        <v>1</v>
      </c>
      <c r="J17" s="98"/>
      <c r="K17" s="98"/>
      <c r="L17" s="98"/>
      <c r="M17" s="98"/>
      <c r="N17" s="98"/>
      <c r="O17" s="98"/>
      <c r="P17" s="96"/>
      <c r="U17" s="95"/>
      <c r="V17" s="101"/>
      <c r="W17" s="102"/>
      <c r="X17" s="98"/>
      <c r="Y17" s="96"/>
    </row>
    <row r="18" spans="1:25" ht="16.5" customHeight="1" thickTop="1" thickBot="1" x14ac:dyDescent="0.3">
      <c r="A18" s="95"/>
      <c r="B18" s="106" t="str">
        <f>'Tabula RefULG 1'!K12</f>
        <v>W7</v>
      </c>
      <c r="C18" s="107">
        <f>VLOOKUP(B18,'Tabula RefULG 1'!$K$5:$R$83,3,0)</f>
        <v>1</v>
      </c>
      <c r="D18" s="107" t="str">
        <f>VLOOKUP(B18,'Tabula RefULG 1'!$K$5:$R$83,4,0)</f>
        <v>Window</v>
      </c>
      <c r="E18" s="107">
        <f>VLOOKUP(B18,'Tabula RefULG 1'!$K$5:$R$83,5,0)</f>
        <v>4.5</v>
      </c>
      <c r="F18" s="107" t="str">
        <f>VLOOKUP(B18,'Tabula RefULG 1'!$K$5:$R$83,6,0)</f>
        <v>back</v>
      </c>
      <c r="G18" s="107">
        <f>VLOOKUP(B18,'Tabula RefULG 1'!$K$5:$R$83,7,0)</f>
        <v>2</v>
      </c>
      <c r="H18" s="108">
        <f>VLOOKUP(B18,'Tabula RefULG 1'!$K$5:$R$83,8,0)</f>
        <v>9</v>
      </c>
      <c r="I18" s="108">
        <v>1</v>
      </c>
      <c r="J18" s="98"/>
      <c r="K18" s="98"/>
      <c r="L18" s="98"/>
      <c r="M18" s="98"/>
      <c r="N18" s="98"/>
      <c r="O18" s="98"/>
      <c r="P18" s="96"/>
      <c r="U18" s="95"/>
      <c r="V18" s="99" t="s">
        <v>176</v>
      </c>
      <c r="W18" s="100">
        <f>SUM(W7:W16)</f>
        <v>10081.05869898508</v>
      </c>
      <c r="X18" s="328" t="s">
        <v>169</v>
      </c>
      <c r="Y18" s="96"/>
    </row>
    <row r="19" spans="1:25" ht="16.5" customHeight="1" thickTop="1" thickBot="1" x14ac:dyDescent="0.3">
      <c r="A19" s="95"/>
      <c r="B19" s="106" t="str">
        <f>'Tabula RefULG 1'!K13</f>
        <v>W8</v>
      </c>
      <c r="C19" s="107">
        <f>VLOOKUP(B19,'Tabula RefULG 1'!$K$5:$R$83,3,0)</f>
        <v>1</v>
      </c>
      <c r="D19" s="107" t="str">
        <f>VLOOKUP(B19,'Tabula RefULG 1'!$K$5:$R$83,4,0)</f>
        <v>Window</v>
      </c>
      <c r="E19" s="107">
        <f>VLOOKUP(B19,'Tabula RefULG 1'!$K$5:$R$83,5,0)</f>
        <v>5.05</v>
      </c>
      <c r="F19" s="107" t="str">
        <f>VLOOKUP(B19,'Tabula RefULG 1'!$K$5:$R$83,6,0)</f>
        <v>left</v>
      </c>
      <c r="G19" s="107">
        <f>VLOOKUP(B19,'Tabula RefULG 1'!$K$5:$R$83,7,0)</f>
        <v>2</v>
      </c>
      <c r="H19" s="108">
        <f>VLOOKUP(B19,'Tabula RefULG 1'!$K$5:$R$83,8,0)</f>
        <v>10.1</v>
      </c>
      <c r="I19" s="108">
        <v>1</v>
      </c>
      <c r="J19" s="98"/>
      <c r="K19" s="98"/>
      <c r="L19" s="98"/>
      <c r="M19" s="98"/>
      <c r="N19" s="98"/>
      <c r="O19" s="98"/>
      <c r="P19" s="96"/>
      <c r="U19" s="109"/>
      <c r="V19" s="110"/>
      <c r="W19" s="110"/>
      <c r="X19" s="110"/>
      <c r="Y19" s="111"/>
    </row>
    <row r="20" spans="1:25" ht="16.5" customHeight="1" thickTop="1" thickBot="1" x14ac:dyDescent="0.3">
      <c r="A20" s="95"/>
      <c r="B20" s="106"/>
      <c r="C20" s="107"/>
      <c r="D20" s="107"/>
      <c r="E20" s="107"/>
      <c r="F20" s="107"/>
      <c r="G20" s="107"/>
      <c r="H20" s="108"/>
      <c r="I20" s="108"/>
      <c r="J20" s="98"/>
      <c r="K20" s="98"/>
      <c r="L20" s="98"/>
      <c r="M20" s="98"/>
      <c r="N20" s="98"/>
      <c r="O20" s="98"/>
      <c r="P20" s="96"/>
      <c r="U20" s="98"/>
      <c r="V20" s="98"/>
      <c r="W20" s="98"/>
      <c r="X20" s="98"/>
      <c r="Y20" s="98"/>
    </row>
    <row r="21" spans="1:25" ht="16.5" customHeight="1" thickTop="1" thickBot="1" x14ac:dyDescent="0.3">
      <c r="A21" s="95"/>
      <c r="B21" s="106" t="str">
        <f>'Gebouwgegevens Allacker'!J15</f>
        <v>W10</v>
      </c>
      <c r="C21" s="107">
        <f>VLOOKUP(B21,'Tabula RefULG 1'!$K$5:$R$83,3,0)</f>
        <v>1</v>
      </c>
      <c r="D21" s="107" t="str">
        <f>VLOOKUP(B21,'Tabula RefULG 1'!$K$5:$R$83,4,0)</f>
        <v>Roof</v>
      </c>
      <c r="E21" s="107">
        <f>VLOOKUP(B21,'Tabula RefULG 1'!$K$5:$R$83,5,0)</f>
        <v>0</v>
      </c>
      <c r="F21" s="107">
        <f>VLOOKUP(B21,'Tabula RefULG 1'!$K$5:$R$83,6,0)</f>
        <v>0</v>
      </c>
      <c r="G21" s="107">
        <f>VLOOKUP(B21,'Tabula RefULG 1'!$K$5:$R$83,7,0)</f>
        <v>0.27062537995411134</v>
      </c>
      <c r="H21" s="108">
        <f>VLOOKUP(B21,'Tabula RefULG 1'!$K$5:$R$83,8,0)</f>
        <v>0</v>
      </c>
      <c r="I21" s="108">
        <v>1</v>
      </c>
      <c r="J21" s="98"/>
      <c r="K21" s="98"/>
      <c r="L21" s="98"/>
      <c r="M21" s="98"/>
      <c r="N21" s="98"/>
      <c r="O21" s="98"/>
      <c r="P21" s="96"/>
      <c r="U21" s="98"/>
      <c r="V21" s="98" t="s">
        <v>266</v>
      </c>
      <c r="W21" s="98">
        <f>1.1*W7</f>
        <v>6312.1756143617149</v>
      </c>
      <c r="X21" s="98"/>
      <c r="Y21" s="98"/>
    </row>
    <row r="22" spans="1:25" ht="16.5" customHeight="1" thickTop="1" thickBot="1" x14ac:dyDescent="0.3">
      <c r="A22" s="95"/>
      <c r="B22" s="106" t="s">
        <v>67</v>
      </c>
      <c r="C22" s="107">
        <f>VLOOKUP(B22,'Tabula RefULG 1'!$K$5:$R$83,3,0)</f>
        <v>1</v>
      </c>
      <c r="D22" s="107" t="str">
        <f>VLOOKUP(B22,'Tabula RefULG 1'!$K$5:$R$83,4,0)</f>
        <v>Door</v>
      </c>
      <c r="E22" s="107">
        <f>VLOOKUP(B22,'Tabula RefULG 1'!$K$5:$R$83,5,0)</f>
        <v>9.5</v>
      </c>
      <c r="F22" s="107">
        <f>VLOOKUP(B22,'Tabula RefULG 1'!$K$5:$R$83,6,0)</f>
        <v>0</v>
      </c>
      <c r="G22" s="107">
        <f>VLOOKUP(B22,'Tabula RefULG 1'!$K$5:$R$83,7,0)</f>
        <v>3.5</v>
      </c>
      <c r="H22" s="108">
        <f>VLOOKUP(B22,'Tabula RefULG 1'!$K$5:$R$83,8,0)</f>
        <v>33.25</v>
      </c>
      <c r="I22" s="108">
        <v>1</v>
      </c>
      <c r="J22" s="98"/>
      <c r="K22" s="98"/>
      <c r="L22" s="98"/>
      <c r="M22" s="98"/>
      <c r="N22" s="98"/>
      <c r="O22" s="98"/>
      <c r="P22" s="96"/>
      <c r="U22" s="98"/>
      <c r="V22" s="98"/>
      <c r="W22" s="98"/>
      <c r="X22" s="98"/>
      <c r="Y22" s="98"/>
    </row>
    <row r="23" spans="1:25" ht="16.5" customHeight="1" thickTop="1" thickBot="1" x14ac:dyDescent="0.3">
      <c r="A23" s="95"/>
      <c r="B23" s="106"/>
      <c r="C23" s="107"/>
      <c r="D23" s="107"/>
      <c r="E23" s="107"/>
      <c r="F23" s="107"/>
      <c r="G23" s="107"/>
      <c r="H23" s="108"/>
      <c r="I23" s="108"/>
      <c r="J23" s="98"/>
      <c r="K23" s="98"/>
      <c r="L23" s="98"/>
      <c r="M23" s="98"/>
      <c r="N23" s="98"/>
      <c r="O23" s="98"/>
      <c r="P23" s="96"/>
      <c r="U23" s="98"/>
      <c r="V23" s="98"/>
      <c r="W23" s="98"/>
      <c r="X23" s="98"/>
      <c r="Y23" s="98"/>
    </row>
    <row r="24" spans="1:25" ht="15.75" customHeight="1" thickTop="1" x14ac:dyDescent="0.25">
      <c r="A24" s="95"/>
      <c r="B24" s="112"/>
      <c r="C24" s="113"/>
      <c r="D24" s="113"/>
      <c r="E24" s="113"/>
      <c r="F24" s="113"/>
      <c r="G24" s="113"/>
      <c r="H24" s="108"/>
      <c r="I24" s="108"/>
      <c r="J24" s="98"/>
      <c r="K24" s="98"/>
      <c r="L24" s="98"/>
      <c r="M24" s="98"/>
      <c r="N24" s="98"/>
      <c r="O24" s="98"/>
      <c r="P24" s="96"/>
      <c r="U24" s="98"/>
      <c r="V24" s="98"/>
      <c r="W24" s="98"/>
      <c r="X24" s="98"/>
      <c r="Y24" s="98"/>
    </row>
    <row r="25" spans="1:25" ht="15" customHeight="1" x14ac:dyDescent="0.25">
      <c r="A25" s="95"/>
      <c r="B25" s="112"/>
      <c r="C25" s="113"/>
      <c r="D25" s="113"/>
      <c r="E25" s="113"/>
      <c r="F25" s="113"/>
      <c r="G25" s="113"/>
      <c r="H25" s="108"/>
      <c r="I25" s="108"/>
      <c r="J25" s="98"/>
      <c r="K25" s="98"/>
      <c r="L25" s="98"/>
      <c r="M25" s="98"/>
      <c r="N25" s="98"/>
      <c r="O25" s="98"/>
      <c r="P25" s="96"/>
      <c r="U25" s="98"/>
      <c r="V25" s="98"/>
      <c r="W25" s="98"/>
      <c r="X25" s="98"/>
      <c r="Y25" s="98"/>
    </row>
    <row r="26" spans="1:25" ht="15" customHeight="1" x14ac:dyDescent="0.25">
      <c r="A26" s="103" t="s">
        <v>177</v>
      </c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6"/>
    </row>
    <row r="27" spans="1:25" ht="15.75" customHeight="1" x14ac:dyDescent="0.25">
      <c r="A27" s="95"/>
      <c r="B27" s="58" t="s">
        <v>10</v>
      </c>
      <c r="C27" s="58" t="s">
        <v>178</v>
      </c>
      <c r="D27" s="58" t="s">
        <v>172</v>
      </c>
      <c r="E27" s="58" t="s">
        <v>179</v>
      </c>
      <c r="F27" s="58" t="s">
        <v>16</v>
      </c>
      <c r="G27" s="114" t="s">
        <v>17</v>
      </c>
      <c r="H27" s="114" t="s">
        <v>175</v>
      </c>
      <c r="I27" s="58" t="s">
        <v>180</v>
      </c>
      <c r="J27" s="58" t="s">
        <v>181</v>
      </c>
      <c r="K27" s="58" t="s">
        <v>182</v>
      </c>
      <c r="L27" s="115" t="s">
        <v>183</v>
      </c>
      <c r="M27" s="115" t="s">
        <v>184</v>
      </c>
      <c r="N27" s="115" t="s">
        <v>185</v>
      </c>
      <c r="O27" s="98"/>
      <c r="P27" s="96"/>
    </row>
    <row r="28" spans="1:25" ht="16.5" customHeight="1" thickBot="1" x14ac:dyDescent="0.3">
      <c r="A28" s="95"/>
      <c r="B28" s="116" t="s">
        <v>61</v>
      </c>
      <c r="C28" s="117">
        <f>VLOOKUP(B28,'Tabula RefULG 1'!$K$5:$R$83,3,0)</f>
        <v>1</v>
      </c>
      <c r="D28" s="117" t="str">
        <f>VLOOKUP(B28,'Tabula RefULG 1'!$K$5:$R$83,4,0)</f>
        <v>Floor</v>
      </c>
      <c r="E28" s="117">
        <f>VLOOKUP(B28,'Tabula RefULG 1'!$K$5:$R$83,5,0)</f>
        <v>103.4</v>
      </c>
      <c r="F28" s="117">
        <f>VLOOKUP(B28,'Tabula RefULG 1'!$K$5:$R$83,7,0)</f>
        <v>0.66596194503171247</v>
      </c>
      <c r="G28" s="118">
        <f>VLOOKUP(B28,'Tabula RefULG 1'!$K$5:$R$83,8,0)</f>
        <v>68.860465116279073</v>
      </c>
      <c r="H28" s="118">
        <f>N28/F28*1.45*(G34-12)/(G34+8)</f>
        <v>0.25449302555020187</v>
      </c>
      <c r="I28" s="117">
        <f>'Tabula RefULG 1'!O14</f>
        <v>103.4</v>
      </c>
      <c r="J28" s="116">
        <f>SQRT(I28)*4</f>
        <v>40.67431622043572</v>
      </c>
      <c r="K28" s="116">
        <f>SUM('Tabula RefULG 1'!Z17:Z19)</f>
        <v>0.155</v>
      </c>
      <c r="L28" s="119">
        <f>I28/(0.5*J28)</f>
        <v>5.0842895275544642</v>
      </c>
      <c r="M28" s="119">
        <f>K28+2*(1/F28)</f>
        <v>3.158174603174603</v>
      </c>
      <c r="N28" s="120">
        <f>IF(M28&lt;L28,2*2/(PI()*L28+M28)*LN(PI()*L28/M28+1),2/(0.457*L28+M28))</f>
        <v>0.37662815620537277</v>
      </c>
      <c r="O28" s="98"/>
      <c r="P28" s="96"/>
    </row>
    <row r="29" spans="1:25" ht="15.75" customHeight="1" thickTop="1" x14ac:dyDescent="0.25">
      <c r="A29" s="95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8"/>
      <c r="P29" s="96"/>
    </row>
    <row r="30" spans="1:25" ht="15" customHeight="1" x14ac:dyDescent="0.25">
      <c r="A30" s="95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6"/>
    </row>
    <row r="31" spans="1:25" ht="15" customHeight="1" x14ac:dyDescent="0.25">
      <c r="A31" s="103" t="s">
        <v>186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6"/>
      <c r="V31" s="3">
        <f>1.1*W18</f>
        <v>11089.164568883589</v>
      </c>
    </row>
    <row r="32" spans="1:25" ht="15.75" customHeight="1" thickBot="1" x14ac:dyDescent="0.3">
      <c r="A32" s="95"/>
      <c r="B32" s="58" t="s">
        <v>10</v>
      </c>
      <c r="C32" s="58" t="s">
        <v>187</v>
      </c>
      <c r="D32" s="58" t="s">
        <v>188</v>
      </c>
      <c r="E32" s="58" t="s">
        <v>135</v>
      </c>
      <c r="F32" s="58" t="s">
        <v>189</v>
      </c>
      <c r="G32" s="58" t="s">
        <v>190</v>
      </c>
      <c r="H32" s="58" t="s">
        <v>191</v>
      </c>
      <c r="I32" s="58" t="s">
        <v>16</v>
      </c>
      <c r="J32" s="114" t="s">
        <v>17</v>
      </c>
      <c r="K32" s="114" t="s">
        <v>175</v>
      </c>
      <c r="L32" s="98"/>
      <c r="M32" s="98"/>
      <c r="N32" s="98"/>
      <c r="O32" s="98"/>
      <c r="P32" s="96"/>
    </row>
    <row r="33" spans="1:16" ht="16.5" customHeight="1" thickTop="1" thickBot="1" x14ac:dyDescent="0.3">
      <c r="A33" s="95"/>
      <c r="B33" s="121" t="s">
        <v>98</v>
      </c>
      <c r="C33" s="122">
        <f>IF(VLOOKUP(B33,'Tabula RefULG 1'!$K$5:$R$83,2,0)=B$6,VLOOKUP(B33,'Tabula RefULG 1'!$K$5:$R$83,2,0),VLOOKUP(B33,'Tabula RefULG 1'!$K$5:$R$83,3,0))</f>
        <v>1</v>
      </c>
      <c r="D33" s="122">
        <f>IF(VLOOKUP(B33,'Tabula RefULG 1'!$K$5:$R$83,2,0)=B$6,VLOOKUP(B33,'Tabula RefULG 1'!$K$5:$R$83,3,0),VLOOKUP(B33,'Tabula RefULG 1'!$K$5:$R$83,2,0))</f>
        <v>2</v>
      </c>
      <c r="E33" s="122" t="str">
        <f>VLOOKUP(B33,'Tabula RefULG 1'!$K$5:$R$83,4,0)</f>
        <v>Floor internal</v>
      </c>
      <c r="F33" s="122">
        <f>VLOOKUP(B33,'Tabula RefULG 1'!$K$5:$R$83,5,0)</f>
        <v>89.300000000000011</v>
      </c>
      <c r="G33" s="122">
        <f>VLOOKUP('Verwarming Tabula 2zone RefULG1'!C33,'Tabula RefULG 1'!$A$34:$F$45,5,0)</f>
        <v>21</v>
      </c>
      <c r="H33" s="122">
        <f>VLOOKUP('Verwarming Tabula 2zone RefULG1'!D33,'Tabula RefULG 1'!$A$34:$F$45,5,0)</f>
        <v>18</v>
      </c>
      <c r="I33" s="122">
        <f>VLOOKUP(B33,'Tabula RefULG 1'!$K$5:$R$83,7,0)</f>
        <v>1.0482529118136439</v>
      </c>
      <c r="J33" s="118">
        <f>VLOOKUP(B33,'Tabula RefULG 1'!$K$5:$R$83,8,0)</f>
        <v>93.608985024958415</v>
      </c>
      <c r="K33" s="118">
        <f>(G33-H33)/(G33-$B$4)</f>
        <v>0.10344827586206896</v>
      </c>
      <c r="L33" s="98"/>
      <c r="M33" s="98"/>
      <c r="N33" s="98"/>
      <c r="O33" s="98"/>
      <c r="P33" s="96"/>
    </row>
    <row r="34" spans="1:16" ht="16.5" customHeight="1" thickTop="1" thickBot="1" x14ac:dyDescent="0.3">
      <c r="A34" s="95"/>
      <c r="B34" s="121" t="s">
        <v>101</v>
      </c>
      <c r="C34" s="122">
        <f>IF(VLOOKUP(B34,'Tabula RefULG 1'!$K$5:$R$83,2,0)=B$6,VLOOKUP(B34,'Tabula RefULG 1'!$K$5:$R$83,2,0),VLOOKUP(B34,'Tabula RefULG 1'!$K$5:$R$83,3,0))</f>
        <v>1</v>
      </c>
      <c r="D34" s="122">
        <f>IF(VLOOKUP(B34,'Tabula RefULG 1'!$K$5:$R$83,2,0)=B$6,VLOOKUP(B34,'Tabula RefULG 1'!$K$5:$R$83,3,0),VLOOKUP(B34,'Tabula RefULG 1'!$K$5:$R$83,2,0))</f>
        <v>1</v>
      </c>
      <c r="E34" s="122" t="str">
        <f>VLOOKUP(B34,'Tabula RefULG 1'!$K$5:$R$83,4,0)</f>
        <v>Wall internal</v>
      </c>
      <c r="F34" s="122">
        <f>VLOOKUP(B34,'Tabula RefULG 1'!$K$5:$R$83,5,0)</f>
        <v>66.102142857142866</v>
      </c>
      <c r="G34" s="122">
        <f>VLOOKUP('Verwarming Tabula 2zone RefULG1'!C34,'Tabula RefULG 1'!$A$34:$F$45,5,0)</f>
        <v>21</v>
      </c>
      <c r="H34" s="122">
        <f>VLOOKUP('Verwarming Tabula 2zone RefULG1'!D34,'Tabula RefULG 1'!$A$34:$F$45,5,0)</f>
        <v>21</v>
      </c>
      <c r="I34" s="122">
        <f>VLOOKUP(B34,'Tabula RefULG 1'!$K$5:$R$83,7,0)</f>
        <v>1.210762331838565</v>
      </c>
      <c r="J34" s="118">
        <f>VLOOKUP(B34,'Tabula RefULG 1'!$K$5:$R$83,8,0)</f>
        <v>80.033984625240237</v>
      </c>
      <c r="K34" s="118">
        <f>(G34-H34)/(G34-$B$4)</f>
        <v>0</v>
      </c>
      <c r="L34" s="98"/>
      <c r="M34" s="98"/>
      <c r="N34" s="98"/>
      <c r="O34" s="98"/>
      <c r="P34" s="96"/>
    </row>
    <row r="35" spans="1:16" ht="16.5" customHeight="1" thickTop="1" thickBot="1" x14ac:dyDescent="0.3">
      <c r="A35" s="95"/>
      <c r="B35" s="121"/>
      <c r="C35" s="122"/>
      <c r="D35" s="122"/>
      <c r="E35" s="122"/>
      <c r="F35" s="122"/>
      <c r="G35" s="122"/>
      <c r="H35" s="122"/>
      <c r="I35" s="122"/>
      <c r="J35" s="118"/>
      <c r="K35" s="118"/>
      <c r="L35" s="98"/>
      <c r="M35" s="98"/>
      <c r="N35" s="98"/>
      <c r="O35" s="98"/>
      <c r="P35" s="96"/>
    </row>
    <row r="36" spans="1:16" ht="16.5" customHeight="1" thickTop="1" thickBot="1" x14ac:dyDescent="0.3">
      <c r="A36" s="95"/>
      <c r="B36" s="92"/>
      <c r="C36" s="122"/>
      <c r="D36" s="122"/>
      <c r="E36" s="122"/>
      <c r="F36" s="122"/>
      <c r="G36" s="122"/>
      <c r="H36" s="122"/>
      <c r="I36" s="122"/>
      <c r="J36" s="118"/>
      <c r="K36" s="118"/>
      <c r="L36" s="98"/>
      <c r="M36" s="98"/>
      <c r="N36" s="98"/>
      <c r="O36" s="98"/>
      <c r="P36" s="96"/>
    </row>
    <row r="37" spans="1:16" ht="16.5" customHeight="1" thickTop="1" thickBot="1" x14ac:dyDescent="0.3">
      <c r="A37" s="95"/>
      <c r="B37" s="123"/>
      <c r="C37" s="122"/>
      <c r="D37" s="122"/>
      <c r="E37" s="122"/>
      <c r="F37" s="122"/>
      <c r="G37" s="122"/>
      <c r="H37" s="122"/>
      <c r="I37" s="122"/>
      <c r="J37" s="118"/>
      <c r="K37" s="118"/>
      <c r="L37" s="98"/>
      <c r="M37" s="98"/>
      <c r="N37" s="98"/>
      <c r="O37" s="98"/>
      <c r="P37" s="96"/>
    </row>
    <row r="38" spans="1:16" ht="16.5" customHeight="1" thickTop="1" thickBot="1" x14ac:dyDescent="0.3">
      <c r="A38" s="95"/>
      <c r="B38" s="123"/>
      <c r="C38" s="122"/>
      <c r="D38" s="122"/>
      <c r="E38" s="122"/>
      <c r="F38" s="122"/>
      <c r="G38" s="122"/>
      <c r="H38" s="122"/>
      <c r="I38" s="122"/>
      <c r="J38" s="118"/>
      <c r="K38" s="118"/>
      <c r="L38" s="98"/>
      <c r="M38" s="98"/>
      <c r="N38" s="98"/>
      <c r="O38" s="98"/>
      <c r="P38" s="96"/>
    </row>
    <row r="39" spans="1:16" ht="15.75" customHeight="1" thickTop="1" x14ac:dyDescent="0.25">
      <c r="A39" s="95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8"/>
      <c r="M39" s="98"/>
      <c r="N39" s="98"/>
      <c r="O39" s="98"/>
      <c r="P39" s="96"/>
    </row>
    <row r="40" spans="1:16" ht="15" customHeight="1" x14ac:dyDescent="0.25">
      <c r="A40" s="95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6"/>
    </row>
    <row r="41" spans="1:16" ht="15.75" customHeight="1" x14ac:dyDescent="0.25">
      <c r="A41" s="103" t="s">
        <v>192</v>
      </c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6"/>
    </row>
    <row r="42" spans="1:16" ht="16.5" customHeight="1" x14ac:dyDescent="0.25">
      <c r="A42" s="124" t="s">
        <v>193</v>
      </c>
      <c r="B42" s="118">
        <f>SUMPRODUCT(H12:H22,I12:I22)+SUMPRODUCT(G28,H28)+SUMPRODUCT(J33:J38,K33:K38)</f>
        <v>134.07991489302449</v>
      </c>
      <c r="C42" s="118" t="s">
        <v>107</v>
      </c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6"/>
    </row>
    <row r="43" spans="1:16" ht="16.5" customHeight="1" x14ac:dyDescent="0.25">
      <c r="A43" s="124" t="s">
        <v>167</v>
      </c>
      <c r="B43" s="118">
        <f>B42*(G33-$B$4)</f>
        <v>3888.3175318977105</v>
      </c>
      <c r="C43" s="118" t="s">
        <v>169</v>
      </c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6"/>
    </row>
    <row r="44" spans="1:16" ht="15.75" customHeight="1" thickBot="1" x14ac:dyDescent="0.3">
      <c r="A44" s="109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1"/>
    </row>
    <row r="45" spans="1:16" ht="15.75" customHeight="1" thickTop="1" x14ac:dyDescent="0.25">
      <c r="A45" s="343" t="s">
        <v>194</v>
      </c>
      <c r="B45" s="343"/>
      <c r="C45" s="343"/>
      <c r="D45" s="125"/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94"/>
    </row>
    <row r="46" spans="1:16" ht="15" customHeight="1" x14ac:dyDescent="0.25">
      <c r="A46" s="95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6"/>
    </row>
    <row r="47" spans="1:16" ht="15" customHeight="1" thickBot="1" x14ac:dyDescent="0.3">
      <c r="A47" s="126" t="s">
        <v>195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6"/>
    </row>
    <row r="48" spans="1:16" ht="15" customHeight="1" thickTop="1" thickBot="1" x14ac:dyDescent="0.3">
      <c r="A48" s="127" t="s">
        <v>196</v>
      </c>
      <c r="B48" s="121">
        <f>'Tabula data'!E34</f>
        <v>3.9941548952752073</v>
      </c>
      <c r="C48" s="120" t="s">
        <v>197</v>
      </c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6"/>
    </row>
    <row r="49" spans="1:16" ht="15" customHeight="1" thickTop="1" thickBot="1" x14ac:dyDescent="0.3">
      <c r="A49" s="127" t="s">
        <v>198</v>
      </c>
      <c r="B49" s="121">
        <v>0.03</v>
      </c>
      <c r="C49" s="120" t="s">
        <v>199</v>
      </c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6"/>
    </row>
    <row r="50" spans="1:16" ht="15.75" customHeight="1" thickTop="1" thickBot="1" x14ac:dyDescent="0.3">
      <c r="A50" s="127" t="s">
        <v>200</v>
      </c>
      <c r="B50" s="121">
        <v>1</v>
      </c>
      <c r="C50" s="120" t="s">
        <v>201</v>
      </c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6"/>
    </row>
    <row r="51" spans="1:16" ht="16.5" customHeight="1" thickTop="1" x14ac:dyDescent="0.25">
      <c r="A51" s="124" t="s">
        <v>202</v>
      </c>
      <c r="B51" s="118">
        <f>VLOOKUP(B6,'Tabula RefULG 1'!$A$34:$F$45,2,0)*B48/20</f>
        <v>72.274232830004877</v>
      </c>
      <c r="C51" s="118" t="s">
        <v>203</v>
      </c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6"/>
    </row>
    <row r="52" spans="1:16" ht="15.75" customHeight="1" x14ac:dyDescent="0.25">
      <c r="A52" s="95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6"/>
    </row>
    <row r="53" spans="1:16" ht="15" customHeight="1" x14ac:dyDescent="0.25">
      <c r="A53" s="126" t="s">
        <v>204</v>
      </c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6"/>
    </row>
    <row r="54" spans="1:16" ht="15.75" customHeight="1" x14ac:dyDescent="0.25">
      <c r="A54" s="95" t="s">
        <v>180</v>
      </c>
      <c r="B54" s="98">
        <f>'Tabula RefULG 1'!G34</f>
        <v>103.4</v>
      </c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6"/>
    </row>
    <row r="55" spans="1:16" ht="16.5" customHeight="1" x14ac:dyDescent="0.25">
      <c r="A55" s="124" t="s">
        <v>205</v>
      </c>
      <c r="B55" s="128">
        <v>0</v>
      </c>
      <c r="C55" s="118" t="s">
        <v>203</v>
      </c>
      <c r="D55" s="98"/>
      <c r="E55" s="98" t="s">
        <v>206</v>
      </c>
      <c r="F55" s="98">
        <v>0</v>
      </c>
      <c r="G55" s="98"/>
      <c r="H55" s="98"/>
      <c r="I55" s="98"/>
      <c r="J55" s="98"/>
      <c r="K55" s="98"/>
      <c r="L55" s="98"/>
      <c r="M55" s="98"/>
      <c r="N55" s="98"/>
      <c r="O55" s="98"/>
      <c r="P55" s="96"/>
    </row>
    <row r="56" spans="1:16" ht="15.75" customHeight="1" x14ac:dyDescent="0.25">
      <c r="A56" s="95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6"/>
    </row>
    <row r="57" spans="1:16" ht="15.75" customHeight="1" x14ac:dyDescent="0.25">
      <c r="A57" s="95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6"/>
    </row>
    <row r="58" spans="1:16" ht="16.5" customHeight="1" x14ac:dyDescent="0.25">
      <c r="A58" s="124" t="s">
        <v>207</v>
      </c>
      <c r="B58" s="118">
        <f>B51+B55</f>
        <v>72.274232830004877</v>
      </c>
      <c r="C58" s="118" t="s">
        <v>203</v>
      </c>
      <c r="D58" s="98"/>
      <c r="E58" s="98"/>
      <c r="F58" s="118" t="s">
        <v>208</v>
      </c>
      <c r="G58" s="118">
        <f>B58/VLOOKUP(B6,'Gebouwgegevens Allacker'!$A$35:$B$46,2,0)</f>
        <v>0.34827263051630614</v>
      </c>
      <c r="H58" s="98"/>
      <c r="I58" s="98"/>
      <c r="J58" s="98"/>
      <c r="K58" s="98"/>
      <c r="L58" s="98"/>
      <c r="M58" s="98"/>
      <c r="N58" s="98"/>
      <c r="O58" s="98"/>
      <c r="P58" s="96"/>
    </row>
    <row r="59" spans="1:16" ht="16.5" customHeight="1" x14ac:dyDescent="0.25">
      <c r="A59" s="95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6"/>
    </row>
    <row r="60" spans="1:16" ht="16.5" customHeight="1" x14ac:dyDescent="0.25">
      <c r="A60" s="124" t="s">
        <v>209</v>
      </c>
      <c r="B60" s="118">
        <f>0.34*B58</f>
        <v>24.573239162201659</v>
      </c>
      <c r="C60" s="118" t="s">
        <v>107</v>
      </c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6"/>
    </row>
    <row r="61" spans="1:16" ht="16.5" customHeight="1" x14ac:dyDescent="0.25">
      <c r="A61" s="124" t="s">
        <v>167</v>
      </c>
      <c r="B61" s="118">
        <f>B60*('Gebouwgegevens Tabula'!E35-$B$4)</f>
        <v>712.62393570384813</v>
      </c>
      <c r="C61" s="118" t="s">
        <v>169</v>
      </c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6"/>
    </row>
    <row r="62" spans="1:16" ht="15.75" customHeight="1" thickBot="1" x14ac:dyDescent="0.3">
      <c r="A62" s="109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6" ht="15.75" customHeight="1" thickTop="1" x14ac:dyDescent="0.25">
      <c r="A63" s="343" t="s">
        <v>210</v>
      </c>
      <c r="B63" s="343"/>
      <c r="C63" s="343"/>
      <c r="D63" s="343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6"/>
    </row>
    <row r="64" spans="1:16" ht="15" customHeight="1" thickBot="1" x14ac:dyDescent="0.3">
      <c r="A64" s="95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6"/>
    </row>
    <row r="65" spans="1:16" ht="15" customHeight="1" thickTop="1" thickBot="1" x14ac:dyDescent="0.3">
      <c r="A65" s="127" t="s">
        <v>211</v>
      </c>
      <c r="B65" s="121">
        <v>11</v>
      </c>
      <c r="C65" s="58" t="s">
        <v>212</v>
      </c>
      <c r="D65" s="5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6"/>
    </row>
    <row r="66" spans="1:16" ht="15.75" customHeight="1" thickTop="1" thickBot="1" x14ac:dyDescent="0.3">
      <c r="A66" s="127" t="s">
        <v>113</v>
      </c>
      <c r="B66" s="121">
        <f>'Tabula RefULG 1'!B7</f>
        <v>103.4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6"/>
    </row>
    <row r="67" spans="1:16" ht="16.5" customHeight="1" thickTop="1" x14ac:dyDescent="0.25">
      <c r="A67" s="124" t="s">
        <v>213</v>
      </c>
      <c r="B67" s="118">
        <f>B68/('Gebouwgegevens Tabula'!E35-'Verwarming Tabula 2zone RefULG1'!$B$4)</f>
        <v>39.220689655172414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6"/>
    </row>
    <row r="68" spans="1:16" ht="16.5" customHeight="1" x14ac:dyDescent="0.25">
      <c r="A68" s="124" t="s">
        <v>167</v>
      </c>
      <c r="B68" s="118">
        <f>B65*B66</f>
        <v>1137.4000000000001</v>
      </c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6"/>
    </row>
    <row r="69" spans="1:16" ht="15.75" customHeight="1" x14ac:dyDescent="0.25">
      <c r="A69" s="95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6"/>
    </row>
    <row r="70" spans="1:16" ht="15.75" customHeight="1" thickBot="1" x14ac:dyDescent="0.3">
      <c r="A70" s="95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6"/>
    </row>
    <row r="71" spans="1:16" ht="15.75" customHeight="1" thickTop="1" thickBot="1" x14ac:dyDescent="0.3">
      <c r="A71" s="129" t="s">
        <v>214</v>
      </c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1"/>
    </row>
    <row r="72" spans="1:16" ht="16.5" customHeight="1" thickTop="1" x14ac:dyDescent="0.25">
      <c r="A72" s="124" t="s">
        <v>215</v>
      </c>
      <c r="B72" s="118">
        <f>SUM(B42,B60,B67)</f>
        <v>197.87384371039855</v>
      </c>
      <c r="C72" s="118" t="s">
        <v>107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3"/>
    </row>
    <row r="73" spans="1:16" ht="16.5" customHeight="1" x14ac:dyDescent="0.25">
      <c r="A73" s="124" t="s">
        <v>167</v>
      </c>
      <c r="B73" s="118">
        <f>SUM(B43,B61,B68)</f>
        <v>5738.3414676015582</v>
      </c>
      <c r="C73" s="118" t="s">
        <v>169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3"/>
    </row>
    <row r="74" spans="1:16" ht="16.5" customHeight="1" thickBot="1" x14ac:dyDescent="0.3">
      <c r="A74" s="134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6"/>
    </row>
    <row r="75" spans="1:16" ht="15" customHeight="1" thickTop="1" x14ac:dyDescent="0.25">
      <c r="A75" s="137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</row>
    <row r="76" spans="1:16" ht="15.75" customHeight="1" thickBot="1" x14ac:dyDescent="0.3">
      <c r="A76" s="137"/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</row>
    <row r="77" spans="1:16" ht="15" customHeight="1" thickTop="1" thickBot="1" x14ac:dyDescent="0.3">
      <c r="A77" s="93"/>
      <c r="B77" s="328"/>
      <c r="C77" s="328"/>
      <c r="D77" s="328"/>
      <c r="E77" s="328"/>
      <c r="F77" s="328"/>
      <c r="G77" s="328"/>
      <c r="H77" s="328"/>
      <c r="I77" s="328"/>
      <c r="J77" s="328"/>
      <c r="K77" s="328"/>
      <c r="L77" s="328"/>
      <c r="M77" s="328"/>
      <c r="N77" s="328"/>
      <c r="O77" s="328"/>
      <c r="P77" s="94"/>
    </row>
    <row r="78" spans="1:16" ht="17.25" customHeight="1" thickTop="1" thickBot="1" x14ac:dyDescent="0.35">
      <c r="A78" s="97" t="s">
        <v>166</v>
      </c>
      <c r="B78" s="92">
        <v>2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6"/>
    </row>
    <row r="79" spans="1:16" ht="15.75" customHeight="1" thickTop="1" x14ac:dyDescent="0.25">
      <c r="A79" s="343" t="s">
        <v>168</v>
      </c>
      <c r="B79" s="343"/>
      <c r="C79" s="343"/>
      <c r="D79" s="343"/>
      <c r="E79" s="328"/>
      <c r="F79" s="328"/>
      <c r="G79" s="328"/>
      <c r="H79" s="328"/>
      <c r="I79" s="328"/>
      <c r="J79" s="328"/>
      <c r="K79" s="328"/>
      <c r="L79" s="328"/>
      <c r="M79" s="328"/>
      <c r="N79" s="328"/>
      <c r="O79" s="328"/>
      <c r="P79" s="94"/>
    </row>
    <row r="80" spans="1:16" ht="15" customHeight="1" x14ac:dyDescent="0.25">
      <c r="A80" s="95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6"/>
    </row>
    <row r="81" spans="1:16" ht="15" customHeight="1" x14ac:dyDescent="0.25">
      <c r="A81" s="103" t="s">
        <v>170</v>
      </c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6"/>
    </row>
    <row r="82" spans="1:16" ht="15" customHeight="1" x14ac:dyDescent="0.25">
      <c r="A82" s="95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6"/>
    </row>
    <row r="83" spans="1:16" ht="15.75" customHeight="1" thickBot="1" x14ac:dyDescent="0.3">
      <c r="A83" s="95"/>
      <c r="B83" s="104" t="s">
        <v>10</v>
      </c>
      <c r="C83" s="104" t="s">
        <v>171</v>
      </c>
      <c r="D83" s="104" t="s">
        <v>172</v>
      </c>
      <c r="E83" s="104" t="s">
        <v>173</v>
      </c>
      <c r="F83" s="104" t="s">
        <v>174</v>
      </c>
      <c r="G83" s="104" t="s">
        <v>16</v>
      </c>
      <c r="H83" s="105" t="s">
        <v>17</v>
      </c>
      <c r="I83" s="105" t="s">
        <v>175</v>
      </c>
      <c r="J83" s="98"/>
      <c r="K83" s="98"/>
      <c r="L83" s="98"/>
      <c r="M83" s="98"/>
      <c r="N83" s="98"/>
      <c r="O83" s="98"/>
      <c r="P83" s="96"/>
    </row>
    <row r="84" spans="1:16" ht="16.5" customHeight="1" thickTop="1" thickBot="1" x14ac:dyDescent="0.3">
      <c r="A84" s="95"/>
      <c r="B84" s="106" t="s">
        <v>71</v>
      </c>
      <c r="C84" s="107">
        <f>VLOOKUP(B84,'Tabula RefULG 1'!$K$5:$R$83,3,0)</f>
        <v>2</v>
      </c>
      <c r="D84" s="107" t="str">
        <f>VLOOKUP(B84,'Tabula RefULG 1'!$K$5:$R$83,4,0)</f>
        <v>Wall External</v>
      </c>
      <c r="E84" s="107">
        <f>VLOOKUP(B84,'Tabula RefULG 1'!$K$5:$R$83,5,0)</f>
        <v>20.516529727733833</v>
      </c>
      <c r="F84" s="107" t="str">
        <f>VLOOKUP(B84,'Tabula RefULG 1'!$K$5:$R$83,6,0)</f>
        <v>front</v>
      </c>
      <c r="G84" s="107">
        <f>VLOOKUP(B84,'Tabula RefULG 1'!$K$5:$R$83,7,0)</f>
        <v>0.59788861556532236</v>
      </c>
      <c r="H84" s="108">
        <f>VLOOKUP(B84,'Tabula RefULG 1'!$K$5:$R$83,8,0)</f>
        <v>12.26659955511956</v>
      </c>
      <c r="I84" s="108">
        <v>1</v>
      </c>
      <c r="J84" s="98"/>
      <c r="K84" s="98"/>
      <c r="L84" s="98"/>
      <c r="M84" s="98"/>
      <c r="N84" s="98"/>
      <c r="O84" s="98"/>
      <c r="P84" s="96"/>
    </row>
    <row r="85" spans="1:16" ht="16.5" customHeight="1" thickTop="1" thickBot="1" x14ac:dyDescent="0.3">
      <c r="A85" s="95"/>
      <c r="B85" s="106" t="s">
        <v>75</v>
      </c>
      <c r="C85" s="107">
        <f>VLOOKUP(B85,'Tabula RefULG 1'!$K$5:$R$83,3,0)</f>
        <v>2</v>
      </c>
      <c r="D85" s="107" t="str">
        <f>VLOOKUP(B85,'Tabula RefULG 1'!$K$5:$R$83,4,0)</f>
        <v>Wall External</v>
      </c>
      <c r="E85" s="107">
        <f>VLOOKUP(B85,'Tabula RefULG 1'!$K$5:$R$83,5,0)</f>
        <v>36.064797687389479</v>
      </c>
      <c r="F85" s="107" t="str">
        <f>VLOOKUP(B85,'Tabula RefULG 1'!$K$5:$R$83,6,0)</f>
        <v>right</v>
      </c>
      <c r="G85" s="107">
        <f>VLOOKUP(B85,'Tabula RefULG 1'!$K$5:$R$83,7,0)</f>
        <v>0.59788861556532236</v>
      </c>
      <c r="H85" s="108">
        <f>VLOOKUP(B85,'Tabula RefULG 1'!$K$5:$R$83,8,0)</f>
        <v>21.562731959956736</v>
      </c>
      <c r="I85" s="108">
        <v>1</v>
      </c>
      <c r="J85" s="98"/>
      <c r="K85" s="98"/>
      <c r="L85" s="98"/>
      <c r="M85" s="98"/>
      <c r="N85" s="98"/>
      <c r="O85" s="98"/>
      <c r="P85" s="96"/>
    </row>
    <row r="86" spans="1:16" ht="16.5" customHeight="1" thickTop="1" thickBot="1" x14ac:dyDescent="0.3">
      <c r="A86" s="95"/>
      <c r="B86" s="106" t="s">
        <v>79</v>
      </c>
      <c r="C86" s="107">
        <f>VLOOKUP(B86,'Tabula RefULG 1'!$K$5:$R$83,3,0)</f>
        <v>2</v>
      </c>
      <c r="D86" s="107" t="str">
        <f>VLOOKUP(B86,'Tabula RefULG 1'!$K$5:$R$83,4,0)</f>
        <v>Wall External</v>
      </c>
      <c r="E86" s="107">
        <f>VLOOKUP(B86,'Tabula RefULG 1'!$K$5:$R$83,5,0)</f>
        <v>20.516529727733833</v>
      </c>
      <c r="F86" s="107" t="str">
        <f>VLOOKUP(B86,'Tabula RefULG 1'!$K$5:$R$83,6,0)</f>
        <v>back</v>
      </c>
      <c r="G86" s="107">
        <f>VLOOKUP(B86,'Tabula RefULG 1'!$K$5:$R$83,7,0)</f>
        <v>0.59788861556532236</v>
      </c>
      <c r="H86" s="108">
        <f>VLOOKUP(B86,'Tabula RefULG 1'!$K$5:$R$83,8,0)</f>
        <v>12.26659955511956</v>
      </c>
      <c r="I86" s="108">
        <v>1</v>
      </c>
      <c r="J86" s="98"/>
      <c r="K86" s="98"/>
      <c r="L86" s="98"/>
      <c r="M86" s="98"/>
      <c r="N86" s="98"/>
      <c r="O86" s="98"/>
      <c r="P86" s="96"/>
    </row>
    <row r="87" spans="1:16" ht="16.5" customHeight="1" thickTop="1" thickBot="1" x14ac:dyDescent="0.3">
      <c r="A87" s="95"/>
      <c r="B87" s="106" t="s">
        <v>82</v>
      </c>
      <c r="C87" s="107">
        <f>VLOOKUP(B87,'Tabula RefULG 1'!$K$5:$R$83,3,0)</f>
        <v>2</v>
      </c>
      <c r="D87" s="107" t="str">
        <f>VLOOKUP(B87,'Tabula RefULG 1'!$K$5:$R$83,4,0)</f>
        <v>Wall External</v>
      </c>
      <c r="E87" s="107">
        <f>VLOOKUP(B87,'Tabula RefULG 1'!$K$5:$R$83,5,0)</f>
        <v>0</v>
      </c>
      <c r="F87" s="107" t="str">
        <f>VLOOKUP(B87,'Tabula RefULG 1'!$K$5:$R$83,6,0)</f>
        <v>left</v>
      </c>
      <c r="G87" s="107">
        <f>VLOOKUP(B87,'Tabula RefULG 1'!$K$5:$R$83,7,0)</f>
        <v>0.59788861556532236</v>
      </c>
      <c r="H87" s="108">
        <f>VLOOKUP(B87,'Tabula RefULG 1'!$K$5:$R$83,8,0)</f>
        <v>0</v>
      </c>
      <c r="I87" s="108">
        <v>1</v>
      </c>
      <c r="J87" s="98"/>
      <c r="K87" s="98"/>
      <c r="L87" s="98"/>
      <c r="M87" s="98"/>
      <c r="N87" s="98"/>
      <c r="O87" s="98"/>
      <c r="P87" s="96"/>
    </row>
    <row r="88" spans="1:16" ht="16.5" customHeight="1" thickTop="1" thickBot="1" x14ac:dyDescent="0.3">
      <c r="A88" s="95"/>
      <c r="B88" s="106" t="s">
        <v>84</v>
      </c>
      <c r="C88" s="107">
        <f>VLOOKUP(B88,'Tabula RefULG 1'!$K$5:$R$83,3,0)</f>
        <v>2</v>
      </c>
      <c r="D88" s="107" t="str">
        <f>VLOOKUP(B88,'Tabula RefULG 1'!$K$5:$R$83,4,0)</f>
        <v>Window</v>
      </c>
      <c r="E88" s="107">
        <f>VLOOKUP(B88,'Tabula RefULG 1'!$K$5:$R$83,5,0)</f>
        <v>4.05</v>
      </c>
      <c r="F88" s="107" t="str">
        <f>VLOOKUP(B88,'Tabula RefULG 1'!$K$5:$R$83,6,0)</f>
        <v>front</v>
      </c>
      <c r="G88" s="107">
        <f>VLOOKUP(B88,'Tabula RefULG 1'!$K$5:$R$83,7,0)</f>
        <v>2</v>
      </c>
      <c r="H88" s="108">
        <f>VLOOKUP(B88,'Tabula RefULG 1'!$K$5:$R$83,8,0)</f>
        <v>8.1</v>
      </c>
      <c r="I88" s="108">
        <v>1</v>
      </c>
      <c r="J88" s="98"/>
      <c r="K88" s="98"/>
      <c r="L88" s="98"/>
      <c r="M88" s="98"/>
      <c r="N88" s="98"/>
      <c r="O88" s="98"/>
      <c r="P88" s="96"/>
    </row>
    <row r="89" spans="1:16" ht="16.5" customHeight="1" thickTop="1" thickBot="1" x14ac:dyDescent="0.3">
      <c r="A89" s="95"/>
      <c r="B89" s="106" t="s">
        <v>87</v>
      </c>
      <c r="C89" s="107">
        <f>VLOOKUP(B89,'Tabula RefULG 1'!$K$5:$R$83,3,0)</f>
        <v>2</v>
      </c>
      <c r="D89" s="107" t="str">
        <f>VLOOKUP(B89,'Tabula RefULG 1'!$K$5:$R$83,4,0)</f>
        <v>Window</v>
      </c>
      <c r="E89" s="107">
        <f>VLOOKUP(B89,'Tabula RefULG 1'!$K$5:$R$83,5,0)</f>
        <v>3.45</v>
      </c>
      <c r="F89" s="107" t="str">
        <f>VLOOKUP(B89,'Tabula RefULG 1'!$K$5:$R$83,6,0)</f>
        <v>right</v>
      </c>
      <c r="G89" s="107">
        <f>VLOOKUP(B89,'Tabula RefULG 1'!$K$5:$R$83,7,0)</f>
        <v>2</v>
      </c>
      <c r="H89" s="108">
        <f>VLOOKUP(B89,'Tabula RefULG 1'!$K$5:$R$83,8,0)</f>
        <v>6.9</v>
      </c>
      <c r="I89" s="108">
        <v>1</v>
      </c>
      <c r="J89" s="98"/>
      <c r="K89" s="98"/>
      <c r="L89" s="98"/>
      <c r="M89" s="98"/>
      <c r="N89" s="98"/>
      <c r="O89" s="98"/>
      <c r="P89" s="96"/>
    </row>
    <row r="90" spans="1:16" ht="16.5" customHeight="1" thickTop="1" thickBot="1" x14ac:dyDescent="0.3">
      <c r="A90" s="95"/>
      <c r="B90" s="106" t="s">
        <v>89</v>
      </c>
      <c r="C90" s="107">
        <f>VLOOKUP(B90,'Tabula RefULG 1'!$K$5:$R$83,3,0)</f>
        <v>2</v>
      </c>
      <c r="D90" s="107" t="str">
        <f>VLOOKUP(B90,'Tabula RefULG 1'!$K$5:$R$83,4,0)</f>
        <v>Window</v>
      </c>
      <c r="E90" s="107">
        <f>VLOOKUP(B90,'Tabula RefULG 1'!$K$5:$R$83,5,0)</f>
        <v>4.5</v>
      </c>
      <c r="F90" s="107" t="str">
        <f>VLOOKUP(B90,'Tabula RefULG 1'!$K$5:$R$83,6,0)</f>
        <v>back</v>
      </c>
      <c r="G90" s="107">
        <f>VLOOKUP(B90,'Tabula RefULG 1'!$K$5:$R$83,7,0)</f>
        <v>2</v>
      </c>
      <c r="H90" s="108">
        <f>VLOOKUP(B90,'Tabula RefULG 1'!$K$5:$R$83,8,0)</f>
        <v>9</v>
      </c>
      <c r="I90" s="108">
        <v>1</v>
      </c>
      <c r="J90" s="98"/>
      <c r="K90" s="98"/>
      <c r="L90" s="98"/>
      <c r="M90" s="98"/>
      <c r="N90" s="98"/>
      <c r="O90" s="98"/>
      <c r="P90" s="96"/>
    </row>
    <row r="91" spans="1:16" ht="16.5" customHeight="1" thickTop="1" thickBot="1" x14ac:dyDescent="0.3">
      <c r="A91" s="95"/>
      <c r="B91" s="106" t="s">
        <v>92</v>
      </c>
      <c r="C91" s="107">
        <f>VLOOKUP(B91,'Tabula RefULG 1'!$K$5:$R$83,3,0)</f>
        <v>2</v>
      </c>
      <c r="D91" s="107" t="str">
        <f>VLOOKUP(B91,'Tabula RefULG 1'!$K$5:$R$83,4,0)</f>
        <v>Window</v>
      </c>
      <c r="E91" s="107">
        <f>VLOOKUP(B91,'Tabula RefULG 1'!$K$5:$R$83,5,0)</f>
        <v>5.05</v>
      </c>
      <c r="F91" s="107" t="str">
        <f>VLOOKUP(B91,'Tabula RefULG 1'!$K$5:$R$83,6,0)</f>
        <v>left</v>
      </c>
      <c r="G91" s="107">
        <f>VLOOKUP(B91,'Tabula RefULG 1'!$K$5:$R$83,7,0)</f>
        <v>2</v>
      </c>
      <c r="H91" s="108">
        <f>VLOOKUP(B91,'Tabula RefULG 1'!$K$5:$R$83,8,0)</f>
        <v>10.1</v>
      </c>
      <c r="I91" s="108">
        <v>1</v>
      </c>
      <c r="J91" s="98"/>
      <c r="K91" s="98"/>
      <c r="L91" s="98"/>
      <c r="M91" s="98"/>
      <c r="N91" s="98"/>
      <c r="O91" s="98"/>
      <c r="P91" s="96"/>
    </row>
    <row r="92" spans="1:16" ht="16.5" customHeight="1" thickTop="1" thickBot="1" x14ac:dyDescent="0.3">
      <c r="A92" s="95"/>
      <c r="B92" s="106" t="s">
        <v>96</v>
      </c>
      <c r="C92" s="107">
        <f>VLOOKUP(B92,'Tabula RefULG 1'!$K$5:$R$83,3,0)</f>
        <v>2</v>
      </c>
      <c r="D92" s="107" t="str">
        <f>VLOOKUP(B92,'Tabula RefULG 1'!$K$5:$R$83,4,0)</f>
        <v>Roof</v>
      </c>
      <c r="E92" s="107">
        <f>VLOOKUP(B92,'Tabula RefULG 1'!$K$5:$R$83,5,0)</f>
        <v>108.5</v>
      </c>
      <c r="F92" s="107" t="str">
        <f>VLOOKUP(B92,'Tabula RefULG 1'!$K$5:$R$83,6,0)</f>
        <v>front/back</v>
      </c>
      <c r="G92" s="107">
        <f>VLOOKUP(B92,'Tabula RefULG 1'!$K$5:$R$83,7,0)</f>
        <v>0.27062537995411134</v>
      </c>
      <c r="H92" s="108">
        <f>VLOOKUP(B92,'Tabula RefULG 1'!$K$5:$R$83,8,0)</f>
        <v>29.362853725021083</v>
      </c>
      <c r="I92" s="108">
        <v>1</v>
      </c>
      <c r="J92" s="98"/>
      <c r="K92" s="98"/>
      <c r="L92" s="98"/>
      <c r="M92" s="98"/>
      <c r="N92" s="98"/>
      <c r="O92" s="98"/>
      <c r="P92" s="96"/>
    </row>
    <row r="93" spans="1:16" ht="16.5" customHeight="1" thickTop="1" thickBot="1" x14ac:dyDescent="0.3">
      <c r="A93" s="95"/>
      <c r="B93" s="106"/>
      <c r="C93" s="107"/>
      <c r="D93" s="107"/>
      <c r="E93" s="107"/>
      <c r="F93" s="107"/>
      <c r="G93" s="107"/>
      <c r="H93" s="108"/>
      <c r="I93" s="108"/>
      <c r="J93" s="98"/>
      <c r="K93" s="98"/>
      <c r="L93" s="98"/>
      <c r="M93" s="98"/>
      <c r="N93" s="98"/>
      <c r="O93" s="98"/>
      <c r="P93" s="96"/>
    </row>
    <row r="94" spans="1:16" ht="16.5" customHeight="1" thickTop="1" thickBot="1" x14ac:dyDescent="0.3">
      <c r="A94" s="95"/>
      <c r="B94" s="106"/>
      <c r="C94" s="107"/>
      <c r="D94" s="107"/>
      <c r="E94" s="107"/>
      <c r="F94" s="107"/>
      <c r="G94" s="107"/>
      <c r="H94" s="108"/>
      <c r="I94" s="108"/>
      <c r="J94" s="98"/>
      <c r="K94" s="98"/>
      <c r="L94" s="98"/>
      <c r="M94" s="98"/>
      <c r="N94" s="98"/>
      <c r="O94" s="98"/>
      <c r="P94" s="96"/>
    </row>
    <row r="95" spans="1:16" ht="16.5" customHeight="1" thickTop="1" thickBot="1" x14ac:dyDescent="0.3">
      <c r="A95" s="95"/>
      <c r="B95" s="106"/>
      <c r="C95" s="107"/>
      <c r="D95" s="107"/>
      <c r="E95" s="107"/>
      <c r="F95" s="107"/>
      <c r="G95" s="107"/>
      <c r="H95" s="108"/>
      <c r="I95" s="108"/>
      <c r="J95" s="98"/>
      <c r="K95" s="98"/>
      <c r="L95" s="98"/>
      <c r="M95" s="98"/>
      <c r="N95" s="98"/>
      <c r="O95" s="98"/>
      <c r="P95" s="96"/>
    </row>
    <row r="96" spans="1:16" ht="15.75" customHeight="1" thickTop="1" x14ac:dyDescent="0.25">
      <c r="A96" s="95"/>
      <c r="B96" s="58"/>
      <c r="C96" s="58"/>
      <c r="D96" s="58"/>
      <c r="E96" s="58"/>
      <c r="F96" s="58"/>
      <c r="G96" s="114"/>
      <c r="H96" s="58"/>
      <c r="I96" s="58"/>
      <c r="J96" s="98"/>
      <c r="K96" s="98"/>
      <c r="L96" s="98"/>
      <c r="M96" s="98"/>
      <c r="N96" s="98"/>
      <c r="O96" s="98"/>
      <c r="P96" s="96"/>
    </row>
    <row r="97" spans="1:16" ht="15" customHeight="1" x14ac:dyDescent="0.25">
      <c r="A97" s="95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6"/>
    </row>
    <row r="98" spans="1:16" ht="15" customHeight="1" x14ac:dyDescent="0.25">
      <c r="A98" s="103" t="s">
        <v>177</v>
      </c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6"/>
    </row>
    <row r="99" spans="1:16" ht="15.75" customHeight="1" x14ac:dyDescent="0.25">
      <c r="A99" s="95"/>
      <c r="B99" s="58" t="s">
        <v>10</v>
      </c>
      <c r="C99" s="58" t="s">
        <v>178</v>
      </c>
      <c r="D99" s="58" t="s">
        <v>172</v>
      </c>
      <c r="E99" s="58" t="s">
        <v>179</v>
      </c>
      <c r="F99" s="58" t="s">
        <v>16</v>
      </c>
      <c r="G99" s="114" t="s">
        <v>17</v>
      </c>
      <c r="H99" s="114" t="s">
        <v>175</v>
      </c>
      <c r="I99" s="58" t="s">
        <v>180</v>
      </c>
      <c r="J99" s="58" t="s">
        <v>181</v>
      </c>
      <c r="K99" s="58" t="s">
        <v>182</v>
      </c>
      <c r="L99" s="115" t="s">
        <v>183</v>
      </c>
      <c r="M99" s="115" t="s">
        <v>184</v>
      </c>
      <c r="N99" s="115" t="s">
        <v>185</v>
      </c>
      <c r="O99" s="98"/>
      <c r="P99" s="96"/>
    </row>
    <row r="100" spans="1:16" ht="18.75" customHeight="1" thickBot="1" x14ac:dyDescent="0.3">
      <c r="A100" s="95"/>
      <c r="B100" s="116"/>
      <c r="C100" s="117"/>
      <c r="D100" s="117"/>
      <c r="E100" s="117"/>
      <c r="F100" s="117"/>
      <c r="G100" s="118"/>
      <c r="H100" s="118"/>
      <c r="I100" s="117"/>
      <c r="J100" s="116"/>
      <c r="K100" s="116"/>
      <c r="L100" s="119"/>
      <c r="M100" s="119"/>
      <c r="N100" s="120"/>
      <c r="O100" s="98"/>
      <c r="P100" s="96"/>
    </row>
    <row r="101" spans="1:16" ht="18.75" customHeight="1" thickTop="1" thickBot="1" x14ac:dyDescent="0.3">
      <c r="A101" s="95"/>
      <c r="B101" s="116"/>
      <c r="C101" s="117"/>
      <c r="D101" s="117"/>
      <c r="E101" s="117"/>
      <c r="F101" s="117"/>
      <c r="G101" s="118"/>
      <c r="H101" s="118"/>
      <c r="I101" s="117"/>
      <c r="J101" s="116"/>
      <c r="K101" s="116"/>
      <c r="L101" s="119"/>
      <c r="M101" s="119"/>
      <c r="N101" s="120"/>
      <c r="O101" s="98"/>
      <c r="P101" s="96"/>
    </row>
    <row r="102" spans="1:16" ht="18.75" customHeight="1" thickTop="1" thickBot="1" x14ac:dyDescent="0.3">
      <c r="A102" s="95"/>
      <c r="B102" s="116"/>
      <c r="C102" s="117"/>
      <c r="D102" s="117"/>
      <c r="E102" s="117"/>
      <c r="F102" s="117"/>
      <c r="G102" s="118"/>
      <c r="H102" s="118"/>
      <c r="I102" s="117"/>
      <c r="J102" s="116"/>
      <c r="K102" s="116"/>
      <c r="L102" s="119"/>
      <c r="M102" s="119"/>
      <c r="N102" s="120"/>
      <c r="O102" s="98"/>
      <c r="P102" s="96"/>
    </row>
    <row r="103" spans="1:16" ht="18.75" customHeight="1" thickTop="1" thickBot="1" x14ac:dyDescent="0.3">
      <c r="A103" s="95"/>
      <c r="B103" s="116"/>
      <c r="C103" s="117"/>
      <c r="D103" s="117"/>
      <c r="E103" s="117"/>
      <c r="F103" s="117"/>
      <c r="G103" s="118"/>
      <c r="H103" s="118"/>
      <c r="I103" s="117"/>
      <c r="J103" s="116"/>
      <c r="K103" s="116"/>
      <c r="L103" s="119"/>
      <c r="M103" s="119"/>
      <c r="N103" s="120"/>
      <c r="O103" s="98"/>
      <c r="P103" s="96"/>
    </row>
    <row r="104" spans="1:16" ht="16.5" customHeight="1" thickTop="1" thickBot="1" x14ac:dyDescent="0.3">
      <c r="A104" s="138"/>
      <c r="B104" s="116"/>
      <c r="C104" s="117"/>
      <c r="D104" s="117"/>
      <c r="E104" s="117"/>
      <c r="F104" s="117"/>
      <c r="G104" s="118"/>
      <c r="H104" s="118"/>
      <c r="I104" s="117"/>
      <c r="J104" s="116"/>
      <c r="K104" s="116"/>
      <c r="L104" s="119"/>
      <c r="M104" s="119"/>
      <c r="N104" s="120"/>
      <c r="O104" s="98"/>
      <c r="P104" s="96"/>
    </row>
    <row r="105" spans="1:16" ht="15.75" customHeight="1" thickTop="1" x14ac:dyDescent="0.25">
      <c r="A105" s="95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6"/>
    </row>
    <row r="106" spans="1:16" ht="15" customHeight="1" x14ac:dyDescent="0.25">
      <c r="A106" s="103" t="s">
        <v>186</v>
      </c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6"/>
    </row>
    <row r="107" spans="1:16" ht="15.75" customHeight="1" thickBot="1" x14ac:dyDescent="0.3">
      <c r="A107" s="95"/>
      <c r="B107" s="58" t="s">
        <v>10</v>
      </c>
      <c r="C107" s="58" t="s">
        <v>187</v>
      </c>
      <c r="D107" s="58" t="s">
        <v>188</v>
      </c>
      <c r="E107" s="58" t="s">
        <v>135</v>
      </c>
      <c r="F107" s="58" t="s">
        <v>189</v>
      </c>
      <c r="G107" s="58" t="s">
        <v>190</v>
      </c>
      <c r="H107" s="58" t="s">
        <v>191</v>
      </c>
      <c r="I107" s="58" t="s">
        <v>16</v>
      </c>
      <c r="J107" s="114" t="s">
        <v>17</v>
      </c>
      <c r="K107" s="114" t="s">
        <v>175</v>
      </c>
      <c r="L107" s="98"/>
      <c r="M107" s="98"/>
      <c r="N107" s="98"/>
      <c r="O107" s="98"/>
      <c r="P107" s="96"/>
    </row>
    <row r="108" spans="1:16" ht="16.5" customHeight="1" thickTop="1" thickBot="1" x14ac:dyDescent="0.3">
      <c r="A108" s="95"/>
      <c r="B108" s="121" t="s">
        <v>98</v>
      </c>
      <c r="C108" s="122">
        <f>IF(VLOOKUP(B108,'Tabula RefULG 1'!$K$5:$R$83,2,0)=$B$78,VLOOKUP(B108,'Tabula RefULG 1'!$K$5:$R$83,2,0),VLOOKUP(B108,'Tabula RefULG 1'!$K$5:$R$83,3,0))</f>
        <v>2</v>
      </c>
      <c r="D108" s="122">
        <f>IF(VLOOKUP(B108,'Tabula RefULG 1'!$K$5:$R$83,2,0)=$B$78,VLOOKUP(B108,'Tabula RefULG 1'!$K$5:$R$83,3,0),VLOOKUP(B108,'Tabula RefULG 1'!$K$5:$R$83,2,0))</f>
        <v>1</v>
      </c>
      <c r="E108" s="122" t="str">
        <f>VLOOKUP(B108,'Tabula RefULG 1'!$K$5:$R$83,4,0)</f>
        <v>Floor internal</v>
      </c>
      <c r="F108" s="122">
        <f>VLOOKUP(B108,'Tabula RefULG 1'!$K$5:$R$83,5,0)</f>
        <v>89.300000000000011</v>
      </c>
      <c r="G108" s="122">
        <f>VLOOKUP('Verwarming Tabula 2zone RefULG1'!C108,'Tabula RefULG 1'!$A$34:$F$45,5,0)</f>
        <v>18</v>
      </c>
      <c r="H108" s="122">
        <f>VLOOKUP('Verwarming Tabula 2zone RefULG1'!D108,'Tabula RefULG 1'!$A$34:$F$45,5,0)</f>
        <v>21</v>
      </c>
      <c r="I108" s="122">
        <f>VLOOKUP(B108,'Tabula RefULG 1'!$K$5:$R$83,7,0)</f>
        <v>1.0482529118136439</v>
      </c>
      <c r="J108" s="118">
        <f>VLOOKUP(B108,'Tabula RefULG 1'!$K$5:$R$83,8,0)</f>
        <v>93.608985024958415</v>
      </c>
      <c r="K108" s="118">
        <f>(G108-H108)/(G108-$B$4)</f>
        <v>-0.11538461538461539</v>
      </c>
      <c r="L108" s="98"/>
      <c r="M108" s="98"/>
      <c r="N108" s="98"/>
      <c r="O108" s="98"/>
      <c r="P108" s="96"/>
    </row>
    <row r="109" spans="1:16" ht="16.5" customHeight="1" thickTop="1" thickBot="1" x14ac:dyDescent="0.3">
      <c r="A109" s="95"/>
      <c r="B109" s="121" t="s">
        <v>102</v>
      </c>
      <c r="C109" s="122">
        <f>IF(VLOOKUP(B109,'Tabula RefULG 1'!$K$5:$R$83,2,0)=$B$78,VLOOKUP(B109,'Tabula RefULG 1'!$K$5:$R$83,2,0),VLOOKUP(B109,'Tabula RefULG 1'!$K$5:$R$83,3,0))</f>
        <v>2</v>
      </c>
      <c r="D109" s="122">
        <f>IF(VLOOKUP(B109,'Tabula RefULG 1'!$K$5:$R$83,2,0)=$B$78,VLOOKUP(B109,'Tabula RefULG 1'!$K$5:$R$83,3,0),VLOOKUP(B109,'Tabula RefULG 1'!$K$5:$R$83,2,0))</f>
        <v>2</v>
      </c>
      <c r="E109" s="122" t="str">
        <f>VLOOKUP(B109,'Tabula RefULG 1'!$K$5:$R$83,4,0)</f>
        <v>Wall internal</v>
      </c>
      <c r="F109" s="122">
        <f>VLOOKUP(B109,'Tabula RefULG 1'!$K$5:$R$83,5,0)</f>
        <v>77.097857142857151</v>
      </c>
      <c r="G109" s="122">
        <f>VLOOKUP('Verwarming Tabula 2zone RefULG1'!C109,'Tabula RefULG 1'!$A$34:$F$45,5,0)</f>
        <v>18</v>
      </c>
      <c r="H109" s="122">
        <f>VLOOKUP('Verwarming Tabula 2zone RefULG1'!D109,'Tabula RefULG 1'!$A$34:$F$45,5,0)</f>
        <v>18</v>
      </c>
      <c r="I109" s="122">
        <f>VLOOKUP(B109,'Tabula RefULG 1'!$K$5:$R$83,7,0)</f>
        <v>1.210762331838565</v>
      </c>
      <c r="J109" s="118">
        <f>VLOOKUP(B109,'Tabula RefULG 1'!$K$5:$R$83,8,0)</f>
        <v>93.347181294042286</v>
      </c>
      <c r="K109" s="118">
        <f>(G109-H109)/(G109-$B$4)</f>
        <v>0</v>
      </c>
      <c r="L109" s="98"/>
      <c r="M109" s="98"/>
      <c r="N109" s="98"/>
      <c r="O109" s="98"/>
      <c r="P109" s="96"/>
    </row>
    <row r="110" spans="1:16" ht="16.5" customHeight="1" thickTop="1" thickBot="1" x14ac:dyDescent="0.3">
      <c r="A110" s="95"/>
      <c r="B110" s="121"/>
      <c r="C110" s="122"/>
      <c r="D110" s="122"/>
      <c r="E110" s="122"/>
      <c r="F110" s="122"/>
      <c r="G110" s="122"/>
      <c r="H110" s="122"/>
      <c r="I110" s="122"/>
      <c r="J110" s="118"/>
      <c r="K110" s="118"/>
      <c r="L110" s="98"/>
      <c r="M110" s="98"/>
      <c r="N110" s="98"/>
      <c r="O110" s="98"/>
      <c r="P110" s="96"/>
    </row>
    <row r="111" spans="1:16" ht="16.5" customHeight="1" thickTop="1" thickBot="1" x14ac:dyDescent="0.3">
      <c r="A111" s="95"/>
      <c r="B111" s="92"/>
      <c r="C111" s="122"/>
      <c r="D111" s="122"/>
      <c r="E111" s="122"/>
      <c r="F111" s="122"/>
      <c r="G111" s="122"/>
      <c r="H111" s="122"/>
      <c r="I111" s="122"/>
      <c r="J111" s="118"/>
      <c r="K111" s="118"/>
      <c r="L111" s="98"/>
      <c r="M111" s="98"/>
      <c r="N111" s="98"/>
      <c r="O111" s="98"/>
      <c r="P111" s="96"/>
    </row>
    <row r="112" spans="1:16" ht="16.5" customHeight="1" thickTop="1" thickBot="1" x14ac:dyDescent="0.3">
      <c r="A112" s="95"/>
      <c r="B112" s="123"/>
      <c r="C112" s="139"/>
      <c r="D112" s="122"/>
      <c r="E112" s="122"/>
      <c r="F112" s="122"/>
      <c r="G112" s="122"/>
      <c r="H112" s="122"/>
      <c r="I112" s="122"/>
      <c r="J112" s="118"/>
      <c r="K112" s="118"/>
      <c r="L112" s="98"/>
      <c r="M112" s="98"/>
      <c r="N112" s="98"/>
      <c r="O112" s="98"/>
      <c r="P112" s="96"/>
    </row>
    <row r="113" spans="1:16" ht="16.5" customHeight="1" thickTop="1" thickBot="1" x14ac:dyDescent="0.3">
      <c r="A113" s="95"/>
      <c r="B113" s="123"/>
      <c r="C113" s="139"/>
      <c r="D113" s="122"/>
      <c r="E113" s="122"/>
      <c r="F113" s="122"/>
      <c r="G113" s="122"/>
      <c r="H113" s="122"/>
      <c r="I113" s="122"/>
      <c r="J113" s="118"/>
      <c r="K113" s="118"/>
      <c r="L113" s="98"/>
      <c r="M113" s="98"/>
      <c r="N113" s="98"/>
      <c r="O113" s="98"/>
      <c r="P113" s="96"/>
    </row>
    <row r="114" spans="1:16" ht="16.5" customHeight="1" thickTop="1" thickBot="1" x14ac:dyDescent="0.3">
      <c r="A114" s="95"/>
      <c r="B114" s="123"/>
      <c r="C114" s="139"/>
      <c r="D114" s="122"/>
      <c r="E114" s="122"/>
      <c r="F114" s="122"/>
      <c r="G114" s="122"/>
      <c r="H114" s="122"/>
      <c r="I114" s="122"/>
      <c r="J114" s="118"/>
      <c r="K114" s="118"/>
      <c r="L114" s="98"/>
      <c r="M114" s="98"/>
      <c r="N114" s="98"/>
      <c r="O114" s="98"/>
      <c r="P114" s="96"/>
    </row>
    <row r="115" spans="1:16" ht="16.5" customHeight="1" thickTop="1" thickBot="1" x14ac:dyDescent="0.3">
      <c r="A115" s="95"/>
      <c r="B115" s="123"/>
      <c r="C115" s="139"/>
      <c r="D115" s="122"/>
      <c r="E115" s="122"/>
      <c r="F115" s="122"/>
      <c r="G115" s="122"/>
      <c r="H115" s="122"/>
      <c r="I115" s="122"/>
      <c r="J115" s="118"/>
      <c r="K115" s="118"/>
      <c r="L115" s="98"/>
      <c r="M115" s="98"/>
      <c r="N115" s="98"/>
      <c r="O115" s="98"/>
      <c r="P115" s="96"/>
    </row>
    <row r="116" spans="1:16" ht="16.5" customHeight="1" thickTop="1" thickBot="1" x14ac:dyDescent="0.3">
      <c r="A116" s="95"/>
      <c r="B116" s="123"/>
      <c r="C116" s="139"/>
      <c r="D116" s="122"/>
      <c r="E116" s="122"/>
      <c r="F116" s="122"/>
      <c r="G116" s="122"/>
      <c r="H116" s="122"/>
      <c r="I116" s="122"/>
      <c r="J116" s="118"/>
      <c r="K116" s="118"/>
      <c r="L116" s="98"/>
      <c r="M116" s="98"/>
      <c r="N116" s="98"/>
      <c r="O116" s="98"/>
      <c r="P116" s="96"/>
    </row>
    <row r="117" spans="1:16" ht="16.5" customHeight="1" thickTop="1" thickBot="1" x14ac:dyDescent="0.3">
      <c r="A117" s="95"/>
      <c r="B117" s="123"/>
      <c r="C117" s="139"/>
      <c r="D117" s="122"/>
      <c r="E117" s="122"/>
      <c r="F117" s="122"/>
      <c r="G117" s="122"/>
      <c r="H117" s="122"/>
      <c r="I117" s="122"/>
      <c r="J117" s="118"/>
      <c r="K117" s="118"/>
      <c r="L117" s="98"/>
      <c r="M117" s="98"/>
      <c r="N117" s="98"/>
      <c r="O117" s="98"/>
      <c r="P117" s="96"/>
    </row>
    <row r="118" spans="1:16" ht="15.75" customHeight="1" thickTop="1" x14ac:dyDescent="0.25">
      <c r="A118" s="95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8"/>
      <c r="M118" s="98"/>
      <c r="N118" s="98"/>
      <c r="O118" s="98"/>
      <c r="P118" s="96"/>
    </row>
    <row r="119" spans="1:16" ht="15" customHeight="1" x14ac:dyDescent="0.25">
      <c r="A119" s="95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6"/>
    </row>
    <row r="120" spans="1:16" ht="15.75" customHeight="1" x14ac:dyDescent="0.25">
      <c r="A120" s="103" t="s">
        <v>192</v>
      </c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6"/>
    </row>
    <row r="121" spans="1:16" ht="16.5" customHeight="1" x14ac:dyDescent="0.25">
      <c r="A121" s="124" t="s">
        <v>193</v>
      </c>
      <c r="B121" s="118">
        <f>SUMPRODUCT(H84:H95,I84:I95)+SUMPRODUCT(G100:G104,H100:H104)+SUMPRODUCT(J108:J117,K108:K117)</f>
        <v>98.757748061567895</v>
      </c>
      <c r="C121" s="118" t="s">
        <v>107</v>
      </c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6"/>
    </row>
    <row r="122" spans="1:16" ht="16.5" customHeight="1" x14ac:dyDescent="0.25">
      <c r="A122" s="124" t="s">
        <v>167</v>
      </c>
      <c r="B122" s="118">
        <f>B121*(G109-$B$4)</f>
        <v>2567.701449600765</v>
      </c>
      <c r="C122" s="118" t="s">
        <v>169</v>
      </c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6"/>
    </row>
    <row r="123" spans="1:16" ht="15.75" customHeight="1" thickBot="1" x14ac:dyDescent="0.3">
      <c r="A123" s="109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1"/>
    </row>
    <row r="124" spans="1:16" ht="15.75" customHeight="1" thickTop="1" x14ac:dyDescent="0.25">
      <c r="A124" s="343" t="s">
        <v>194</v>
      </c>
      <c r="B124" s="343"/>
      <c r="C124" s="343"/>
      <c r="D124" s="125" t="s">
        <v>222</v>
      </c>
      <c r="E124" s="328"/>
      <c r="F124" s="328"/>
      <c r="G124" s="328"/>
      <c r="H124" s="328"/>
      <c r="I124" s="328"/>
      <c r="J124" s="328"/>
      <c r="K124" s="328"/>
      <c r="L124" s="328"/>
      <c r="M124" s="328"/>
      <c r="N124" s="328"/>
      <c r="O124" s="328"/>
      <c r="P124" s="94"/>
    </row>
    <row r="125" spans="1:16" ht="15" customHeight="1" x14ac:dyDescent="0.25">
      <c r="A125" s="95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6"/>
    </row>
    <row r="126" spans="1:16" ht="15" customHeight="1" thickBot="1" x14ac:dyDescent="0.3">
      <c r="A126" s="126" t="s">
        <v>195</v>
      </c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6"/>
    </row>
    <row r="127" spans="1:16" ht="15" customHeight="1" thickTop="1" thickBot="1" x14ac:dyDescent="0.3">
      <c r="A127" s="127" t="s">
        <v>196</v>
      </c>
      <c r="B127" s="121">
        <f>'Tabula data'!E34</f>
        <v>3.9941548952752073</v>
      </c>
      <c r="C127" s="120" t="s">
        <v>197</v>
      </c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6"/>
    </row>
    <row r="128" spans="1:16" ht="15" customHeight="1" thickTop="1" thickBot="1" x14ac:dyDescent="0.3">
      <c r="A128" s="127" t="s">
        <v>198</v>
      </c>
      <c r="B128" s="121">
        <v>0.03</v>
      </c>
      <c r="C128" s="120" t="s">
        <v>199</v>
      </c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6"/>
    </row>
    <row r="129" spans="1:16" ht="15.75" customHeight="1" thickTop="1" thickBot="1" x14ac:dyDescent="0.3">
      <c r="A129" s="127" t="s">
        <v>200</v>
      </c>
      <c r="B129" s="121">
        <v>1</v>
      </c>
      <c r="C129" s="120" t="s">
        <v>201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6"/>
    </row>
    <row r="130" spans="1:16" ht="16.5" customHeight="1" thickTop="1" x14ac:dyDescent="0.25">
      <c r="A130" s="124" t="s">
        <v>202</v>
      </c>
      <c r="B130" s="118">
        <f>VLOOKUP(B78,'Tabula RefULG 1'!$A$34:$F$45,2,0)*B127/20</f>
        <v>50.725767169995123</v>
      </c>
      <c r="C130" s="118" t="s">
        <v>203</v>
      </c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6"/>
    </row>
    <row r="131" spans="1:16" ht="15.75" customHeight="1" x14ac:dyDescent="0.25">
      <c r="A131" s="95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6"/>
    </row>
    <row r="132" spans="1:16" ht="15" customHeight="1" x14ac:dyDescent="0.25">
      <c r="A132" s="126" t="s">
        <v>204</v>
      </c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6"/>
    </row>
    <row r="133" spans="1:16" ht="15.75" customHeight="1" x14ac:dyDescent="0.25">
      <c r="A133" s="95" t="s">
        <v>180</v>
      </c>
      <c r="B133" s="98">
        <f>'Tabula RefULG 1'!G35</f>
        <v>120.6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6"/>
    </row>
    <row r="134" spans="1:16" ht="16.5" customHeight="1" x14ac:dyDescent="0.25">
      <c r="A134" s="124" t="s">
        <v>205</v>
      </c>
      <c r="B134" s="128">
        <v>0</v>
      </c>
      <c r="C134" s="118" t="s">
        <v>203</v>
      </c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6"/>
    </row>
    <row r="135" spans="1:16" ht="15.75" customHeight="1" x14ac:dyDescent="0.25">
      <c r="A135" s="95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6"/>
    </row>
    <row r="136" spans="1:16" ht="15.75" customHeight="1" x14ac:dyDescent="0.25">
      <c r="A136" s="95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6"/>
    </row>
    <row r="137" spans="1:16" ht="16.5" customHeight="1" x14ac:dyDescent="0.25">
      <c r="A137" s="124" t="s">
        <v>207</v>
      </c>
      <c r="B137" s="118">
        <f>SUM(B130,B134)</f>
        <v>50.725767169995123</v>
      </c>
      <c r="C137" s="118" t="s">
        <v>203</v>
      </c>
      <c r="D137" s="98"/>
      <c r="E137" s="98"/>
      <c r="F137" s="118" t="s">
        <v>208</v>
      </c>
      <c r="G137" s="118">
        <f>B137/VLOOKUP(B78,'Gebouwgegevens Allacker'!$A$35:$B$46,2,0)</f>
        <v>0.31805381702695573</v>
      </c>
      <c r="H137" s="98"/>
      <c r="I137" s="98"/>
      <c r="J137" s="98"/>
      <c r="K137" s="98"/>
      <c r="L137" s="98"/>
      <c r="M137" s="98"/>
      <c r="N137" s="98"/>
      <c r="O137" s="98"/>
      <c r="P137" s="96"/>
    </row>
    <row r="138" spans="1:16" ht="16.5" customHeight="1" x14ac:dyDescent="0.25">
      <c r="A138" s="95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6"/>
    </row>
    <row r="139" spans="1:16" ht="16.5" customHeight="1" x14ac:dyDescent="0.25">
      <c r="A139" s="124" t="s">
        <v>209</v>
      </c>
      <c r="B139" s="118">
        <f>0.34*(B137)</f>
        <v>17.246760837798345</v>
      </c>
      <c r="C139" s="118" t="s">
        <v>107</v>
      </c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6"/>
    </row>
    <row r="140" spans="1:16" ht="16.5" customHeight="1" x14ac:dyDescent="0.25">
      <c r="A140" s="124" t="s">
        <v>167</v>
      </c>
      <c r="B140" s="118">
        <f>B139*(G109-$B$4)</f>
        <v>448.41578178275694</v>
      </c>
      <c r="C140" s="118" t="s">
        <v>169</v>
      </c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6"/>
    </row>
    <row r="141" spans="1:16" ht="15.75" customHeight="1" thickBot="1" x14ac:dyDescent="0.3">
      <c r="A141" s="109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1"/>
    </row>
    <row r="142" spans="1:16" ht="15.75" customHeight="1" thickTop="1" x14ac:dyDescent="0.25">
      <c r="A142" s="343" t="s">
        <v>210</v>
      </c>
      <c r="B142" s="343"/>
      <c r="C142" s="343"/>
      <c r="D142" s="343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6"/>
    </row>
    <row r="143" spans="1:16" ht="15" customHeight="1" thickBot="1" x14ac:dyDescent="0.3">
      <c r="A143" s="95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6"/>
    </row>
    <row r="144" spans="1:16" ht="15" customHeight="1" thickTop="1" thickBot="1" x14ac:dyDescent="0.3">
      <c r="A144" s="127" t="s">
        <v>211</v>
      </c>
      <c r="B144" s="121">
        <v>11</v>
      </c>
      <c r="C144" s="58" t="s">
        <v>212</v>
      </c>
      <c r="D144" s="5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6"/>
    </row>
    <row r="145" spans="1:16" ht="15.75" customHeight="1" thickTop="1" thickBot="1" x14ac:dyDescent="0.3">
      <c r="A145" s="127" t="s">
        <v>113</v>
      </c>
      <c r="B145" s="121">
        <f>B133</f>
        <v>120.6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6"/>
    </row>
    <row r="146" spans="1:16" ht="16.5" customHeight="1" thickTop="1" x14ac:dyDescent="0.25">
      <c r="A146" s="124" t="s">
        <v>213</v>
      </c>
      <c r="B146" s="118">
        <f>B147/('Gebouwgegevens Allacker'!E100-'Verwarming Tabula 2zone RefULG1'!$B$4)</f>
        <v>165.82499999999999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6"/>
    </row>
    <row r="147" spans="1:16" ht="16.5" customHeight="1" x14ac:dyDescent="0.25">
      <c r="A147" s="124" t="s">
        <v>167</v>
      </c>
      <c r="B147" s="118">
        <f>B144*B145</f>
        <v>1326.6</v>
      </c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6"/>
    </row>
    <row r="148" spans="1:16" ht="15.75" customHeight="1" x14ac:dyDescent="0.25">
      <c r="A148" s="95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6"/>
    </row>
    <row r="149" spans="1:16" ht="15.75" customHeight="1" thickBot="1" x14ac:dyDescent="0.3">
      <c r="A149" s="95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6"/>
    </row>
    <row r="150" spans="1:16" ht="15.75" customHeight="1" thickTop="1" thickBot="1" x14ac:dyDescent="0.3">
      <c r="A150" s="129" t="s">
        <v>214</v>
      </c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1"/>
    </row>
    <row r="151" spans="1:16" ht="16.5" customHeight="1" thickTop="1" x14ac:dyDescent="0.25">
      <c r="A151" s="124" t="s">
        <v>215</v>
      </c>
      <c r="B151" s="118">
        <f>SUM(B121,B139,B146)</f>
        <v>281.82950889936626</v>
      </c>
      <c r="C151" s="118" t="s">
        <v>107</v>
      </c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3"/>
    </row>
    <row r="152" spans="1:16" ht="16.5" customHeight="1" x14ac:dyDescent="0.25">
      <c r="A152" s="124" t="s">
        <v>167</v>
      </c>
      <c r="B152" s="118">
        <f>SUM(B122,B140,B147)</f>
        <v>4342.7172313835217</v>
      </c>
      <c r="C152" s="118" t="s">
        <v>169</v>
      </c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3"/>
    </row>
    <row r="153" spans="1:16" ht="16.5" customHeight="1" thickBot="1" x14ac:dyDescent="0.3">
      <c r="A153" s="134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6"/>
    </row>
    <row r="154" spans="1:16" ht="15" customHeight="1" thickTop="1" x14ac:dyDescent="0.25">
      <c r="A154" s="137"/>
      <c r="B154" s="137"/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</row>
    <row r="155" spans="1:16" ht="15" customHeight="1" x14ac:dyDescent="0.25">
      <c r="A155" s="137"/>
      <c r="B155" s="137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</row>
    <row r="156" spans="1:16" ht="15.75" customHeight="1" thickBot="1" x14ac:dyDescent="0.3">
      <c r="A156" s="137"/>
      <c r="B156" s="137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</row>
    <row r="157" spans="1:16" ht="15" customHeight="1" thickTop="1" thickBot="1" x14ac:dyDescent="0.3">
      <c r="A157" s="93"/>
      <c r="B157" s="328"/>
      <c r="C157" s="328"/>
      <c r="D157" s="328"/>
      <c r="E157" s="328"/>
      <c r="F157" s="328"/>
      <c r="G157" s="328"/>
      <c r="H157" s="328"/>
      <c r="I157" s="328"/>
      <c r="J157" s="328"/>
      <c r="K157" s="328"/>
      <c r="L157" s="328"/>
      <c r="M157" s="328"/>
      <c r="N157" s="328"/>
      <c r="O157" s="328"/>
      <c r="P157" s="94"/>
    </row>
    <row r="158" spans="1:16" ht="17.25" customHeight="1" thickTop="1" thickBot="1" x14ac:dyDescent="0.35">
      <c r="A158" s="97" t="s">
        <v>166</v>
      </c>
      <c r="B158" s="92">
        <v>3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6"/>
    </row>
    <row r="159" spans="1:16" ht="15.75" customHeight="1" thickTop="1" x14ac:dyDescent="0.25">
      <c r="A159" s="343" t="s">
        <v>168</v>
      </c>
      <c r="B159" s="343"/>
      <c r="C159" s="343"/>
      <c r="D159" s="343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94"/>
    </row>
    <row r="160" spans="1:16" ht="15" customHeight="1" x14ac:dyDescent="0.25">
      <c r="A160" s="95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6"/>
    </row>
    <row r="161" spans="1:16" ht="15" customHeight="1" x14ac:dyDescent="0.25">
      <c r="A161" s="103" t="s">
        <v>170</v>
      </c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6"/>
    </row>
    <row r="162" spans="1:16" ht="15" customHeight="1" x14ac:dyDescent="0.25">
      <c r="A162" s="95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6"/>
    </row>
    <row r="163" spans="1:16" ht="15.75" customHeight="1" thickBot="1" x14ac:dyDescent="0.3">
      <c r="A163" s="95"/>
      <c r="B163" s="104" t="s">
        <v>10</v>
      </c>
      <c r="C163" s="104" t="s">
        <v>171</v>
      </c>
      <c r="D163" s="104" t="s">
        <v>172</v>
      </c>
      <c r="E163" s="104" t="s">
        <v>173</v>
      </c>
      <c r="F163" s="104" t="s">
        <v>174</v>
      </c>
      <c r="G163" s="104" t="s">
        <v>16</v>
      </c>
      <c r="H163" s="105" t="s">
        <v>17</v>
      </c>
      <c r="I163" s="105" t="s">
        <v>175</v>
      </c>
      <c r="J163" s="98"/>
      <c r="K163" s="98"/>
      <c r="L163" s="98"/>
      <c r="M163" s="98"/>
      <c r="N163" s="98"/>
      <c r="O163" s="98"/>
      <c r="P163" s="96"/>
    </row>
    <row r="164" spans="1:16" ht="16.5" customHeight="1" thickTop="1" thickBot="1" x14ac:dyDescent="0.3">
      <c r="A164" s="95"/>
      <c r="B164" s="106" t="s">
        <v>66</v>
      </c>
      <c r="C164" s="107">
        <f>VLOOKUP(B164,'Gebouwgegevens Allacker'!$J$5:$Q$83,3,0)</f>
        <v>1</v>
      </c>
      <c r="D164" s="107" t="str">
        <f>VLOOKUP(B164,'Gebouwgegevens Allacker'!$J$5:$Q$83,4,0)</f>
        <v>Roof</v>
      </c>
      <c r="E164" s="107">
        <f>VLOOKUP(B164,'Gebouwgegevens Allacker'!$J$5:$Q$83,5,0)</f>
        <v>29</v>
      </c>
      <c r="F164" s="107">
        <f>VLOOKUP(B164,'Gebouwgegevens Allacker'!$J$5:$Q$83,6,0)</f>
        <v>0</v>
      </c>
      <c r="G164" s="107">
        <f>VLOOKUP(B164,'Gebouwgegevens Allacker'!$J$5:$Q$83,7,0)</f>
        <v>1.6975498473547073</v>
      </c>
      <c r="H164" s="108">
        <f>VLOOKUP(B164,'Gebouwgegevens Allacker'!$J$5:$Q$83,8,0)</f>
        <v>49.228945573286509</v>
      </c>
      <c r="I164" s="108">
        <v>1</v>
      </c>
      <c r="J164" s="98"/>
      <c r="K164" s="98"/>
      <c r="L164" s="98"/>
      <c r="M164" s="98"/>
      <c r="N164" s="98"/>
      <c r="O164" s="98"/>
      <c r="P164" s="96"/>
    </row>
    <row r="165" spans="1:16" ht="16.5" customHeight="1" thickTop="1" thickBot="1" x14ac:dyDescent="0.3">
      <c r="A165" s="95"/>
      <c r="B165" s="106" t="s">
        <v>67</v>
      </c>
      <c r="C165" s="107">
        <f>VLOOKUP(B165,'Gebouwgegevens Allacker'!$J$5:$Q$83,3,0)</f>
        <v>1</v>
      </c>
      <c r="D165" s="107" t="str">
        <f>VLOOKUP(B165,'Gebouwgegevens Allacker'!$J$5:$Q$83,4,0)</f>
        <v>Door</v>
      </c>
      <c r="E165" s="107">
        <f>VLOOKUP(B165,'Gebouwgegevens Allacker'!$J$5:$Q$83,5,0)</f>
        <v>7.5</v>
      </c>
      <c r="F165" s="107">
        <f>VLOOKUP(B165,'Gebouwgegevens Allacker'!$J$5:$Q$83,6,0)</f>
        <v>0</v>
      </c>
      <c r="G165" s="107">
        <f>VLOOKUP(B165,'Gebouwgegevens Allacker'!$J$5:$Q$83,7,0)</f>
        <v>4</v>
      </c>
      <c r="H165" s="108">
        <f>VLOOKUP(B165,'Gebouwgegevens Allacker'!$J$5:$Q$83,8,0)</f>
        <v>30</v>
      </c>
      <c r="I165" s="108">
        <v>1</v>
      </c>
      <c r="J165" s="98"/>
      <c r="K165" s="98"/>
      <c r="L165" s="98"/>
      <c r="M165" s="98"/>
      <c r="N165" s="98"/>
      <c r="O165" s="98"/>
      <c r="P165" s="96"/>
    </row>
    <row r="166" spans="1:16" ht="16.5" customHeight="1" thickTop="1" thickBot="1" x14ac:dyDescent="0.3">
      <c r="A166" s="95"/>
      <c r="B166" s="106"/>
      <c r="C166" s="107"/>
      <c r="D166" s="107"/>
      <c r="E166" s="107"/>
      <c r="F166" s="107"/>
      <c r="G166" s="107"/>
      <c r="H166" s="108"/>
      <c r="I166" s="108"/>
      <c r="J166" s="98"/>
      <c r="K166" s="98"/>
      <c r="L166" s="98"/>
      <c r="M166" s="98"/>
      <c r="N166" s="98"/>
      <c r="O166" s="98"/>
      <c r="P166" s="96"/>
    </row>
    <row r="167" spans="1:16" ht="16.5" customHeight="1" thickTop="1" thickBot="1" x14ac:dyDescent="0.3">
      <c r="A167" s="95"/>
      <c r="B167" s="106"/>
      <c r="C167" s="107"/>
      <c r="D167" s="107"/>
      <c r="E167" s="107"/>
      <c r="F167" s="107"/>
      <c r="G167" s="107"/>
      <c r="H167" s="108"/>
      <c r="I167" s="108"/>
      <c r="J167" s="98"/>
      <c r="K167" s="98"/>
      <c r="L167" s="98"/>
      <c r="M167" s="98"/>
      <c r="N167" s="98"/>
      <c r="O167" s="98"/>
      <c r="P167" s="96"/>
    </row>
    <row r="168" spans="1:16" ht="16.5" customHeight="1" thickTop="1" thickBot="1" x14ac:dyDescent="0.3">
      <c r="A168" s="95"/>
      <c r="B168" s="106"/>
      <c r="C168" s="107"/>
      <c r="D168" s="107"/>
      <c r="E168" s="107"/>
      <c r="F168" s="107"/>
      <c r="G168" s="107"/>
      <c r="H168" s="108"/>
      <c r="I168" s="108"/>
      <c r="J168" s="98"/>
      <c r="K168" s="98"/>
      <c r="L168" s="98"/>
      <c r="M168" s="98"/>
      <c r="N168" s="98"/>
      <c r="O168" s="98"/>
      <c r="P168" s="96"/>
    </row>
    <row r="169" spans="1:16" ht="16.5" customHeight="1" thickTop="1" thickBot="1" x14ac:dyDescent="0.3">
      <c r="A169" s="95"/>
      <c r="B169" s="106"/>
      <c r="C169" s="107"/>
      <c r="D169" s="107"/>
      <c r="E169" s="107"/>
      <c r="F169" s="107"/>
      <c r="G169" s="107"/>
      <c r="H169" s="108"/>
      <c r="I169" s="108"/>
      <c r="J169" s="98"/>
      <c r="K169" s="98"/>
      <c r="L169" s="98"/>
      <c r="M169" s="98"/>
      <c r="N169" s="98"/>
      <c r="O169" s="98"/>
      <c r="P169" s="96"/>
    </row>
    <row r="170" spans="1:16" ht="16.5" customHeight="1" thickTop="1" thickBot="1" x14ac:dyDescent="0.3">
      <c r="A170" s="95"/>
      <c r="B170" s="106"/>
      <c r="C170" s="107"/>
      <c r="D170" s="107"/>
      <c r="E170" s="107"/>
      <c r="F170" s="107"/>
      <c r="G170" s="107"/>
      <c r="H170" s="108"/>
      <c r="I170" s="108"/>
      <c r="J170" s="98"/>
      <c r="K170" s="98"/>
      <c r="L170" s="98"/>
      <c r="M170" s="98"/>
      <c r="N170" s="98"/>
      <c r="O170" s="98"/>
      <c r="P170" s="96"/>
    </row>
    <row r="171" spans="1:16" ht="16.5" customHeight="1" thickTop="1" thickBot="1" x14ac:dyDescent="0.3">
      <c r="A171" s="95"/>
      <c r="B171" s="106"/>
      <c r="C171" s="107"/>
      <c r="D171" s="107"/>
      <c r="E171" s="107"/>
      <c r="F171" s="107"/>
      <c r="G171" s="107"/>
      <c r="H171" s="108"/>
      <c r="I171" s="108"/>
      <c r="J171" s="98"/>
      <c r="K171" s="98"/>
      <c r="L171" s="98"/>
      <c r="M171" s="98"/>
      <c r="N171" s="98"/>
      <c r="O171" s="98"/>
      <c r="P171" s="96"/>
    </row>
    <row r="172" spans="1:16" ht="16.5" customHeight="1" thickTop="1" thickBot="1" x14ac:dyDescent="0.3">
      <c r="A172" s="95"/>
      <c r="B172" s="106"/>
      <c r="C172" s="107"/>
      <c r="D172" s="107"/>
      <c r="E172" s="107"/>
      <c r="F172" s="107"/>
      <c r="G172" s="107"/>
      <c r="H172" s="108"/>
      <c r="I172" s="108"/>
      <c r="J172" s="98"/>
      <c r="K172" s="98"/>
      <c r="L172" s="98"/>
      <c r="M172" s="98"/>
      <c r="N172" s="98"/>
      <c r="O172" s="98"/>
      <c r="P172" s="96"/>
    </row>
    <row r="173" spans="1:16" ht="16.5" customHeight="1" thickTop="1" thickBot="1" x14ac:dyDescent="0.3">
      <c r="A173" s="95"/>
      <c r="B173" s="106"/>
      <c r="C173" s="107"/>
      <c r="D173" s="107"/>
      <c r="E173" s="107"/>
      <c r="F173" s="107"/>
      <c r="G173" s="107"/>
      <c r="H173" s="108"/>
      <c r="I173" s="108"/>
      <c r="J173" s="98"/>
      <c r="K173" s="98"/>
      <c r="L173" s="98"/>
      <c r="M173" s="98"/>
      <c r="N173" s="98"/>
      <c r="O173" s="98"/>
      <c r="P173" s="96"/>
    </row>
    <row r="174" spans="1:16" ht="16.5" customHeight="1" thickTop="1" thickBot="1" x14ac:dyDescent="0.3">
      <c r="A174" s="95"/>
      <c r="B174" s="106"/>
      <c r="C174" s="107"/>
      <c r="D174" s="107"/>
      <c r="E174" s="107"/>
      <c r="F174" s="107"/>
      <c r="G174" s="107"/>
      <c r="H174" s="108"/>
      <c r="I174" s="108"/>
      <c r="J174" s="98"/>
      <c r="K174" s="98"/>
      <c r="L174" s="98"/>
      <c r="M174" s="98"/>
      <c r="N174" s="98"/>
      <c r="O174" s="98"/>
      <c r="P174" s="96"/>
    </row>
    <row r="175" spans="1:16" ht="16.5" customHeight="1" thickTop="1" thickBot="1" x14ac:dyDescent="0.3">
      <c r="A175" s="95"/>
      <c r="B175" s="106"/>
      <c r="C175" s="107"/>
      <c r="D175" s="107"/>
      <c r="E175" s="107"/>
      <c r="F175" s="107"/>
      <c r="G175" s="107"/>
      <c r="H175" s="108"/>
      <c r="I175" s="108"/>
      <c r="J175" s="98"/>
      <c r="K175" s="98"/>
      <c r="L175" s="98"/>
      <c r="M175" s="98"/>
      <c r="N175" s="98"/>
      <c r="O175" s="98"/>
      <c r="P175" s="96"/>
    </row>
    <row r="176" spans="1:16" ht="15.75" customHeight="1" thickTop="1" x14ac:dyDescent="0.25">
      <c r="A176" s="95"/>
      <c r="B176" s="58"/>
      <c r="C176" s="58"/>
      <c r="D176" s="58"/>
      <c r="E176" s="58"/>
      <c r="F176" s="58"/>
      <c r="G176" s="114"/>
      <c r="H176" s="58"/>
      <c r="I176" s="58"/>
      <c r="J176" s="98"/>
      <c r="K176" s="98"/>
      <c r="L176" s="98"/>
      <c r="M176" s="98"/>
      <c r="N176" s="98"/>
      <c r="O176" s="98"/>
      <c r="P176" s="96"/>
    </row>
    <row r="177" spans="1:16" ht="15" customHeight="1" x14ac:dyDescent="0.25">
      <c r="A177" s="95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6"/>
    </row>
    <row r="178" spans="1:16" ht="15" customHeight="1" x14ac:dyDescent="0.25">
      <c r="A178" s="103" t="s">
        <v>177</v>
      </c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6"/>
    </row>
    <row r="179" spans="1:16" ht="15.75" customHeight="1" x14ac:dyDescent="0.25">
      <c r="A179" s="95"/>
      <c r="B179" s="58" t="s">
        <v>10</v>
      </c>
      <c r="C179" s="58" t="s">
        <v>178</v>
      </c>
      <c r="D179" s="58" t="s">
        <v>172</v>
      </c>
      <c r="E179" s="58" t="s">
        <v>179</v>
      </c>
      <c r="F179" s="58" t="s">
        <v>16</v>
      </c>
      <c r="G179" s="114" t="s">
        <v>17</v>
      </c>
      <c r="H179" s="114" t="s">
        <v>175</v>
      </c>
      <c r="I179" s="58" t="s">
        <v>180</v>
      </c>
      <c r="J179" s="58" t="s">
        <v>181</v>
      </c>
      <c r="K179" s="58" t="s">
        <v>182</v>
      </c>
      <c r="L179" s="115" t="s">
        <v>183</v>
      </c>
      <c r="M179" s="115" t="s">
        <v>184</v>
      </c>
      <c r="N179" s="115" t="s">
        <v>185</v>
      </c>
      <c r="O179" s="98"/>
      <c r="P179" s="96"/>
    </row>
    <row r="180" spans="1:16" ht="16.5" customHeight="1" thickBot="1" x14ac:dyDescent="0.3">
      <c r="A180" s="95"/>
      <c r="B180" s="116" t="s">
        <v>223</v>
      </c>
      <c r="C180" s="117" t="e">
        <f>VLOOKUP(B180,'Gebouwgegevens Allacker'!$J$5:$Q$83,3,0)</f>
        <v>#N/A</v>
      </c>
      <c r="D180" s="117" t="e">
        <f>VLOOKUP(B180,'Gebouwgegevens Allacker'!$J$5:$Q$83,4,0)</f>
        <v>#N/A</v>
      </c>
      <c r="E180" s="117" t="e">
        <f>VLOOKUP(B180,'Gebouwgegevens Allacker'!$J$5:$Q$83,5,0)</f>
        <v>#N/A</v>
      </c>
      <c r="F180" s="117" t="e">
        <f>VLOOKUP(B180,'Gebouwgegevens Allacker'!$J$5:$Q$83,7,0)</f>
        <v>#N/A</v>
      </c>
      <c r="G180" s="118" t="e">
        <f>VLOOKUP(B180,'Gebouwgegevens Allacker'!$J$5:$Q$83,8,0)</f>
        <v>#N/A</v>
      </c>
      <c r="H180" s="118" t="e">
        <f>N180/F180</f>
        <v>#N/A</v>
      </c>
      <c r="I180" s="117" t="e">
        <f>VLOOKUP(C180,'Gebouwgegevens Allacker'!$A$35:$F$46,6,0)</f>
        <v>#N/A</v>
      </c>
      <c r="J180" s="116">
        <v>1.05</v>
      </c>
      <c r="K180" s="116">
        <v>0.33</v>
      </c>
      <c r="L180" s="119" t="e">
        <f>I180/(0.5*J180)</f>
        <v>#N/A</v>
      </c>
      <c r="M180" s="119" t="e">
        <f>K180+2*(1/F180)</f>
        <v>#N/A</v>
      </c>
      <c r="N180" s="120" t="e">
        <f>IF(M180&lt;L180,2*2/(PI()*L180+M180)*LN(PI()*L180/M180+1),2/(0.457*L180+M180))</f>
        <v>#N/A</v>
      </c>
      <c r="O180" s="98"/>
      <c r="P180" s="96"/>
    </row>
    <row r="181" spans="1:16" ht="16.5" customHeight="1" thickTop="1" thickBot="1" x14ac:dyDescent="0.3">
      <c r="A181" s="95"/>
      <c r="B181" s="116"/>
      <c r="C181" s="117"/>
      <c r="D181" s="117"/>
      <c r="E181" s="117"/>
      <c r="F181" s="117"/>
      <c r="G181" s="118"/>
      <c r="H181" s="118"/>
      <c r="I181" s="117"/>
      <c r="J181" s="116"/>
      <c r="K181" s="116"/>
      <c r="L181" s="119"/>
      <c r="M181" s="119"/>
      <c r="N181" s="120"/>
      <c r="O181" s="98"/>
      <c r="P181" s="96"/>
    </row>
    <row r="182" spans="1:16" ht="16.5" customHeight="1" thickTop="1" thickBot="1" x14ac:dyDescent="0.3">
      <c r="A182" s="95"/>
      <c r="B182" s="116"/>
      <c r="C182" s="117"/>
      <c r="D182" s="117"/>
      <c r="E182" s="117"/>
      <c r="F182" s="117"/>
      <c r="G182" s="118"/>
      <c r="H182" s="118"/>
      <c r="I182" s="117"/>
      <c r="J182" s="116"/>
      <c r="K182" s="116"/>
      <c r="L182" s="119"/>
      <c r="M182" s="119"/>
      <c r="N182" s="120"/>
      <c r="O182" s="98"/>
      <c r="P182" s="96"/>
    </row>
    <row r="183" spans="1:16" ht="16.5" customHeight="1" thickTop="1" thickBot="1" x14ac:dyDescent="0.3">
      <c r="A183" s="95"/>
      <c r="B183" s="116"/>
      <c r="C183" s="117"/>
      <c r="D183" s="117"/>
      <c r="E183" s="117"/>
      <c r="F183" s="117"/>
      <c r="G183" s="118"/>
      <c r="H183" s="118"/>
      <c r="I183" s="117"/>
      <c r="J183" s="116"/>
      <c r="K183" s="116"/>
      <c r="L183" s="119"/>
      <c r="M183" s="119"/>
      <c r="N183" s="120"/>
      <c r="O183" s="98"/>
      <c r="P183" s="96"/>
    </row>
    <row r="184" spans="1:16" ht="16.5" customHeight="1" thickTop="1" thickBot="1" x14ac:dyDescent="0.3">
      <c r="A184" s="138"/>
      <c r="B184" s="116"/>
      <c r="C184" s="117"/>
      <c r="D184" s="117"/>
      <c r="E184" s="117"/>
      <c r="F184" s="117"/>
      <c r="G184" s="118"/>
      <c r="H184" s="118"/>
      <c r="I184" s="117"/>
      <c r="J184" s="116"/>
      <c r="K184" s="116"/>
      <c r="L184" s="119"/>
      <c r="M184" s="119"/>
      <c r="N184" s="120"/>
      <c r="O184" s="98"/>
      <c r="P184" s="96"/>
    </row>
    <row r="185" spans="1:16" ht="15.75" customHeight="1" thickTop="1" x14ac:dyDescent="0.25">
      <c r="A185" s="95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6"/>
    </row>
    <row r="186" spans="1:16" ht="15" customHeight="1" x14ac:dyDescent="0.25">
      <c r="A186" s="103" t="s">
        <v>186</v>
      </c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6"/>
    </row>
    <row r="187" spans="1:16" ht="15.75" customHeight="1" thickBot="1" x14ac:dyDescent="0.3">
      <c r="A187" s="95"/>
      <c r="B187" s="58" t="s">
        <v>10</v>
      </c>
      <c r="C187" s="58" t="s">
        <v>187</v>
      </c>
      <c r="D187" s="58" t="s">
        <v>188</v>
      </c>
      <c r="E187" s="58" t="s">
        <v>135</v>
      </c>
      <c r="F187" s="58" t="s">
        <v>189</v>
      </c>
      <c r="G187" s="58" t="s">
        <v>190</v>
      </c>
      <c r="H187" s="58" t="s">
        <v>191</v>
      </c>
      <c r="I187" s="58" t="s">
        <v>16</v>
      </c>
      <c r="J187" s="114" t="s">
        <v>17</v>
      </c>
      <c r="K187" s="114" t="s">
        <v>175</v>
      </c>
      <c r="L187" s="98"/>
      <c r="M187" s="98"/>
      <c r="N187" s="98"/>
      <c r="O187" s="98"/>
      <c r="P187" s="96"/>
    </row>
    <row r="188" spans="1:16" ht="16.5" customHeight="1" thickTop="1" thickBot="1" x14ac:dyDescent="0.3">
      <c r="A188" s="95"/>
      <c r="B188" s="121" t="s">
        <v>224</v>
      </c>
      <c r="C188" s="122" t="e">
        <f>IF(VLOOKUP(B188,'Gebouwgegevens Allacker'!$J$5:$Q$83,2,0)=$B$158,VLOOKUP(B188,'Gebouwgegevens Allacker'!$J$5:$Q$83,2,0),VLOOKUP(B188,'Gebouwgegevens Allacker'!$J$5:$Q$83,3,0))</f>
        <v>#N/A</v>
      </c>
      <c r="D188" s="122" t="e">
        <f>IF(VLOOKUP(B188,'Gebouwgegevens Allacker'!$J$5:$Q$83,2,0)=$B$158,VLOOKUP(B188,'Gebouwgegevens Allacker'!$J$5:$Q$83,3,0),VLOOKUP(B188,'Gebouwgegevens Allacker'!$J$5:$Q$83,2,0))</f>
        <v>#N/A</v>
      </c>
      <c r="E188" s="122" t="e">
        <f>VLOOKUP(B188,'Gebouwgegevens Allacker'!$J$5:$Q$83,4,0)</f>
        <v>#N/A</v>
      </c>
      <c r="F188" s="122" t="e">
        <f>VLOOKUP(B188,'Gebouwgegevens Allacker'!$J$5:$Q$83,5,0)</f>
        <v>#N/A</v>
      </c>
      <c r="G188" s="122" t="e">
        <f>VLOOKUP('Verwarming Tabula 2zone RefULG1'!C188,'Gebouwgegevens Allacker'!$A$35:$F$46,5,0)</f>
        <v>#N/A</v>
      </c>
      <c r="H188" s="122" t="e">
        <f>VLOOKUP('Verwarming Tabula 2zone RefULG1'!D188,'Gebouwgegevens Allacker'!$A$35:$F$46,5,0)</f>
        <v>#N/A</v>
      </c>
      <c r="I188" s="122" t="e">
        <f>VLOOKUP(B188,'Gebouwgegevens Allacker'!$J$5:$Q$83,7,0)</f>
        <v>#N/A</v>
      </c>
      <c r="J188" s="118" t="e">
        <f>VLOOKUP(B188,'Gebouwgegevens Allacker'!$J$5:$Q$83,8,0)</f>
        <v>#N/A</v>
      </c>
      <c r="K188" s="118" t="e">
        <f>(G188-H188)/(G188-$B$4)</f>
        <v>#N/A</v>
      </c>
      <c r="L188" s="98"/>
      <c r="M188" s="98"/>
      <c r="N188" s="98"/>
      <c r="O188" s="98"/>
      <c r="P188" s="96"/>
    </row>
    <row r="189" spans="1:16" ht="16.5" customHeight="1" thickTop="1" thickBot="1" x14ac:dyDescent="0.3">
      <c r="A189" s="95"/>
      <c r="B189" s="121" t="s">
        <v>225</v>
      </c>
      <c r="C189" s="122" t="e">
        <f>IF(VLOOKUP(B189,'Gebouwgegevens Allacker'!$J$5:$Q$83,2,0)=$B$158,VLOOKUP(B189,'Gebouwgegevens Allacker'!$J$5:$Q$83,2,0),VLOOKUP(B189,'Gebouwgegevens Allacker'!$J$5:$Q$83,3,0))</f>
        <v>#N/A</v>
      </c>
      <c r="D189" s="122" t="e">
        <f>IF(VLOOKUP(B189,'Gebouwgegevens Allacker'!$J$5:$Q$83,2,0)=$B$158,VLOOKUP(B189,'Gebouwgegevens Allacker'!$J$5:$Q$83,3,0),VLOOKUP(B189,'Gebouwgegevens Allacker'!$J$5:$Q$83,2,0))</f>
        <v>#N/A</v>
      </c>
      <c r="E189" s="122" t="e">
        <f>VLOOKUP(B189,'Gebouwgegevens Allacker'!$J$5:$Q$83,4,0)</f>
        <v>#N/A</v>
      </c>
      <c r="F189" s="122" t="e">
        <f>VLOOKUP(B189,'Gebouwgegevens Allacker'!$J$5:$Q$83,5,0)</f>
        <v>#N/A</v>
      </c>
      <c r="G189" s="122" t="e">
        <f>VLOOKUP('Verwarming Tabula 2zone RefULG1'!C189,'Gebouwgegevens Allacker'!$A$35:$F$46,5,0)</f>
        <v>#N/A</v>
      </c>
      <c r="H189" s="122" t="e">
        <f>VLOOKUP('Verwarming Tabula 2zone RefULG1'!D189,'Gebouwgegevens Allacker'!$A$35:$F$46,5,0)</f>
        <v>#N/A</v>
      </c>
      <c r="I189" s="122" t="e">
        <f>VLOOKUP(B189,'Gebouwgegevens Allacker'!$J$5:$Q$83,7,0)</f>
        <v>#N/A</v>
      </c>
      <c r="J189" s="118" t="e">
        <f>VLOOKUP(B189,'Gebouwgegevens Allacker'!$J$5:$Q$83,8,0)</f>
        <v>#N/A</v>
      </c>
      <c r="K189" s="118" t="e">
        <f>(G189-H189)/(G189-$B$4)</f>
        <v>#N/A</v>
      </c>
      <c r="L189" s="98"/>
      <c r="M189" s="98"/>
      <c r="N189" s="98"/>
      <c r="O189" s="98"/>
      <c r="P189" s="96"/>
    </row>
    <row r="190" spans="1:16" ht="16.5" customHeight="1" thickTop="1" thickBot="1" x14ac:dyDescent="0.3">
      <c r="A190" s="95"/>
      <c r="B190" s="121" t="s">
        <v>226</v>
      </c>
      <c r="C190" s="122" t="e">
        <f>IF(VLOOKUP(B190,'Gebouwgegevens Allacker'!$J$5:$Q$83,2,0)=$B$158,VLOOKUP(B190,'Gebouwgegevens Allacker'!$J$5:$Q$83,2,0),VLOOKUP(B190,'Gebouwgegevens Allacker'!$J$5:$Q$83,3,0))</f>
        <v>#N/A</v>
      </c>
      <c r="D190" s="122" t="e">
        <f>IF(VLOOKUP(B190,'Gebouwgegevens Allacker'!$J$5:$Q$83,2,0)=$B$158,VLOOKUP(B190,'Gebouwgegevens Allacker'!$J$5:$Q$83,3,0),VLOOKUP(B190,'Gebouwgegevens Allacker'!$J$5:$Q$83,2,0))</f>
        <v>#N/A</v>
      </c>
      <c r="E190" s="122" t="e">
        <f>VLOOKUP(B190,'Gebouwgegevens Allacker'!$J$5:$Q$83,4,0)</f>
        <v>#N/A</v>
      </c>
      <c r="F190" s="122" t="e">
        <f>VLOOKUP(B190,'Gebouwgegevens Allacker'!$J$5:$Q$83,5,0)</f>
        <v>#N/A</v>
      </c>
      <c r="G190" s="122" t="e">
        <f>VLOOKUP('Verwarming Tabula 2zone RefULG1'!C190,'Gebouwgegevens Allacker'!$A$35:$F$46,5,0)</f>
        <v>#N/A</v>
      </c>
      <c r="H190" s="122" t="e">
        <f>VLOOKUP('Verwarming Tabula 2zone RefULG1'!D190,'Gebouwgegevens Allacker'!$A$35:$F$46,5,0)</f>
        <v>#N/A</v>
      </c>
      <c r="I190" s="122" t="e">
        <f>VLOOKUP(B190,'Gebouwgegevens Allacker'!$J$5:$Q$83,7,0)</f>
        <v>#N/A</v>
      </c>
      <c r="J190" s="118" t="e">
        <f>VLOOKUP(B190,'Gebouwgegevens Allacker'!$J$5:$Q$83,8,0)</f>
        <v>#N/A</v>
      </c>
      <c r="K190" s="118" t="e">
        <f>(G190-H190)/(G190-$B$4)</f>
        <v>#N/A</v>
      </c>
      <c r="L190" s="98"/>
      <c r="M190" s="98"/>
      <c r="N190" s="98"/>
      <c r="O190" s="98"/>
      <c r="P190" s="96"/>
    </row>
    <row r="191" spans="1:16" ht="16.5" customHeight="1" thickTop="1" thickBot="1" x14ac:dyDescent="0.3">
      <c r="A191" s="95"/>
      <c r="B191" s="92"/>
      <c r="C191" s="122"/>
      <c r="D191" s="122"/>
      <c r="E191" s="122"/>
      <c r="F191" s="122"/>
      <c r="G191" s="122"/>
      <c r="H191" s="122"/>
      <c r="I191" s="122"/>
      <c r="J191" s="118"/>
      <c r="K191" s="118"/>
      <c r="L191" s="98"/>
      <c r="M191" s="98"/>
      <c r="N191" s="98"/>
      <c r="O191" s="98"/>
      <c r="P191" s="96"/>
    </row>
    <row r="192" spans="1:16" ht="16.5" customHeight="1" thickTop="1" thickBot="1" x14ac:dyDescent="0.3">
      <c r="A192" s="95"/>
      <c r="B192" s="123"/>
      <c r="C192" s="139"/>
      <c r="D192" s="122"/>
      <c r="E192" s="122"/>
      <c r="F192" s="122"/>
      <c r="G192" s="122"/>
      <c r="H192" s="122"/>
      <c r="I192" s="122"/>
      <c r="J192" s="118"/>
      <c r="K192" s="118"/>
      <c r="L192" s="98"/>
      <c r="M192" s="98"/>
      <c r="N192" s="98"/>
      <c r="O192" s="98"/>
      <c r="P192" s="96"/>
    </row>
    <row r="193" spans="1:16" ht="16.5" customHeight="1" thickTop="1" thickBot="1" x14ac:dyDescent="0.3">
      <c r="A193" s="95"/>
      <c r="B193" s="123"/>
      <c r="C193" s="139"/>
      <c r="D193" s="122"/>
      <c r="E193" s="122"/>
      <c r="F193" s="122"/>
      <c r="G193" s="122"/>
      <c r="H193" s="122"/>
      <c r="I193" s="122"/>
      <c r="J193" s="118"/>
      <c r="K193" s="118"/>
      <c r="L193" s="98"/>
      <c r="M193" s="98"/>
      <c r="N193" s="98"/>
      <c r="O193" s="98"/>
      <c r="P193" s="96"/>
    </row>
    <row r="194" spans="1:16" ht="16.5" customHeight="1" thickTop="1" thickBot="1" x14ac:dyDescent="0.3">
      <c r="A194" s="95"/>
      <c r="B194" s="123"/>
      <c r="C194" s="139"/>
      <c r="D194" s="122"/>
      <c r="E194" s="122"/>
      <c r="F194" s="122"/>
      <c r="G194" s="122"/>
      <c r="H194" s="122"/>
      <c r="I194" s="122"/>
      <c r="J194" s="118"/>
      <c r="K194" s="118"/>
      <c r="L194" s="98"/>
      <c r="M194" s="98"/>
      <c r="N194" s="98"/>
      <c r="O194" s="98"/>
      <c r="P194" s="96"/>
    </row>
    <row r="195" spans="1:16" ht="16.5" customHeight="1" thickTop="1" thickBot="1" x14ac:dyDescent="0.3">
      <c r="A195" s="95"/>
      <c r="B195" s="123"/>
      <c r="C195" s="139"/>
      <c r="D195" s="122"/>
      <c r="E195" s="122"/>
      <c r="F195" s="122"/>
      <c r="G195" s="122"/>
      <c r="H195" s="122"/>
      <c r="I195" s="122"/>
      <c r="J195" s="118"/>
      <c r="K195" s="118"/>
      <c r="L195" s="98"/>
      <c r="M195" s="98"/>
      <c r="N195" s="98"/>
      <c r="O195" s="98"/>
      <c r="P195" s="96"/>
    </row>
    <row r="196" spans="1:16" ht="16.5" customHeight="1" thickTop="1" thickBot="1" x14ac:dyDescent="0.3">
      <c r="A196" s="95"/>
      <c r="B196" s="123"/>
      <c r="C196" s="139"/>
      <c r="D196" s="122"/>
      <c r="E196" s="122"/>
      <c r="F196" s="122"/>
      <c r="G196" s="122"/>
      <c r="H196" s="122"/>
      <c r="I196" s="122"/>
      <c r="J196" s="118"/>
      <c r="K196" s="118"/>
      <c r="L196" s="98"/>
      <c r="M196" s="98"/>
      <c r="N196" s="98"/>
      <c r="O196" s="98"/>
      <c r="P196" s="96"/>
    </row>
    <row r="197" spans="1:16" ht="16.5" customHeight="1" thickTop="1" thickBot="1" x14ac:dyDescent="0.3">
      <c r="A197" s="95"/>
      <c r="B197" s="123"/>
      <c r="C197" s="139"/>
      <c r="D197" s="122"/>
      <c r="E197" s="122"/>
      <c r="F197" s="122"/>
      <c r="G197" s="122"/>
      <c r="H197" s="122"/>
      <c r="I197" s="122"/>
      <c r="J197" s="118"/>
      <c r="K197" s="118"/>
      <c r="L197" s="98"/>
      <c r="M197" s="98"/>
      <c r="N197" s="98"/>
      <c r="O197" s="98"/>
      <c r="P197" s="96"/>
    </row>
    <row r="198" spans="1:16" ht="15.75" customHeight="1" thickTop="1" x14ac:dyDescent="0.25">
      <c r="A198" s="95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8"/>
      <c r="M198" s="98"/>
      <c r="N198" s="98"/>
      <c r="O198" s="98"/>
      <c r="P198" s="96"/>
    </row>
    <row r="199" spans="1:16" ht="15" customHeight="1" x14ac:dyDescent="0.25">
      <c r="A199" s="95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6"/>
    </row>
    <row r="200" spans="1:16" ht="15.75" customHeight="1" x14ac:dyDescent="0.25">
      <c r="A200" s="103" t="s">
        <v>192</v>
      </c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6"/>
    </row>
    <row r="201" spans="1:16" ht="16.5" customHeight="1" x14ac:dyDescent="0.25">
      <c r="A201" s="124" t="s">
        <v>193</v>
      </c>
      <c r="B201" s="118" t="e">
        <f>SUMPRODUCT(H164:H175,I164:I175)+SUMPRODUCT(G180:G184,H180:H184)+SUMPRODUCT(J188:J197,K188:K197)</f>
        <v>#N/A</v>
      </c>
      <c r="C201" s="118" t="s">
        <v>107</v>
      </c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6"/>
    </row>
    <row r="202" spans="1:16" ht="16.5" customHeight="1" x14ac:dyDescent="0.25">
      <c r="A202" s="124" t="s">
        <v>167</v>
      </c>
      <c r="B202" s="118" t="e">
        <f>B201*(G188-$B$4)</f>
        <v>#N/A</v>
      </c>
      <c r="C202" s="118" t="s">
        <v>169</v>
      </c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6"/>
    </row>
    <row r="203" spans="1:16" ht="15.75" customHeight="1" thickBot="1" x14ac:dyDescent="0.3">
      <c r="A203" s="109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1"/>
    </row>
    <row r="204" spans="1:16" ht="15.75" customHeight="1" thickTop="1" x14ac:dyDescent="0.25">
      <c r="A204" s="343" t="s">
        <v>194</v>
      </c>
      <c r="B204" s="343"/>
      <c r="C204" s="343"/>
      <c r="D204" s="125" t="s">
        <v>222</v>
      </c>
      <c r="E204" s="328"/>
      <c r="F204" s="328"/>
      <c r="G204" s="328"/>
      <c r="H204" s="328"/>
      <c r="I204" s="328"/>
      <c r="J204" s="328"/>
      <c r="K204" s="328"/>
      <c r="L204" s="328"/>
      <c r="M204" s="328"/>
      <c r="N204" s="328"/>
      <c r="O204" s="328"/>
      <c r="P204" s="94"/>
    </row>
    <row r="205" spans="1:16" ht="15" customHeight="1" x14ac:dyDescent="0.25">
      <c r="A205" s="95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6"/>
    </row>
    <row r="206" spans="1:16" ht="15" customHeight="1" thickBot="1" x14ac:dyDescent="0.3">
      <c r="A206" s="126" t="s">
        <v>195</v>
      </c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6"/>
    </row>
    <row r="207" spans="1:16" ht="15" customHeight="1" thickTop="1" thickBot="1" x14ac:dyDescent="0.3">
      <c r="A207" s="127" t="s">
        <v>196</v>
      </c>
      <c r="B207" s="121">
        <v>8</v>
      </c>
      <c r="C207" s="120" t="s">
        <v>197</v>
      </c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6"/>
    </row>
    <row r="208" spans="1:16" ht="15" customHeight="1" thickTop="1" thickBot="1" x14ac:dyDescent="0.3">
      <c r="A208" s="127" t="s">
        <v>198</v>
      </c>
      <c r="B208" s="121">
        <v>0.03</v>
      </c>
      <c r="C208" s="120" t="s">
        <v>199</v>
      </c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6"/>
    </row>
    <row r="209" spans="1:16" ht="15.75" customHeight="1" thickTop="1" thickBot="1" x14ac:dyDescent="0.3">
      <c r="A209" s="127" t="s">
        <v>200</v>
      </c>
      <c r="B209" s="121">
        <v>1</v>
      </c>
      <c r="C209" s="120" t="s">
        <v>201</v>
      </c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6"/>
    </row>
    <row r="210" spans="1:16" ht="16.5" customHeight="1" thickTop="1" x14ac:dyDescent="0.25">
      <c r="A210" s="124" t="s">
        <v>202</v>
      </c>
      <c r="B210" s="118">
        <f>2*VLOOKUP(B158,'Gebouwgegevens Allacker'!$A$35:$F$46,6,0)*B207*B208*B209</f>
        <v>0</v>
      </c>
      <c r="C210" s="118" t="s">
        <v>203</v>
      </c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6"/>
    </row>
    <row r="211" spans="1:16" ht="15.75" customHeight="1" x14ac:dyDescent="0.25">
      <c r="A211" s="95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6"/>
    </row>
    <row r="212" spans="1:16" ht="15" customHeight="1" x14ac:dyDescent="0.25">
      <c r="A212" s="126" t="s">
        <v>204</v>
      </c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6"/>
    </row>
    <row r="213" spans="1:16" ht="15.75" customHeight="1" x14ac:dyDescent="0.25">
      <c r="A213" s="95" t="s">
        <v>180</v>
      </c>
      <c r="B213" s="98">
        <f>VLOOKUP(B158,'Gebouwgegevens Allacker'!$A$35:$F$46,6,0)</f>
        <v>0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6"/>
    </row>
    <row r="214" spans="1:16" ht="16.5" customHeight="1" x14ac:dyDescent="0.25">
      <c r="A214" s="124" t="s">
        <v>205</v>
      </c>
      <c r="B214" s="128">
        <v>25</v>
      </c>
      <c r="C214" s="118" t="s">
        <v>203</v>
      </c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6"/>
    </row>
    <row r="215" spans="1:16" ht="15.75" customHeight="1" x14ac:dyDescent="0.25">
      <c r="A215" s="95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6"/>
    </row>
    <row r="216" spans="1:16" ht="15.75" customHeight="1" x14ac:dyDescent="0.25">
      <c r="A216" s="95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6"/>
    </row>
    <row r="217" spans="1:16" ht="16.5" customHeight="1" x14ac:dyDescent="0.25">
      <c r="A217" s="124" t="s">
        <v>207</v>
      </c>
      <c r="B217" s="118">
        <f>MAX(B210,B214)</f>
        <v>25</v>
      </c>
      <c r="C217" s="118" t="s">
        <v>203</v>
      </c>
      <c r="D217" s="98"/>
      <c r="E217" s="98"/>
      <c r="F217" s="118" t="s">
        <v>208</v>
      </c>
      <c r="G217" s="118">
        <f>B217/VLOOKUP(B158,'Gebouwgegevens Allacker'!$A$35:$B$46,2,0)</f>
        <v>0.16407644649795233</v>
      </c>
      <c r="H217" s="98"/>
      <c r="I217" s="98"/>
      <c r="J217" s="98"/>
      <c r="K217" s="98"/>
      <c r="L217" s="98"/>
      <c r="M217" s="98"/>
      <c r="N217" s="98"/>
      <c r="O217" s="98"/>
      <c r="P217" s="96"/>
    </row>
    <row r="218" spans="1:16" ht="16.5" customHeight="1" x14ac:dyDescent="0.25">
      <c r="A218" s="95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6"/>
    </row>
    <row r="219" spans="1:16" ht="16.5" customHeight="1" x14ac:dyDescent="0.25">
      <c r="A219" s="124" t="s">
        <v>209</v>
      </c>
      <c r="B219" s="118">
        <f>0.34*B217</f>
        <v>8.5</v>
      </c>
      <c r="C219" s="118" t="s">
        <v>107</v>
      </c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6"/>
    </row>
    <row r="220" spans="1:16" ht="16.5" customHeight="1" x14ac:dyDescent="0.25">
      <c r="A220" s="124" t="s">
        <v>167</v>
      </c>
      <c r="B220" s="118">
        <f>B219*('Gebouwgegevens Allacker'!E180-$B$4)</f>
        <v>68</v>
      </c>
      <c r="C220" s="118" t="s">
        <v>169</v>
      </c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6"/>
    </row>
    <row r="221" spans="1:16" ht="15.75" customHeight="1" thickBot="1" x14ac:dyDescent="0.3">
      <c r="A221" s="140"/>
      <c r="B221" s="141"/>
      <c r="C221" s="141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1"/>
    </row>
    <row r="222" spans="1:16" ht="15.75" customHeight="1" thickTop="1" x14ac:dyDescent="0.25">
      <c r="A222" s="343" t="s">
        <v>210</v>
      </c>
      <c r="B222" s="343"/>
      <c r="C222" s="343"/>
      <c r="D222" s="343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6"/>
    </row>
    <row r="223" spans="1:16" ht="15" customHeight="1" thickBot="1" x14ac:dyDescent="0.3">
      <c r="A223" s="95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6"/>
    </row>
    <row r="224" spans="1:16" ht="15" customHeight="1" thickTop="1" thickBot="1" x14ac:dyDescent="0.3">
      <c r="A224" s="127" t="s">
        <v>211</v>
      </c>
      <c r="B224" s="121">
        <v>0</v>
      </c>
      <c r="C224" s="58" t="s">
        <v>227</v>
      </c>
      <c r="D224" s="5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6"/>
    </row>
    <row r="225" spans="1:16" ht="15.75" customHeight="1" thickTop="1" x14ac:dyDescent="0.25">
      <c r="A225" s="3" t="s">
        <v>113</v>
      </c>
      <c r="B225" s="58">
        <f>VLOOKUP(B158,'Gebouwgegevens Allacker'!$A$35:$F$46,6,0)</f>
        <v>0</v>
      </c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6"/>
    </row>
    <row r="226" spans="1:16" ht="16.5" customHeight="1" x14ac:dyDescent="0.25">
      <c r="A226" s="124" t="s">
        <v>213</v>
      </c>
      <c r="B226" s="118">
        <f>B227/('Gebouwgegevens Allacker'!E180-'Verwarming Tabula 2zone RefULG1'!$B$4)</f>
        <v>0</v>
      </c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6"/>
    </row>
    <row r="227" spans="1:16" ht="16.5" customHeight="1" x14ac:dyDescent="0.25">
      <c r="A227" s="124" t="s">
        <v>167</v>
      </c>
      <c r="B227" s="118">
        <f>B224*B225</f>
        <v>0</v>
      </c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6"/>
    </row>
    <row r="228" spans="1:16" ht="15.75" customHeight="1" x14ac:dyDescent="0.25">
      <c r="A228" s="95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6"/>
    </row>
    <row r="229" spans="1:16" ht="15.75" customHeight="1" thickBot="1" x14ac:dyDescent="0.3">
      <c r="A229" s="95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6"/>
    </row>
    <row r="230" spans="1:16" ht="15.75" customHeight="1" thickTop="1" thickBot="1" x14ac:dyDescent="0.3">
      <c r="A230" s="129" t="s">
        <v>214</v>
      </c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1"/>
    </row>
    <row r="231" spans="1:16" ht="16.5" customHeight="1" thickTop="1" x14ac:dyDescent="0.25">
      <c r="A231" s="124" t="s">
        <v>215</v>
      </c>
      <c r="B231" s="118" t="e">
        <f>SUM(B201,B219,B226)</f>
        <v>#N/A</v>
      </c>
      <c r="C231" s="118" t="s">
        <v>107</v>
      </c>
      <c r="D231" s="132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3"/>
    </row>
    <row r="232" spans="1:16" ht="16.5" customHeight="1" x14ac:dyDescent="0.25">
      <c r="A232" s="124" t="s">
        <v>167</v>
      </c>
      <c r="B232" s="118" t="e">
        <f>SUM(B202,B220,B227)</f>
        <v>#N/A</v>
      </c>
      <c r="C232" s="118" t="s">
        <v>169</v>
      </c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3"/>
    </row>
    <row r="233" spans="1:16" ht="16.5" customHeight="1" thickBot="1" x14ac:dyDescent="0.3">
      <c r="A233" s="134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6"/>
    </row>
    <row r="234" spans="1:16" ht="15" customHeight="1" thickTop="1" x14ac:dyDescent="0.25">
      <c r="A234" s="137"/>
      <c r="B234" s="137"/>
      <c r="C234" s="137"/>
      <c r="D234" s="137"/>
      <c r="E234" s="137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</row>
    <row r="235" spans="1:16" ht="15.75" customHeight="1" thickBot="1" x14ac:dyDescent="0.3">
      <c r="A235" s="137"/>
      <c r="B235" s="137"/>
      <c r="C235" s="137"/>
      <c r="D235" s="137"/>
      <c r="E235" s="137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</row>
    <row r="236" spans="1:16" ht="15" customHeight="1" thickTop="1" thickBot="1" x14ac:dyDescent="0.3">
      <c r="A236" s="93"/>
      <c r="B236" s="328"/>
      <c r="C236" s="328"/>
      <c r="D236" s="328"/>
      <c r="E236" s="328"/>
      <c r="F236" s="328"/>
      <c r="G236" s="328"/>
      <c r="H236" s="328"/>
      <c r="I236" s="328"/>
      <c r="J236" s="328"/>
      <c r="K236" s="328"/>
      <c r="L236" s="328"/>
      <c r="M236" s="328"/>
      <c r="N236" s="328"/>
      <c r="O236" s="328"/>
      <c r="P236" s="94"/>
    </row>
    <row r="237" spans="1:16" ht="17.25" customHeight="1" thickTop="1" thickBot="1" x14ac:dyDescent="0.35">
      <c r="A237" s="97" t="s">
        <v>166</v>
      </c>
      <c r="B237" s="92">
        <v>4</v>
      </c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6"/>
    </row>
    <row r="238" spans="1:16" ht="15.75" customHeight="1" thickTop="1" x14ac:dyDescent="0.25">
      <c r="A238" s="343" t="s">
        <v>168</v>
      </c>
      <c r="B238" s="343"/>
      <c r="C238" s="343"/>
      <c r="D238" s="343"/>
      <c r="E238" s="328"/>
      <c r="F238" s="328"/>
      <c r="G238" s="328"/>
      <c r="H238" s="328"/>
      <c r="I238" s="328"/>
      <c r="J238" s="328"/>
      <c r="K238" s="328"/>
      <c r="L238" s="328"/>
      <c r="M238" s="328"/>
      <c r="N238" s="328"/>
      <c r="O238" s="328"/>
      <c r="P238" s="94"/>
    </row>
    <row r="239" spans="1:16" ht="15" customHeight="1" x14ac:dyDescent="0.25">
      <c r="A239" s="95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6"/>
    </row>
    <row r="240" spans="1:16" ht="15" customHeight="1" x14ac:dyDescent="0.25">
      <c r="A240" s="103" t="s">
        <v>170</v>
      </c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6"/>
    </row>
    <row r="241" spans="1:16" ht="15" customHeight="1" x14ac:dyDescent="0.25">
      <c r="A241" s="95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6"/>
    </row>
    <row r="242" spans="1:16" ht="15.75" customHeight="1" thickBot="1" x14ac:dyDescent="0.3">
      <c r="A242" s="95"/>
      <c r="B242" s="104" t="s">
        <v>10</v>
      </c>
      <c r="C242" s="104" t="s">
        <v>171</v>
      </c>
      <c r="D242" s="104" t="s">
        <v>172</v>
      </c>
      <c r="E242" s="104" t="s">
        <v>173</v>
      </c>
      <c r="F242" s="104" t="s">
        <v>174</v>
      </c>
      <c r="G242" s="104" t="s">
        <v>16</v>
      </c>
      <c r="H242" s="105" t="s">
        <v>17</v>
      </c>
      <c r="I242" s="105" t="s">
        <v>175</v>
      </c>
      <c r="J242" s="98"/>
      <c r="K242" s="98"/>
      <c r="L242" s="98"/>
      <c r="M242" s="98"/>
      <c r="N242" s="98"/>
      <c r="O242" s="98"/>
      <c r="P242" s="96"/>
    </row>
    <row r="243" spans="1:16" ht="16.5" customHeight="1" thickTop="1" thickBot="1" x14ac:dyDescent="0.3">
      <c r="A243" s="95"/>
      <c r="B243" s="106" t="s">
        <v>71</v>
      </c>
      <c r="C243" s="107">
        <f>VLOOKUP(B243,'Gebouwgegevens Allacker'!$J$5:$Q$83,3,0)</f>
        <v>3</v>
      </c>
      <c r="D243" s="107" t="str">
        <f>VLOOKUP(B243,'Gebouwgegevens Allacker'!$J$5:$Q$83,4,0)</f>
        <v>Wall External</v>
      </c>
      <c r="E243" s="107">
        <f>VLOOKUP(B243,'Gebouwgegevens Allacker'!$J$5:$Q$83,5,0)</f>
        <v>0</v>
      </c>
      <c r="F243" s="107" t="str">
        <f>VLOOKUP(B243,'Gebouwgegevens Allacker'!$J$5:$Q$83,6,0)</f>
        <v>front</v>
      </c>
      <c r="G243" s="107">
        <f>VLOOKUP(B243,'Gebouwgegevens Allacker'!$J$5:$Q$83,7,0)</f>
        <v>2.2022341505875525</v>
      </c>
      <c r="H243" s="108">
        <f>VLOOKUP(B243,'Gebouwgegevens Allacker'!$J$5:$Q$83,8,0)</f>
        <v>0</v>
      </c>
      <c r="I243" s="108">
        <v>1</v>
      </c>
      <c r="J243" s="98"/>
      <c r="K243" s="98"/>
      <c r="L243" s="98"/>
      <c r="M243" s="98"/>
      <c r="N243" s="98"/>
      <c r="O243" s="98"/>
      <c r="P243" s="96"/>
    </row>
    <row r="244" spans="1:16" ht="16.5" customHeight="1" thickTop="1" thickBot="1" x14ac:dyDescent="0.3">
      <c r="A244" s="95"/>
      <c r="B244" s="106" t="s">
        <v>75</v>
      </c>
      <c r="C244" s="107">
        <f>VLOOKUP(B244,'Gebouwgegevens Allacker'!$J$5:$Q$83,3,0)</f>
        <v>3</v>
      </c>
      <c r="D244" s="107" t="str">
        <f>VLOOKUP(B244,'Gebouwgegevens Allacker'!$J$5:$Q$83,4,0)</f>
        <v>Wall External</v>
      </c>
      <c r="E244" s="107">
        <f>VLOOKUP(B244,'Gebouwgegevens Allacker'!$J$5:$Q$83,5,0)</f>
        <v>14.24</v>
      </c>
      <c r="F244" s="107" t="str">
        <f>VLOOKUP(B244,'Gebouwgegevens Allacker'!$J$5:$Q$83,6,0)</f>
        <v>right</v>
      </c>
      <c r="G244" s="107">
        <f>VLOOKUP(B244,'Gebouwgegevens Allacker'!$J$5:$Q$83,7,0)</f>
        <v>2.2022341505875525</v>
      </c>
      <c r="H244" s="108">
        <f>VLOOKUP(B244,'Gebouwgegevens Allacker'!$J$5:$Q$83,8,0)</f>
        <v>31.359814304366747</v>
      </c>
      <c r="I244" s="108">
        <v>1</v>
      </c>
      <c r="J244" s="98"/>
      <c r="K244" s="98"/>
      <c r="L244" s="98"/>
      <c r="M244" s="98"/>
      <c r="N244" s="98"/>
      <c r="O244" s="98"/>
      <c r="P244" s="96"/>
    </row>
    <row r="245" spans="1:16" ht="16.5" customHeight="1" thickTop="1" thickBot="1" x14ac:dyDescent="0.3">
      <c r="A245" s="95"/>
      <c r="B245" s="106" t="s">
        <v>79</v>
      </c>
      <c r="C245" s="107">
        <f>VLOOKUP(B245,'Gebouwgegevens Allacker'!$J$5:$Q$83,3,0)</f>
        <v>3</v>
      </c>
      <c r="D245" s="107" t="str">
        <f>VLOOKUP(B245,'Gebouwgegevens Allacker'!$J$5:$Q$83,4,0)</f>
        <v>Wall External</v>
      </c>
      <c r="E245" s="107">
        <f>VLOOKUP(B245,'Gebouwgegevens Allacker'!$J$5:$Q$83,5,0)</f>
        <v>0</v>
      </c>
      <c r="F245" s="107" t="str">
        <f>VLOOKUP(B245,'Gebouwgegevens Allacker'!$J$5:$Q$83,6,0)</f>
        <v>back</v>
      </c>
      <c r="G245" s="107">
        <f>VLOOKUP(B245,'Gebouwgegevens Allacker'!$J$5:$Q$83,7,0)</f>
        <v>2.2022341505875525</v>
      </c>
      <c r="H245" s="108">
        <f>VLOOKUP(B245,'Gebouwgegevens Allacker'!$J$5:$Q$83,8,0)</f>
        <v>0</v>
      </c>
      <c r="I245" s="108">
        <v>1</v>
      </c>
      <c r="J245" s="98"/>
      <c r="K245" s="98"/>
      <c r="L245" s="98"/>
      <c r="M245" s="98"/>
      <c r="N245" s="98"/>
      <c r="O245" s="98"/>
      <c r="P245" s="96"/>
    </row>
    <row r="246" spans="1:16" ht="16.5" customHeight="1" thickTop="1" thickBot="1" x14ac:dyDescent="0.3">
      <c r="A246" s="95"/>
      <c r="B246" s="142" t="s">
        <v>82</v>
      </c>
      <c r="C246" s="107">
        <f>VLOOKUP(B246,'Gebouwgegevens Allacker'!$J$5:$Q$83,3,0)</f>
        <v>3</v>
      </c>
      <c r="D246" s="107" t="str">
        <f>VLOOKUP(B246,'Gebouwgegevens Allacker'!$J$5:$Q$83,4,0)</f>
        <v>Wall External</v>
      </c>
      <c r="E246" s="107">
        <f>VLOOKUP(B246,'Gebouwgegevens Allacker'!$J$5:$Q$83,5,0)</f>
        <v>14.24</v>
      </c>
      <c r="F246" s="107" t="str">
        <f>VLOOKUP(B246,'Gebouwgegevens Allacker'!$J$5:$Q$83,6,0)</f>
        <v>left</v>
      </c>
      <c r="G246" s="107">
        <f>VLOOKUP(B246,'Gebouwgegevens Allacker'!$J$5:$Q$83,7,0)</f>
        <v>2.2022341505875525</v>
      </c>
      <c r="H246" s="108">
        <f>VLOOKUP(B246,'Gebouwgegevens Allacker'!$J$5:$Q$83,8,0)</f>
        <v>31.359814304366747</v>
      </c>
      <c r="I246" s="108">
        <v>1</v>
      </c>
      <c r="J246" s="98"/>
      <c r="K246" s="98"/>
      <c r="L246" s="98"/>
      <c r="M246" s="98"/>
      <c r="N246" s="98"/>
      <c r="O246" s="98"/>
      <c r="P246" s="96"/>
    </row>
    <row r="247" spans="1:16" ht="16.5" customHeight="1" thickTop="1" thickBot="1" x14ac:dyDescent="0.3">
      <c r="A247" s="95"/>
      <c r="B247" s="143"/>
      <c r="C247" s="144"/>
      <c r="D247" s="107"/>
      <c r="E247" s="107"/>
      <c r="F247" s="107"/>
      <c r="G247" s="107"/>
      <c r="H247" s="108"/>
      <c r="I247" s="108"/>
      <c r="J247" s="98"/>
      <c r="K247" s="98"/>
      <c r="L247" s="98"/>
      <c r="M247" s="98"/>
      <c r="N247" s="98"/>
      <c r="O247" s="98"/>
      <c r="P247" s="96"/>
    </row>
    <row r="248" spans="1:16" ht="16.5" customHeight="1" thickTop="1" thickBot="1" x14ac:dyDescent="0.3">
      <c r="A248" s="95"/>
      <c r="B248" s="143"/>
      <c r="C248" s="144"/>
      <c r="D248" s="107"/>
      <c r="E248" s="107"/>
      <c r="F248" s="107"/>
      <c r="G248" s="107"/>
      <c r="H248" s="108"/>
      <c r="I248" s="108"/>
      <c r="J248" s="98"/>
      <c r="K248" s="98"/>
      <c r="L248" s="98"/>
      <c r="M248" s="98"/>
      <c r="N248" s="98"/>
      <c r="O248" s="98"/>
      <c r="P248" s="96"/>
    </row>
    <row r="249" spans="1:16" ht="16.5" customHeight="1" thickTop="1" thickBot="1" x14ac:dyDescent="0.3">
      <c r="A249" s="95"/>
      <c r="B249" s="143"/>
      <c r="C249" s="144"/>
      <c r="D249" s="107"/>
      <c r="E249" s="107"/>
      <c r="F249" s="107"/>
      <c r="G249" s="107"/>
      <c r="H249" s="108"/>
      <c r="I249" s="108"/>
      <c r="J249" s="98"/>
      <c r="K249" s="98"/>
      <c r="L249" s="98"/>
      <c r="M249" s="98"/>
      <c r="N249" s="98"/>
      <c r="O249" s="98"/>
      <c r="P249" s="96"/>
    </row>
    <row r="250" spans="1:16" ht="16.5" customHeight="1" thickTop="1" thickBot="1" x14ac:dyDescent="0.3">
      <c r="A250" s="95"/>
      <c r="B250" s="143"/>
      <c r="C250" s="144"/>
      <c r="D250" s="107"/>
      <c r="E250" s="107"/>
      <c r="F250" s="107"/>
      <c r="G250" s="107"/>
      <c r="H250" s="108"/>
      <c r="I250" s="108"/>
      <c r="J250" s="98"/>
      <c r="K250" s="98"/>
      <c r="L250" s="98"/>
      <c r="M250" s="98"/>
      <c r="N250" s="98"/>
      <c r="O250" s="98"/>
      <c r="P250" s="96"/>
    </row>
    <row r="251" spans="1:16" ht="16.5" customHeight="1" thickTop="1" thickBot="1" x14ac:dyDescent="0.3">
      <c r="A251" s="95"/>
      <c r="B251" s="143"/>
      <c r="C251" s="144"/>
      <c r="D251" s="107"/>
      <c r="E251" s="107"/>
      <c r="F251" s="107"/>
      <c r="G251" s="107"/>
      <c r="H251" s="108"/>
      <c r="I251" s="108"/>
      <c r="J251" s="98"/>
      <c r="K251" s="98"/>
      <c r="L251" s="98"/>
      <c r="M251" s="98"/>
      <c r="N251" s="98"/>
      <c r="O251" s="98"/>
      <c r="P251" s="96"/>
    </row>
    <row r="252" spans="1:16" ht="16.5" customHeight="1" thickTop="1" thickBot="1" x14ac:dyDescent="0.3">
      <c r="A252" s="95"/>
      <c r="B252" s="143"/>
      <c r="C252" s="144"/>
      <c r="D252" s="107"/>
      <c r="E252" s="107"/>
      <c r="F252" s="107"/>
      <c r="G252" s="107"/>
      <c r="H252" s="108"/>
      <c r="I252" s="108"/>
      <c r="J252" s="98"/>
      <c r="K252" s="98"/>
      <c r="L252" s="98"/>
      <c r="M252" s="98"/>
      <c r="N252" s="98"/>
      <c r="O252" s="98"/>
      <c r="P252" s="96"/>
    </row>
    <row r="253" spans="1:16" ht="16.5" customHeight="1" thickTop="1" thickBot="1" x14ac:dyDescent="0.3">
      <c r="A253" s="95"/>
      <c r="B253" s="143"/>
      <c r="C253" s="144"/>
      <c r="D253" s="107"/>
      <c r="E253" s="107"/>
      <c r="F253" s="107"/>
      <c r="G253" s="107"/>
      <c r="H253" s="108"/>
      <c r="I253" s="108"/>
      <c r="J253" s="98"/>
      <c r="K253" s="98"/>
      <c r="L253" s="98"/>
      <c r="M253" s="98"/>
      <c r="N253" s="98"/>
      <c r="O253" s="98"/>
      <c r="P253" s="96"/>
    </row>
    <row r="254" spans="1:16" ht="16.5" customHeight="1" thickTop="1" thickBot="1" x14ac:dyDescent="0.3">
      <c r="A254" s="95"/>
      <c r="B254" s="143"/>
      <c r="C254" s="144"/>
      <c r="D254" s="107"/>
      <c r="E254" s="107"/>
      <c r="F254" s="107"/>
      <c r="G254" s="107"/>
      <c r="H254" s="108"/>
      <c r="I254" s="108"/>
      <c r="J254" s="98"/>
      <c r="K254" s="98"/>
      <c r="L254" s="98"/>
      <c r="M254" s="98"/>
      <c r="N254" s="98"/>
      <c r="O254" s="98"/>
      <c r="P254" s="96"/>
    </row>
    <row r="255" spans="1:16" ht="15.75" customHeight="1" thickTop="1" x14ac:dyDescent="0.25">
      <c r="A255" s="95"/>
      <c r="B255" s="58"/>
      <c r="C255" s="58"/>
      <c r="D255" s="58"/>
      <c r="E255" s="58"/>
      <c r="F255" s="58"/>
      <c r="G255" s="114"/>
      <c r="H255" s="58"/>
      <c r="I255" s="58"/>
      <c r="J255" s="98"/>
      <c r="K255" s="98"/>
      <c r="L255" s="98"/>
      <c r="M255" s="98"/>
      <c r="N255" s="98"/>
      <c r="O255" s="98"/>
      <c r="P255" s="96"/>
    </row>
    <row r="256" spans="1:16" ht="15" customHeight="1" x14ac:dyDescent="0.25">
      <c r="A256" s="95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6"/>
    </row>
    <row r="257" spans="1:16" ht="15" customHeight="1" x14ac:dyDescent="0.25">
      <c r="A257" s="103" t="s">
        <v>177</v>
      </c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6"/>
    </row>
    <row r="258" spans="1:16" ht="15.75" customHeight="1" x14ac:dyDescent="0.25">
      <c r="A258" s="95"/>
      <c r="B258" s="58" t="s">
        <v>10</v>
      </c>
      <c r="C258" s="58" t="s">
        <v>178</v>
      </c>
      <c r="D258" s="58" t="s">
        <v>172</v>
      </c>
      <c r="E258" s="58" t="s">
        <v>179</v>
      </c>
      <c r="F258" s="58" t="s">
        <v>16</v>
      </c>
      <c r="G258" s="114" t="s">
        <v>17</v>
      </c>
      <c r="H258" s="114" t="s">
        <v>175</v>
      </c>
      <c r="I258" s="58" t="s">
        <v>180</v>
      </c>
      <c r="J258" s="58" t="s">
        <v>181</v>
      </c>
      <c r="K258" s="58" t="s">
        <v>182</v>
      </c>
      <c r="L258" s="115" t="s">
        <v>183</v>
      </c>
      <c r="M258" s="115" t="s">
        <v>184</v>
      </c>
      <c r="N258" s="115" t="s">
        <v>185</v>
      </c>
      <c r="O258" s="98"/>
      <c r="P258" s="96"/>
    </row>
    <row r="259" spans="1:16" ht="16.5" customHeight="1" thickBot="1" x14ac:dyDescent="0.3">
      <c r="A259" s="95"/>
      <c r="B259" s="116"/>
      <c r="C259" s="117"/>
      <c r="D259" s="117"/>
      <c r="E259" s="117"/>
      <c r="F259" s="117"/>
      <c r="G259" s="118"/>
      <c r="H259" s="118"/>
      <c r="I259" s="117"/>
      <c r="J259" s="116"/>
      <c r="K259" s="116"/>
      <c r="L259" s="119"/>
      <c r="M259" s="119"/>
      <c r="N259" s="120"/>
      <c r="O259" s="98"/>
      <c r="P259" s="96"/>
    </row>
    <row r="260" spans="1:16" ht="16.5" customHeight="1" thickTop="1" thickBot="1" x14ac:dyDescent="0.3">
      <c r="A260" s="95"/>
      <c r="B260" s="116"/>
      <c r="C260" s="117"/>
      <c r="D260" s="117"/>
      <c r="E260" s="117"/>
      <c r="F260" s="117"/>
      <c r="G260" s="118"/>
      <c r="H260" s="118"/>
      <c r="I260" s="117"/>
      <c r="J260" s="116"/>
      <c r="K260" s="116"/>
      <c r="L260" s="119"/>
      <c r="M260" s="119"/>
      <c r="N260" s="120"/>
      <c r="O260" s="98"/>
      <c r="P260" s="96"/>
    </row>
    <row r="261" spans="1:16" ht="16.5" customHeight="1" thickTop="1" thickBot="1" x14ac:dyDescent="0.3">
      <c r="A261" s="95"/>
      <c r="B261" s="116"/>
      <c r="C261" s="117"/>
      <c r="D261" s="117"/>
      <c r="E261" s="117"/>
      <c r="F261" s="117"/>
      <c r="G261" s="118"/>
      <c r="H261" s="118"/>
      <c r="I261" s="117"/>
      <c r="J261" s="116"/>
      <c r="K261" s="116"/>
      <c r="L261" s="119"/>
      <c r="M261" s="119"/>
      <c r="N261" s="120"/>
      <c r="O261" s="98"/>
      <c r="P261" s="96"/>
    </row>
    <row r="262" spans="1:16" ht="16.5" customHeight="1" thickTop="1" thickBot="1" x14ac:dyDescent="0.3">
      <c r="A262" s="95"/>
      <c r="B262" s="116"/>
      <c r="C262" s="117"/>
      <c r="D262" s="117"/>
      <c r="E262" s="117"/>
      <c r="F262" s="117"/>
      <c r="G262" s="118"/>
      <c r="H262" s="118"/>
      <c r="I262" s="117"/>
      <c r="J262" s="116"/>
      <c r="K262" s="116"/>
      <c r="L262" s="119"/>
      <c r="M262" s="119"/>
      <c r="N262" s="120"/>
      <c r="O262" s="98"/>
      <c r="P262" s="96"/>
    </row>
    <row r="263" spans="1:16" ht="16.5" customHeight="1" thickTop="1" thickBot="1" x14ac:dyDescent="0.3">
      <c r="A263" s="138"/>
      <c r="B263" s="116"/>
      <c r="C263" s="117"/>
      <c r="D263" s="117"/>
      <c r="E263" s="117"/>
      <c r="F263" s="117"/>
      <c r="G263" s="118"/>
      <c r="H263" s="118"/>
      <c r="I263" s="117"/>
      <c r="J263" s="116"/>
      <c r="K263" s="116"/>
      <c r="L263" s="119"/>
      <c r="M263" s="119"/>
      <c r="N263" s="120"/>
      <c r="O263" s="98"/>
      <c r="P263" s="96"/>
    </row>
    <row r="264" spans="1:16" ht="15.75" customHeight="1" thickTop="1" x14ac:dyDescent="0.25">
      <c r="A264" s="95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6"/>
    </row>
    <row r="265" spans="1:16" ht="15" customHeight="1" x14ac:dyDescent="0.25">
      <c r="A265" s="103" t="s">
        <v>186</v>
      </c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6"/>
    </row>
    <row r="266" spans="1:16" ht="15.75" customHeight="1" thickBot="1" x14ac:dyDescent="0.3">
      <c r="A266" s="95"/>
      <c r="B266" s="58" t="s">
        <v>10</v>
      </c>
      <c r="C266" s="58" t="s">
        <v>187</v>
      </c>
      <c r="D266" s="58" t="s">
        <v>188</v>
      </c>
      <c r="E266" s="58" t="s">
        <v>135</v>
      </c>
      <c r="F266" s="58" t="s">
        <v>189</v>
      </c>
      <c r="G266" s="58" t="s">
        <v>190</v>
      </c>
      <c r="H266" s="58" t="s">
        <v>191</v>
      </c>
      <c r="I266" s="58" t="s">
        <v>16</v>
      </c>
      <c r="J266" s="114" t="s">
        <v>17</v>
      </c>
      <c r="K266" s="114" t="s">
        <v>175</v>
      </c>
      <c r="L266" s="98"/>
      <c r="M266" s="98"/>
      <c r="N266" s="98"/>
      <c r="O266" s="98"/>
      <c r="P266" s="96"/>
    </row>
    <row r="267" spans="1:16" ht="16.5" customHeight="1" thickTop="1" thickBot="1" x14ac:dyDescent="0.3">
      <c r="A267" s="95"/>
      <c r="B267" s="121" t="s">
        <v>228</v>
      </c>
      <c r="C267" s="122" t="e">
        <f>IF(VLOOKUP(B267,'Gebouwgegevens Allacker'!$J$5:$Q$83,2,0)=$B$237,VLOOKUP(B267,'Gebouwgegevens Allacker'!$J$5:$Q$83,2,0),VLOOKUP(B267,'Gebouwgegevens Allacker'!$J$5:$Q$83,3,0))</f>
        <v>#N/A</v>
      </c>
      <c r="D267" s="122" t="e">
        <f>IF(VLOOKUP(B267,'Gebouwgegevens Allacker'!$J$5:$Q$83,2,0)=$B$237,VLOOKUP(B267,'Gebouwgegevens Allacker'!$J$5:$Q$83,3,0),VLOOKUP(B267,'Gebouwgegevens Allacker'!$J$5:$Q$83,2,0))</f>
        <v>#N/A</v>
      </c>
      <c r="E267" s="122" t="e">
        <f>VLOOKUP(B267,'Gebouwgegevens Allacker'!$J$5:$Q$83,4,0)</f>
        <v>#N/A</v>
      </c>
      <c r="F267" s="122" t="e">
        <f>VLOOKUP(B267,'Gebouwgegevens Allacker'!$J$5:$Q$83,5,0)</f>
        <v>#N/A</v>
      </c>
      <c r="G267" s="122" t="e">
        <f>VLOOKUP('Verwarming Tabula 2zone RefULG1'!C267,'Gebouwgegevens Allacker'!$A$35:$F$46,5,0)</f>
        <v>#N/A</v>
      </c>
      <c r="H267" s="122" t="e">
        <f>VLOOKUP('Verwarming Tabula 2zone RefULG1'!D267,'Gebouwgegevens Allacker'!$A$35:$F$46,5,0)</f>
        <v>#N/A</v>
      </c>
      <c r="I267" s="122" t="e">
        <f>VLOOKUP(B267,'Gebouwgegevens Allacker'!$J$5:$Q$83,7,0)</f>
        <v>#N/A</v>
      </c>
      <c r="J267" s="118" t="e">
        <f>VLOOKUP(B267,'Gebouwgegevens Allacker'!$J$5:$Q$83,8,0)</f>
        <v>#N/A</v>
      </c>
      <c r="K267" s="118" t="e">
        <f>(G267-H267)/(G267-$B$4)</f>
        <v>#N/A</v>
      </c>
      <c r="L267" s="98"/>
      <c r="M267" s="98"/>
      <c r="N267" s="98"/>
      <c r="O267" s="98"/>
      <c r="P267" s="96"/>
    </row>
    <row r="268" spans="1:16" ht="16.5" customHeight="1" thickTop="1" thickBot="1" x14ac:dyDescent="0.3">
      <c r="A268" s="95"/>
      <c r="B268" s="121" t="s">
        <v>229</v>
      </c>
      <c r="C268" s="122" t="e">
        <f>IF(VLOOKUP(B268,'Gebouwgegevens Allacker'!$J$5:$Q$83,2,0)=$B$237,VLOOKUP(B268,'Gebouwgegevens Allacker'!$J$5:$Q$83,2,0),VLOOKUP(B268,'Gebouwgegevens Allacker'!$J$5:$Q$83,3,0))</f>
        <v>#N/A</v>
      </c>
      <c r="D268" s="122" t="e">
        <f>IF(VLOOKUP(B268,'Gebouwgegevens Allacker'!$J$5:$Q$83,2,0)=$B$237,VLOOKUP(B268,'Gebouwgegevens Allacker'!$J$5:$Q$83,3,0),VLOOKUP(B268,'Gebouwgegevens Allacker'!$J$5:$Q$83,2,0))</f>
        <v>#N/A</v>
      </c>
      <c r="E268" s="122" t="e">
        <f>VLOOKUP(B268,'Gebouwgegevens Allacker'!$J$5:$Q$83,4,0)</f>
        <v>#N/A</v>
      </c>
      <c r="F268" s="122" t="e">
        <f>VLOOKUP(B268,'Gebouwgegevens Allacker'!$J$5:$Q$83,5,0)</f>
        <v>#N/A</v>
      </c>
      <c r="G268" s="122" t="e">
        <f>VLOOKUP('Verwarming Tabula 2zone RefULG1'!C268,'Gebouwgegevens Allacker'!$A$35:$F$46,5,0)</f>
        <v>#N/A</v>
      </c>
      <c r="H268" s="122" t="e">
        <f>VLOOKUP('Verwarming Tabula 2zone RefULG1'!D268,'Gebouwgegevens Allacker'!$A$35:$F$46,5,0)</f>
        <v>#N/A</v>
      </c>
      <c r="I268" s="122" t="e">
        <f>VLOOKUP(B268,'Gebouwgegevens Allacker'!$J$5:$Q$83,7,0)</f>
        <v>#N/A</v>
      </c>
      <c r="J268" s="118" t="e">
        <f>VLOOKUP(B268,'Gebouwgegevens Allacker'!$J$5:$Q$83,8,0)</f>
        <v>#N/A</v>
      </c>
      <c r="K268" s="118" t="e">
        <f>(G268-H268)/(G268-$B$4)</f>
        <v>#N/A</v>
      </c>
      <c r="L268" s="98"/>
      <c r="M268" s="98"/>
      <c r="N268" s="98"/>
      <c r="O268" s="98"/>
      <c r="P268" s="96"/>
    </row>
    <row r="269" spans="1:16" ht="16.5" customHeight="1" thickTop="1" thickBot="1" x14ac:dyDescent="0.3">
      <c r="A269" s="95"/>
      <c r="B269" s="121" t="s">
        <v>230</v>
      </c>
      <c r="C269" s="122" t="e">
        <f>IF(VLOOKUP(B269,'Gebouwgegevens Allacker'!$J$5:$Q$83,2,0)=$B$237,VLOOKUP(B269,'Gebouwgegevens Allacker'!$J$5:$Q$83,2,0),VLOOKUP(B269,'Gebouwgegevens Allacker'!$J$5:$Q$83,3,0))</f>
        <v>#N/A</v>
      </c>
      <c r="D269" s="122" t="e">
        <f>IF(VLOOKUP(B269,'Gebouwgegevens Allacker'!$J$5:$Q$83,2,0)=$B$237,VLOOKUP(B269,'Gebouwgegevens Allacker'!$J$5:$Q$83,3,0),VLOOKUP(B269,'Gebouwgegevens Allacker'!$J$5:$Q$83,2,0))</f>
        <v>#N/A</v>
      </c>
      <c r="E269" s="122" t="e">
        <f>VLOOKUP(B269,'Gebouwgegevens Allacker'!$J$5:$Q$83,4,0)</f>
        <v>#N/A</v>
      </c>
      <c r="F269" s="122" t="e">
        <f>VLOOKUP(B269,'Gebouwgegevens Allacker'!$J$5:$Q$83,5,0)</f>
        <v>#N/A</v>
      </c>
      <c r="G269" s="122" t="e">
        <f>VLOOKUP('Verwarming Tabula 2zone RefULG1'!C269,'Gebouwgegevens Allacker'!$A$35:$F$46,5,0)</f>
        <v>#N/A</v>
      </c>
      <c r="H269" s="122" t="e">
        <f>VLOOKUP('Verwarming Tabula 2zone RefULG1'!D269,'Gebouwgegevens Allacker'!$A$35:$F$46,5,0)</f>
        <v>#N/A</v>
      </c>
      <c r="I269" s="122" t="e">
        <f>VLOOKUP(B269,'Gebouwgegevens Allacker'!$J$5:$Q$83,7,0)</f>
        <v>#N/A</v>
      </c>
      <c r="J269" s="118" t="e">
        <f>VLOOKUP(B269,'Gebouwgegevens Allacker'!$J$5:$Q$83,8,0)</f>
        <v>#N/A</v>
      </c>
      <c r="K269" s="118" t="e">
        <f>(G269-H269)/(G269-$B$4)</f>
        <v>#N/A</v>
      </c>
      <c r="L269" s="98"/>
      <c r="M269" s="98"/>
      <c r="N269" s="98"/>
      <c r="O269" s="98"/>
      <c r="P269" s="96"/>
    </row>
    <row r="270" spans="1:16" ht="16.5" customHeight="1" thickTop="1" thickBot="1" x14ac:dyDescent="0.3">
      <c r="A270" s="95"/>
      <c r="B270" s="92" t="s">
        <v>231</v>
      </c>
      <c r="C270" s="122" t="e">
        <f>IF(VLOOKUP(B270,'Gebouwgegevens Allacker'!$J$5:$Q$83,2,0)=$B$237,VLOOKUP(B270,'Gebouwgegevens Allacker'!$J$5:$Q$83,2,0),VLOOKUP(B270,'Gebouwgegevens Allacker'!$J$5:$Q$83,3,0))</f>
        <v>#N/A</v>
      </c>
      <c r="D270" s="122" t="e">
        <f>IF(VLOOKUP(B270,'Gebouwgegevens Allacker'!$J$5:$Q$83,2,0)=$B$237,VLOOKUP(B270,'Gebouwgegevens Allacker'!$J$5:$Q$83,3,0),VLOOKUP(B270,'Gebouwgegevens Allacker'!$J$5:$Q$83,2,0))</f>
        <v>#N/A</v>
      </c>
      <c r="E270" s="122" t="e">
        <f>VLOOKUP(B270,'Gebouwgegevens Allacker'!$J$5:$Q$83,4,0)</f>
        <v>#N/A</v>
      </c>
      <c r="F270" s="122" t="e">
        <f>VLOOKUP(B270,'Gebouwgegevens Allacker'!$J$5:$Q$83,5,0)</f>
        <v>#N/A</v>
      </c>
      <c r="G270" s="122" t="e">
        <f>VLOOKUP('Verwarming Tabula 2zone RefULG1'!C270,'Gebouwgegevens Allacker'!$A$35:$F$46,5,0)</f>
        <v>#N/A</v>
      </c>
      <c r="H270" s="122" t="e">
        <f>VLOOKUP('Verwarming Tabula 2zone RefULG1'!D270,'Gebouwgegevens Allacker'!$A$35:$F$46,5,0)</f>
        <v>#N/A</v>
      </c>
      <c r="I270" s="122" t="e">
        <f>VLOOKUP(B270,'Gebouwgegevens Allacker'!$J$5:$Q$83,7,0)</f>
        <v>#N/A</v>
      </c>
      <c r="J270" s="118" t="e">
        <f>VLOOKUP(B270,'Gebouwgegevens Allacker'!$J$5:$Q$83,8,0)</f>
        <v>#N/A</v>
      </c>
      <c r="K270" s="118" t="e">
        <f>(G270-H270)/(G270-$B$4)</f>
        <v>#N/A</v>
      </c>
      <c r="L270" s="98"/>
      <c r="M270" s="98"/>
      <c r="N270" s="98"/>
      <c r="O270" s="98"/>
      <c r="P270" s="96"/>
    </row>
    <row r="271" spans="1:16" ht="16.5" customHeight="1" thickTop="1" thickBot="1" x14ac:dyDescent="0.3">
      <c r="A271" s="95"/>
      <c r="B271" s="123"/>
      <c r="C271" s="139"/>
      <c r="D271" s="122"/>
      <c r="E271" s="122"/>
      <c r="F271" s="122"/>
      <c r="G271" s="122"/>
      <c r="H271" s="122"/>
      <c r="I271" s="122"/>
      <c r="J271" s="118"/>
      <c r="K271" s="118"/>
      <c r="L271" s="98"/>
      <c r="M271" s="98"/>
      <c r="N271" s="98"/>
      <c r="O271" s="98"/>
      <c r="P271" s="96"/>
    </row>
    <row r="272" spans="1:16" ht="16.5" customHeight="1" thickTop="1" thickBot="1" x14ac:dyDescent="0.3">
      <c r="A272" s="95"/>
      <c r="B272" s="123"/>
      <c r="C272" s="139"/>
      <c r="D272" s="122"/>
      <c r="E272" s="122"/>
      <c r="F272" s="122"/>
      <c r="G272" s="122"/>
      <c r="H272" s="122"/>
      <c r="I272" s="122"/>
      <c r="J272" s="118"/>
      <c r="K272" s="118"/>
      <c r="L272" s="98"/>
      <c r="M272" s="98"/>
      <c r="N272" s="98"/>
      <c r="O272" s="98"/>
      <c r="P272" s="96"/>
    </row>
    <row r="273" spans="1:16" ht="16.5" customHeight="1" thickTop="1" thickBot="1" x14ac:dyDescent="0.3">
      <c r="A273" s="95"/>
      <c r="B273" s="123"/>
      <c r="C273" s="139"/>
      <c r="D273" s="122"/>
      <c r="E273" s="122"/>
      <c r="F273" s="122"/>
      <c r="G273" s="122"/>
      <c r="H273" s="122"/>
      <c r="I273" s="122"/>
      <c r="J273" s="118"/>
      <c r="K273" s="118"/>
      <c r="L273" s="98"/>
      <c r="M273" s="98"/>
      <c r="N273" s="98"/>
      <c r="O273" s="98"/>
      <c r="P273" s="96"/>
    </row>
    <row r="274" spans="1:16" ht="16.5" customHeight="1" thickTop="1" thickBot="1" x14ac:dyDescent="0.3">
      <c r="A274" s="95"/>
      <c r="B274" s="123"/>
      <c r="C274" s="139"/>
      <c r="D274" s="122"/>
      <c r="E274" s="122"/>
      <c r="F274" s="122"/>
      <c r="G274" s="122"/>
      <c r="H274" s="122"/>
      <c r="I274" s="122"/>
      <c r="J274" s="118"/>
      <c r="K274" s="118"/>
      <c r="L274" s="98"/>
      <c r="M274" s="98"/>
      <c r="N274" s="98"/>
      <c r="O274" s="98"/>
      <c r="P274" s="96"/>
    </row>
    <row r="275" spans="1:16" ht="16.5" customHeight="1" thickTop="1" thickBot="1" x14ac:dyDescent="0.3">
      <c r="A275" s="95"/>
      <c r="B275" s="123"/>
      <c r="C275" s="139"/>
      <c r="D275" s="122"/>
      <c r="E275" s="122"/>
      <c r="F275" s="122"/>
      <c r="G275" s="122"/>
      <c r="H275" s="122"/>
      <c r="I275" s="122"/>
      <c r="J275" s="118"/>
      <c r="K275" s="118"/>
      <c r="L275" s="98"/>
      <c r="M275" s="98"/>
      <c r="N275" s="98"/>
      <c r="O275" s="98"/>
      <c r="P275" s="96"/>
    </row>
    <row r="276" spans="1:16" ht="16.5" customHeight="1" thickTop="1" thickBot="1" x14ac:dyDescent="0.3">
      <c r="A276" s="95"/>
      <c r="B276" s="123"/>
      <c r="C276" s="139"/>
      <c r="D276" s="122"/>
      <c r="E276" s="122"/>
      <c r="F276" s="122"/>
      <c r="G276" s="122"/>
      <c r="H276" s="122"/>
      <c r="I276" s="122"/>
      <c r="J276" s="118"/>
      <c r="K276" s="118"/>
      <c r="L276" s="98"/>
      <c r="M276" s="98"/>
      <c r="N276" s="98"/>
      <c r="O276" s="98"/>
      <c r="P276" s="96"/>
    </row>
    <row r="277" spans="1:16" ht="15.75" customHeight="1" thickTop="1" x14ac:dyDescent="0.25">
      <c r="A277" s="95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8"/>
      <c r="M277" s="98"/>
      <c r="N277" s="98"/>
      <c r="O277" s="98"/>
      <c r="P277" s="96"/>
    </row>
    <row r="278" spans="1:16" ht="15" customHeight="1" x14ac:dyDescent="0.25">
      <c r="A278" s="95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6"/>
    </row>
    <row r="279" spans="1:16" ht="15.75" customHeight="1" x14ac:dyDescent="0.25">
      <c r="A279" s="103" t="s">
        <v>192</v>
      </c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6"/>
    </row>
    <row r="280" spans="1:16" ht="16.5" customHeight="1" x14ac:dyDescent="0.25">
      <c r="A280" s="124" t="s">
        <v>193</v>
      </c>
      <c r="B280" s="118" t="e">
        <f>SUMPRODUCT(H243:H254,I243:I254)+SUMPRODUCT(G259:G263,H259:H263)+SUMPRODUCT(J267:J276,K267:K276)</f>
        <v>#N/A</v>
      </c>
      <c r="C280" s="118" t="s">
        <v>107</v>
      </c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6"/>
    </row>
    <row r="281" spans="1:16" ht="16.5" customHeight="1" x14ac:dyDescent="0.25">
      <c r="A281" s="124" t="s">
        <v>167</v>
      </c>
      <c r="B281" s="118" t="e">
        <f>B280*(G267-$B$4)</f>
        <v>#N/A</v>
      </c>
      <c r="C281" s="118" t="s">
        <v>169</v>
      </c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6"/>
    </row>
    <row r="282" spans="1:16" ht="15.75" customHeight="1" thickBot="1" x14ac:dyDescent="0.3">
      <c r="A282" s="109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1"/>
    </row>
    <row r="283" spans="1:16" ht="15.75" customHeight="1" thickTop="1" x14ac:dyDescent="0.25">
      <c r="A283" s="343" t="s">
        <v>194</v>
      </c>
      <c r="B283" s="343"/>
      <c r="C283" s="343"/>
      <c r="D283" s="125" t="s">
        <v>222</v>
      </c>
      <c r="E283" s="328"/>
      <c r="F283" s="328"/>
      <c r="G283" s="328"/>
      <c r="H283" s="328"/>
      <c r="I283" s="328"/>
      <c r="J283" s="328"/>
      <c r="K283" s="328"/>
      <c r="L283" s="328"/>
      <c r="M283" s="328"/>
      <c r="N283" s="328"/>
      <c r="O283" s="328"/>
      <c r="P283" s="94"/>
    </row>
    <row r="284" spans="1:16" ht="15" customHeight="1" x14ac:dyDescent="0.25">
      <c r="A284" s="95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6"/>
    </row>
    <row r="285" spans="1:16" ht="15" customHeight="1" thickBot="1" x14ac:dyDescent="0.3">
      <c r="A285" s="126" t="s">
        <v>195</v>
      </c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6"/>
    </row>
    <row r="286" spans="1:16" ht="15" customHeight="1" thickTop="1" thickBot="1" x14ac:dyDescent="0.3">
      <c r="A286" s="127" t="s">
        <v>196</v>
      </c>
      <c r="B286" s="121">
        <v>8</v>
      </c>
      <c r="C286" s="120" t="s">
        <v>197</v>
      </c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6"/>
    </row>
    <row r="287" spans="1:16" ht="15" customHeight="1" thickTop="1" thickBot="1" x14ac:dyDescent="0.3">
      <c r="A287" s="127" t="s">
        <v>198</v>
      </c>
      <c r="B287" s="121">
        <v>0.03</v>
      </c>
      <c r="C287" s="120" t="s">
        <v>199</v>
      </c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6"/>
    </row>
    <row r="288" spans="1:16" ht="15.75" customHeight="1" thickTop="1" thickBot="1" x14ac:dyDescent="0.3">
      <c r="A288" s="127" t="s">
        <v>200</v>
      </c>
      <c r="B288" s="121">
        <v>1</v>
      </c>
      <c r="C288" s="120" t="s">
        <v>201</v>
      </c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6"/>
    </row>
    <row r="289" spans="1:16" ht="16.5" customHeight="1" thickTop="1" x14ac:dyDescent="0.25">
      <c r="A289" s="124" t="s">
        <v>202</v>
      </c>
      <c r="B289" s="118" t="e">
        <f>2*VLOOKUP(B237,'Gebouwgegevens Allacker'!$A$35:$F$46,6,0)*B286*B287*B288</f>
        <v>#N/A</v>
      </c>
      <c r="C289" s="118" t="s">
        <v>203</v>
      </c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6"/>
    </row>
    <row r="290" spans="1:16" ht="15.75" customHeight="1" x14ac:dyDescent="0.25">
      <c r="A290" s="95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6"/>
    </row>
    <row r="291" spans="1:16" ht="15" customHeight="1" x14ac:dyDescent="0.25">
      <c r="A291" s="126" t="s">
        <v>204</v>
      </c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6"/>
    </row>
    <row r="292" spans="1:16" ht="15.75" customHeight="1" x14ac:dyDescent="0.25">
      <c r="A292" s="95" t="s">
        <v>180</v>
      </c>
      <c r="B292" s="98" t="e">
        <f>VLOOKUP(B237,'Gebouwgegevens Allacker'!$A$35:$F$46,6,0)</f>
        <v>#N/A</v>
      </c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6"/>
    </row>
    <row r="293" spans="1:16" ht="16.5" customHeight="1" x14ac:dyDescent="0.25">
      <c r="A293" s="124" t="s">
        <v>205</v>
      </c>
      <c r="B293" s="128">
        <v>50</v>
      </c>
      <c r="C293" s="118" t="s">
        <v>203</v>
      </c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6"/>
    </row>
    <row r="294" spans="1:16" ht="15.75" customHeight="1" x14ac:dyDescent="0.25">
      <c r="A294" s="95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6"/>
    </row>
    <row r="295" spans="1:16" ht="15.75" customHeight="1" x14ac:dyDescent="0.25">
      <c r="A295" s="95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6"/>
    </row>
    <row r="296" spans="1:16" ht="16.5" customHeight="1" x14ac:dyDescent="0.25">
      <c r="A296" s="124" t="s">
        <v>207</v>
      </c>
      <c r="B296" s="118" t="e">
        <f>MAX(B289,B293)</f>
        <v>#N/A</v>
      </c>
      <c r="C296" s="118" t="s">
        <v>203</v>
      </c>
      <c r="D296" s="98"/>
      <c r="E296" s="98"/>
      <c r="F296" s="118" t="s">
        <v>208</v>
      </c>
      <c r="G296" s="118" t="e">
        <f>B296/VLOOKUP(B237,'Gebouwgegevens Allacker'!$A$35:$B$46,2,0)</f>
        <v>#N/A</v>
      </c>
      <c r="H296" s="98"/>
      <c r="I296" s="98"/>
      <c r="J296" s="98"/>
      <c r="K296" s="98"/>
      <c r="L296" s="98"/>
      <c r="M296" s="98"/>
      <c r="N296" s="98"/>
      <c r="O296" s="98"/>
      <c r="P296" s="96"/>
    </row>
    <row r="297" spans="1:16" ht="16.5" customHeight="1" x14ac:dyDescent="0.25">
      <c r="A297" s="95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6"/>
    </row>
    <row r="298" spans="1:16" ht="16.5" customHeight="1" x14ac:dyDescent="0.25">
      <c r="A298" s="124" t="s">
        <v>209</v>
      </c>
      <c r="B298" s="118" t="e">
        <f>0.34*B296</f>
        <v>#N/A</v>
      </c>
      <c r="C298" s="118" t="s">
        <v>107</v>
      </c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6"/>
    </row>
    <row r="299" spans="1:16" ht="16.5" customHeight="1" x14ac:dyDescent="0.25">
      <c r="A299" s="124" t="s">
        <v>167</v>
      </c>
      <c r="B299" s="118" t="e">
        <f>B298*('Gebouwgegevens Allacker'!E259-$B$4)</f>
        <v>#N/A</v>
      </c>
      <c r="C299" s="118" t="s">
        <v>169</v>
      </c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6"/>
    </row>
    <row r="300" spans="1:16" ht="15.75" customHeight="1" thickBot="1" x14ac:dyDescent="0.3">
      <c r="A300" s="109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1"/>
    </row>
    <row r="301" spans="1:16" ht="15.75" customHeight="1" thickTop="1" x14ac:dyDescent="0.25">
      <c r="A301" s="343" t="s">
        <v>210</v>
      </c>
      <c r="B301" s="343"/>
      <c r="C301" s="343"/>
      <c r="D301" s="343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6"/>
    </row>
    <row r="302" spans="1:16" ht="15" customHeight="1" thickBot="1" x14ac:dyDescent="0.3">
      <c r="A302" s="95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6"/>
    </row>
    <row r="303" spans="1:16" ht="15" customHeight="1" thickTop="1" thickBot="1" x14ac:dyDescent="0.3">
      <c r="A303" s="127" t="s">
        <v>211</v>
      </c>
      <c r="B303" s="121">
        <v>90</v>
      </c>
      <c r="C303" s="58" t="s">
        <v>232</v>
      </c>
      <c r="D303" s="5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6"/>
    </row>
    <row r="304" spans="1:16" ht="15.75" customHeight="1" thickTop="1" x14ac:dyDescent="0.25">
      <c r="A304" s="3" t="s">
        <v>113</v>
      </c>
      <c r="B304" s="58" t="e">
        <f>VLOOKUP(B237,'Gebouwgegevens Allacker'!$A$35:$F$46,6,0)</f>
        <v>#N/A</v>
      </c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6"/>
    </row>
    <row r="305" spans="1:16" ht="16.5" customHeight="1" x14ac:dyDescent="0.25">
      <c r="A305" s="124" t="s">
        <v>213</v>
      </c>
      <c r="B305" s="118" t="e">
        <f>B306/('Gebouwgegevens Allacker'!E259-'Verwarming Tabula 2zone RefULG1'!$B$4)</f>
        <v>#N/A</v>
      </c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6"/>
    </row>
    <row r="306" spans="1:16" ht="16.5" customHeight="1" x14ac:dyDescent="0.25">
      <c r="A306" s="124" t="s">
        <v>167</v>
      </c>
      <c r="B306" s="118" t="e">
        <f>B303*B304</f>
        <v>#N/A</v>
      </c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6"/>
    </row>
    <row r="307" spans="1:16" ht="15.75" customHeight="1" x14ac:dyDescent="0.25">
      <c r="A307" s="95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6"/>
    </row>
    <row r="308" spans="1:16" ht="15.75" customHeight="1" thickBot="1" x14ac:dyDescent="0.3">
      <c r="A308" s="95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6"/>
    </row>
    <row r="309" spans="1:16" ht="15.75" customHeight="1" thickTop="1" thickBot="1" x14ac:dyDescent="0.3">
      <c r="A309" s="129" t="s">
        <v>214</v>
      </c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1"/>
    </row>
    <row r="310" spans="1:16" ht="16.5" customHeight="1" thickTop="1" x14ac:dyDescent="0.25">
      <c r="A310" s="124" t="s">
        <v>215</v>
      </c>
      <c r="B310" s="118" t="e">
        <f>SUM(B280,B298,B305)</f>
        <v>#N/A</v>
      </c>
      <c r="C310" s="118" t="s">
        <v>107</v>
      </c>
      <c r="D310" s="132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3"/>
    </row>
    <row r="311" spans="1:16" ht="16.5" customHeight="1" x14ac:dyDescent="0.25">
      <c r="A311" s="124" t="s">
        <v>167</v>
      </c>
      <c r="B311" s="118" t="e">
        <f>SUM(B281,B299,B306)</f>
        <v>#N/A</v>
      </c>
      <c r="C311" s="118" t="s">
        <v>169</v>
      </c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3"/>
    </row>
    <row r="312" spans="1:16" ht="16.5" customHeight="1" thickBot="1" x14ac:dyDescent="0.3">
      <c r="A312" s="134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6"/>
    </row>
    <row r="313" spans="1:16" ht="15" customHeight="1" thickTop="1" x14ac:dyDescent="0.25">
      <c r="A313" s="137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</row>
    <row r="314" spans="1:16" ht="15.75" customHeight="1" thickBot="1" x14ac:dyDescent="0.3">
      <c r="A314" s="137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</row>
    <row r="315" spans="1:16" ht="15" customHeight="1" thickTop="1" thickBot="1" x14ac:dyDescent="0.3">
      <c r="A315" s="93"/>
      <c r="B315" s="328"/>
      <c r="C315" s="328"/>
      <c r="D315" s="328"/>
      <c r="E315" s="328"/>
      <c r="F315" s="328"/>
      <c r="G315" s="328"/>
      <c r="H315" s="328"/>
      <c r="I315" s="328"/>
      <c r="J315" s="328"/>
      <c r="K315" s="328"/>
      <c r="L315" s="328"/>
      <c r="M315" s="328"/>
      <c r="N315" s="328"/>
      <c r="O315" s="328"/>
      <c r="P315" s="94"/>
    </row>
    <row r="316" spans="1:16" ht="17.25" customHeight="1" thickTop="1" thickBot="1" x14ac:dyDescent="0.35">
      <c r="A316" s="97" t="s">
        <v>166</v>
      </c>
      <c r="B316" s="92">
        <v>5</v>
      </c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6"/>
    </row>
    <row r="317" spans="1:16" ht="15.75" customHeight="1" thickTop="1" x14ac:dyDescent="0.25">
      <c r="A317" s="343" t="s">
        <v>168</v>
      </c>
      <c r="B317" s="343"/>
      <c r="C317" s="343"/>
      <c r="D317" s="343"/>
      <c r="E317" s="328"/>
      <c r="F317" s="328"/>
      <c r="G317" s="328"/>
      <c r="H317" s="328"/>
      <c r="I317" s="328"/>
      <c r="J317" s="328"/>
      <c r="K317" s="328"/>
      <c r="L317" s="328"/>
      <c r="M317" s="328"/>
      <c r="N317" s="328"/>
      <c r="O317" s="328"/>
      <c r="P317" s="94"/>
    </row>
    <row r="318" spans="1:16" ht="15" customHeight="1" x14ac:dyDescent="0.25">
      <c r="A318" s="95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6"/>
    </row>
    <row r="319" spans="1:16" ht="15" customHeight="1" x14ac:dyDescent="0.25">
      <c r="A319" s="103" t="s">
        <v>170</v>
      </c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6"/>
    </row>
    <row r="320" spans="1:16" ht="15" customHeight="1" x14ac:dyDescent="0.25">
      <c r="A320" s="95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6"/>
    </row>
    <row r="321" spans="1:16" ht="15.75" customHeight="1" thickBot="1" x14ac:dyDescent="0.3">
      <c r="A321" s="95"/>
      <c r="B321" s="104" t="s">
        <v>10</v>
      </c>
      <c r="C321" s="104" t="s">
        <v>171</v>
      </c>
      <c r="D321" s="104" t="s">
        <v>172</v>
      </c>
      <c r="E321" s="104" t="s">
        <v>173</v>
      </c>
      <c r="F321" s="104" t="s">
        <v>174</v>
      </c>
      <c r="G321" s="104" t="s">
        <v>16</v>
      </c>
      <c r="H321" s="105" t="s">
        <v>17</v>
      </c>
      <c r="I321" s="105" t="s">
        <v>175</v>
      </c>
      <c r="J321" s="98"/>
      <c r="K321" s="98"/>
      <c r="L321" s="98"/>
      <c r="M321" s="98"/>
      <c r="N321" s="98"/>
      <c r="O321" s="98"/>
      <c r="P321" s="96"/>
    </row>
    <row r="322" spans="1:16" ht="16.5" customHeight="1" thickTop="1" thickBot="1" x14ac:dyDescent="0.3">
      <c r="A322" s="95"/>
      <c r="B322" s="106" t="s">
        <v>84</v>
      </c>
      <c r="C322" s="107">
        <f>VLOOKUP(B322,'Gebouwgegevens Allacker'!$J$5:$Q$83,3,0)</f>
        <v>3</v>
      </c>
      <c r="D322" s="107" t="str">
        <f>VLOOKUP(B322,'Gebouwgegevens Allacker'!$J$5:$Q$83,4,0)</f>
        <v>Window</v>
      </c>
      <c r="E322" s="107">
        <f>VLOOKUP(B322,'Gebouwgegevens Allacker'!$J$5:$Q$83,5,0)</f>
        <v>0</v>
      </c>
      <c r="F322" s="107" t="str">
        <f>VLOOKUP(B322,'Gebouwgegevens Allacker'!$J$5:$Q$83,6,0)</f>
        <v>front</v>
      </c>
      <c r="G322" s="107">
        <f>VLOOKUP(B322,'Gebouwgegevens Allacker'!$J$5:$Q$83,7,0)</f>
        <v>5</v>
      </c>
      <c r="H322" s="108">
        <f>VLOOKUP(B322,'Gebouwgegevens Allacker'!$J$5:$Q$83,8,0)</f>
        <v>0</v>
      </c>
      <c r="I322" s="108">
        <v>1</v>
      </c>
      <c r="J322" s="98"/>
      <c r="K322" s="98"/>
      <c r="L322" s="98"/>
      <c r="M322" s="98"/>
      <c r="N322" s="98"/>
      <c r="O322" s="98"/>
      <c r="P322" s="96"/>
    </row>
    <row r="323" spans="1:16" ht="16.5" customHeight="1" thickTop="1" thickBot="1" x14ac:dyDescent="0.3">
      <c r="A323" s="95"/>
      <c r="B323" s="106" t="s">
        <v>87</v>
      </c>
      <c r="C323" s="107">
        <f>VLOOKUP(B323,'Gebouwgegevens Allacker'!$J$5:$Q$83,3,0)</f>
        <v>3</v>
      </c>
      <c r="D323" s="107" t="str">
        <f>VLOOKUP(B323,'Gebouwgegevens Allacker'!$J$5:$Q$83,4,0)</f>
        <v>Window</v>
      </c>
      <c r="E323" s="107">
        <f>VLOOKUP(B323,'Gebouwgegevens Allacker'!$J$5:$Q$83,5,0)</f>
        <v>2</v>
      </c>
      <c r="F323" s="107" t="str">
        <f>VLOOKUP(B323,'Gebouwgegevens Allacker'!$J$5:$Q$83,6,0)</f>
        <v>right</v>
      </c>
      <c r="G323" s="107">
        <f>VLOOKUP(B323,'Gebouwgegevens Allacker'!$J$5:$Q$83,7,0)</f>
        <v>5</v>
      </c>
      <c r="H323" s="108">
        <f>VLOOKUP(B323,'Gebouwgegevens Allacker'!$J$5:$Q$83,8,0)</f>
        <v>10</v>
      </c>
      <c r="I323" s="108">
        <v>1</v>
      </c>
      <c r="J323" s="98"/>
      <c r="K323" s="98"/>
      <c r="L323" s="98"/>
      <c r="M323" s="98"/>
      <c r="N323" s="98"/>
      <c r="O323" s="98"/>
      <c r="P323" s="96"/>
    </row>
    <row r="324" spans="1:16" ht="16.5" customHeight="1" thickTop="1" thickBot="1" x14ac:dyDescent="0.3">
      <c r="A324" s="95"/>
      <c r="B324" s="106" t="s">
        <v>89</v>
      </c>
      <c r="C324" s="107">
        <f>VLOOKUP(B324,'Gebouwgegevens Allacker'!$J$5:$Q$83,3,0)</f>
        <v>3</v>
      </c>
      <c r="D324" s="107" t="str">
        <f>VLOOKUP(B324,'Gebouwgegevens Allacker'!$J$5:$Q$83,4,0)</f>
        <v>Window</v>
      </c>
      <c r="E324" s="107">
        <f>VLOOKUP(B324,'Gebouwgegevens Allacker'!$J$5:$Q$83,5,0)</f>
        <v>0</v>
      </c>
      <c r="F324" s="107" t="str">
        <f>VLOOKUP(B324,'Gebouwgegevens Allacker'!$J$5:$Q$83,6,0)</f>
        <v>back</v>
      </c>
      <c r="G324" s="107">
        <f>VLOOKUP(B324,'Gebouwgegevens Allacker'!$J$5:$Q$83,7,0)</f>
        <v>5</v>
      </c>
      <c r="H324" s="108">
        <f>VLOOKUP(B324,'Gebouwgegevens Allacker'!$J$5:$Q$83,8,0)</f>
        <v>0</v>
      </c>
      <c r="I324" s="108">
        <v>1</v>
      </c>
      <c r="J324" s="98"/>
      <c r="K324" s="98"/>
      <c r="L324" s="98"/>
      <c r="M324" s="98"/>
      <c r="N324" s="98"/>
      <c r="O324" s="98"/>
      <c r="P324" s="96"/>
    </row>
    <row r="325" spans="1:16" ht="16.5" customHeight="1" thickTop="1" thickBot="1" x14ac:dyDescent="0.3">
      <c r="A325" s="95"/>
      <c r="B325" s="106" t="s">
        <v>92</v>
      </c>
      <c r="C325" s="107">
        <f>VLOOKUP(B325,'Gebouwgegevens Allacker'!$J$5:$Q$83,3,0)</f>
        <v>3</v>
      </c>
      <c r="D325" s="107" t="str">
        <f>VLOOKUP(B325,'Gebouwgegevens Allacker'!$J$5:$Q$83,4,0)</f>
        <v>Window</v>
      </c>
      <c r="E325" s="107">
        <f>VLOOKUP(B325,'Gebouwgegevens Allacker'!$J$5:$Q$83,5,0)</f>
        <v>0</v>
      </c>
      <c r="F325" s="107" t="str">
        <f>VLOOKUP(B325,'Gebouwgegevens Allacker'!$J$5:$Q$83,6,0)</f>
        <v>left</v>
      </c>
      <c r="G325" s="107">
        <f>VLOOKUP(B325,'Gebouwgegevens Allacker'!$J$5:$Q$83,7,0)</f>
        <v>5</v>
      </c>
      <c r="H325" s="108">
        <f>VLOOKUP(B325,'Gebouwgegevens Allacker'!$J$5:$Q$83,8,0)</f>
        <v>0</v>
      </c>
      <c r="I325" s="108">
        <v>1</v>
      </c>
      <c r="J325" s="98"/>
      <c r="K325" s="98"/>
      <c r="L325" s="98"/>
      <c r="M325" s="98"/>
      <c r="N325" s="98"/>
      <c r="O325" s="98"/>
      <c r="P325" s="96"/>
    </row>
    <row r="326" spans="1:16" ht="16.5" customHeight="1" thickTop="1" thickBot="1" x14ac:dyDescent="0.3">
      <c r="A326" s="95"/>
      <c r="B326" s="106"/>
      <c r="C326" s="107"/>
      <c r="D326" s="107"/>
      <c r="E326" s="107"/>
      <c r="F326" s="107"/>
      <c r="G326" s="107"/>
      <c r="H326" s="108"/>
      <c r="I326" s="108"/>
      <c r="J326" s="98"/>
      <c r="K326" s="98"/>
      <c r="L326" s="98"/>
      <c r="M326" s="98"/>
      <c r="N326" s="98"/>
      <c r="O326" s="98"/>
      <c r="P326" s="96"/>
    </row>
    <row r="327" spans="1:16" ht="16.5" customHeight="1" thickTop="1" thickBot="1" x14ac:dyDescent="0.3">
      <c r="A327" s="95"/>
      <c r="B327" s="106"/>
      <c r="C327" s="107"/>
      <c r="D327" s="107"/>
      <c r="E327" s="107"/>
      <c r="F327" s="107"/>
      <c r="G327" s="107"/>
      <c r="H327" s="108"/>
      <c r="I327" s="108"/>
      <c r="J327" s="98"/>
      <c r="K327" s="98"/>
      <c r="L327" s="98"/>
      <c r="M327" s="98"/>
      <c r="N327" s="98"/>
      <c r="O327" s="98"/>
      <c r="P327" s="96"/>
    </row>
    <row r="328" spans="1:16" ht="16.5" customHeight="1" thickTop="1" thickBot="1" x14ac:dyDescent="0.3">
      <c r="A328" s="95"/>
      <c r="B328" s="106"/>
      <c r="C328" s="107"/>
      <c r="D328" s="107"/>
      <c r="E328" s="107"/>
      <c r="F328" s="107"/>
      <c r="G328" s="107"/>
      <c r="H328" s="108"/>
      <c r="I328" s="108"/>
      <c r="J328" s="98"/>
      <c r="K328" s="98"/>
      <c r="L328" s="98"/>
      <c r="M328" s="98"/>
      <c r="N328" s="98"/>
      <c r="O328" s="98"/>
      <c r="P328" s="96"/>
    </row>
    <row r="329" spans="1:16" ht="16.5" customHeight="1" thickTop="1" thickBot="1" x14ac:dyDescent="0.3">
      <c r="A329" s="95"/>
      <c r="B329" s="106"/>
      <c r="C329" s="107"/>
      <c r="D329" s="107"/>
      <c r="E329" s="107"/>
      <c r="F329" s="107"/>
      <c r="G329" s="107"/>
      <c r="H329" s="108"/>
      <c r="I329" s="108"/>
      <c r="J329" s="98"/>
      <c r="K329" s="98"/>
      <c r="L329" s="98"/>
      <c r="M329" s="98"/>
      <c r="N329" s="98"/>
      <c r="O329" s="98"/>
      <c r="P329" s="96"/>
    </row>
    <row r="330" spans="1:16" ht="16.5" customHeight="1" thickTop="1" thickBot="1" x14ac:dyDescent="0.3">
      <c r="A330" s="95"/>
      <c r="B330" s="106"/>
      <c r="C330" s="107"/>
      <c r="D330" s="107"/>
      <c r="E330" s="107"/>
      <c r="F330" s="107"/>
      <c r="G330" s="107"/>
      <c r="H330" s="108"/>
      <c r="I330" s="108"/>
      <c r="J330" s="98"/>
      <c r="K330" s="98"/>
      <c r="L330" s="98"/>
      <c r="M330" s="98"/>
      <c r="N330" s="98"/>
      <c r="O330" s="98"/>
      <c r="P330" s="96"/>
    </row>
    <row r="331" spans="1:16" ht="16.5" customHeight="1" thickTop="1" thickBot="1" x14ac:dyDescent="0.3">
      <c r="A331" s="95"/>
      <c r="B331" s="106"/>
      <c r="C331" s="107"/>
      <c r="D331" s="107"/>
      <c r="E331" s="107"/>
      <c r="F331" s="107"/>
      <c r="G331" s="107"/>
      <c r="H331" s="108"/>
      <c r="I331" s="108"/>
      <c r="J331" s="98"/>
      <c r="K331" s="98"/>
      <c r="L331" s="98"/>
      <c r="M331" s="98"/>
      <c r="N331" s="98"/>
      <c r="O331" s="98"/>
      <c r="P331" s="96"/>
    </row>
    <row r="332" spans="1:16" ht="16.5" customHeight="1" thickTop="1" thickBot="1" x14ac:dyDescent="0.3">
      <c r="A332" s="95"/>
      <c r="B332" s="106"/>
      <c r="C332" s="107"/>
      <c r="D332" s="107"/>
      <c r="E332" s="107"/>
      <c r="F332" s="107"/>
      <c r="G332" s="107"/>
      <c r="H332" s="108"/>
      <c r="I332" s="108"/>
      <c r="J332" s="98"/>
      <c r="K332" s="98"/>
      <c r="L332" s="98"/>
      <c r="M332" s="98"/>
      <c r="N332" s="98"/>
      <c r="O332" s="98"/>
      <c r="P332" s="96"/>
    </row>
    <row r="333" spans="1:16" ht="16.5" customHeight="1" thickTop="1" thickBot="1" x14ac:dyDescent="0.3">
      <c r="A333" s="95"/>
      <c r="B333" s="106"/>
      <c r="C333" s="107"/>
      <c r="D333" s="107"/>
      <c r="E333" s="107"/>
      <c r="F333" s="107"/>
      <c r="G333" s="107"/>
      <c r="H333" s="108"/>
      <c r="I333" s="108"/>
      <c r="J333" s="98"/>
      <c r="K333" s="98"/>
      <c r="L333" s="98"/>
      <c r="M333" s="98"/>
      <c r="N333" s="98"/>
      <c r="O333" s="98"/>
      <c r="P333" s="96"/>
    </row>
    <row r="334" spans="1:16" ht="15.75" customHeight="1" thickTop="1" x14ac:dyDescent="0.25">
      <c r="A334" s="95"/>
      <c r="B334" s="58"/>
      <c r="C334" s="58"/>
      <c r="D334" s="58"/>
      <c r="E334" s="58"/>
      <c r="F334" s="58"/>
      <c r="G334" s="114"/>
      <c r="H334" s="58"/>
      <c r="I334" s="58"/>
      <c r="J334" s="98"/>
      <c r="K334" s="98"/>
      <c r="L334" s="98"/>
      <c r="M334" s="98"/>
      <c r="N334" s="98"/>
      <c r="O334" s="98"/>
      <c r="P334" s="96"/>
    </row>
    <row r="335" spans="1:16" ht="15" customHeight="1" x14ac:dyDescent="0.25">
      <c r="A335" s="95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6"/>
    </row>
    <row r="336" spans="1:16" ht="15" customHeight="1" x14ac:dyDescent="0.25">
      <c r="A336" s="103" t="s">
        <v>177</v>
      </c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6"/>
    </row>
    <row r="337" spans="1:16" ht="15.75" customHeight="1" x14ac:dyDescent="0.25">
      <c r="A337" s="95"/>
      <c r="B337" s="58" t="s">
        <v>10</v>
      </c>
      <c r="C337" s="58" t="s">
        <v>178</v>
      </c>
      <c r="D337" s="58" t="s">
        <v>172</v>
      </c>
      <c r="E337" s="58" t="s">
        <v>179</v>
      </c>
      <c r="F337" s="58" t="s">
        <v>16</v>
      </c>
      <c r="G337" s="114" t="s">
        <v>17</v>
      </c>
      <c r="H337" s="114" t="s">
        <v>175</v>
      </c>
      <c r="I337" s="58" t="s">
        <v>180</v>
      </c>
      <c r="J337" s="58" t="s">
        <v>181</v>
      </c>
      <c r="K337" s="58" t="s">
        <v>182</v>
      </c>
      <c r="L337" s="115" t="s">
        <v>183</v>
      </c>
      <c r="M337" s="115" t="s">
        <v>184</v>
      </c>
      <c r="N337" s="115" t="s">
        <v>185</v>
      </c>
      <c r="O337" s="98"/>
      <c r="P337" s="96"/>
    </row>
    <row r="338" spans="1:16" ht="16.5" customHeight="1" thickBot="1" x14ac:dyDescent="0.3">
      <c r="A338" s="95"/>
      <c r="B338" s="116"/>
      <c r="C338" s="117"/>
      <c r="D338" s="117"/>
      <c r="E338" s="117"/>
      <c r="F338" s="117"/>
      <c r="G338" s="118"/>
      <c r="H338" s="118"/>
      <c r="I338" s="117"/>
      <c r="J338" s="116"/>
      <c r="K338" s="116"/>
      <c r="L338" s="119"/>
      <c r="M338" s="119"/>
      <c r="N338" s="120"/>
      <c r="O338" s="98"/>
      <c r="P338" s="96"/>
    </row>
    <row r="339" spans="1:16" ht="16.5" customHeight="1" thickTop="1" thickBot="1" x14ac:dyDescent="0.3">
      <c r="A339" s="95"/>
      <c r="B339" s="116"/>
      <c r="C339" s="117"/>
      <c r="D339" s="117"/>
      <c r="E339" s="117"/>
      <c r="F339" s="117"/>
      <c r="G339" s="118"/>
      <c r="H339" s="118"/>
      <c r="I339" s="117"/>
      <c r="J339" s="116"/>
      <c r="K339" s="116"/>
      <c r="L339" s="119"/>
      <c r="M339" s="119"/>
      <c r="N339" s="120"/>
      <c r="O339" s="98"/>
      <c r="P339" s="96"/>
    </row>
    <row r="340" spans="1:16" ht="16.5" customHeight="1" thickTop="1" thickBot="1" x14ac:dyDescent="0.3">
      <c r="A340" s="95"/>
      <c r="B340" s="116"/>
      <c r="C340" s="117"/>
      <c r="D340" s="117"/>
      <c r="E340" s="117"/>
      <c r="F340" s="117"/>
      <c r="G340" s="118"/>
      <c r="H340" s="118"/>
      <c r="I340" s="117"/>
      <c r="J340" s="116"/>
      <c r="K340" s="116"/>
      <c r="L340" s="119"/>
      <c r="M340" s="119"/>
      <c r="N340" s="120"/>
      <c r="O340" s="98"/>
      <c r="P340" s="96"/>
    </row>
    <row r="341" spans="1:16" ht="16.5" customHeight="1" thickTop="1" thickBot="1" x14ac:dyDescent="0.3">
      <c r="A341" s="95"/>
      <c r="B341" s="116"/>
      <c r="C341" s="117"/>
      <c r="D341" s="117"/>
      <c r="E341" s="117"/>
      <c r="F341" s="117"/>
      <c r="G341" s="118"/>
      <c r="H341" s="118"/>
      <c r="I341" s="117"/>
      <c r="J341" s="116"/>
      <c r="K341" s="116"/>
      <c r="L341" s="119"/>
      <c r="M341" s="119"/>
      <c r="N341" s="120"/>
      <c r="O341" s="98"/>
      <c r="P341" s="96"/>
    </row>
    <row r="342" spans="1:16" ht="16.5" customHeight="1" thickTop="1" thickBot="1" x14ac:dyDescent="0.3">
      <c r="A342" s="138"/>
      <c r="B342" s="116"/>
      <c r="C342" s="117"/>
      <c r="D342" s="117"/>
      <c r="E342" s="117"/>
      <c r="F342" s="117"/>
      <c r="G342" s="118"/>
      <c r="H342" s="118"/>
      <c r="I342" s="117"/>
      <c r="J342" s="116"/>
      <c r="K342" s="116"/>
      <c r="L342" s="119"/>
      <c r="M342" s="119"/>
      <c r="N342" s="120"/>
      <c r="O342" s="98"/>
      <c r="P342" s="96"/>
    </row>
    <row r="343" spans="1:16" ht="15.75" customHeight="1" thickTop="1" x14ac:dyDescent="0.25">
      <c r="A343" s="95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6"/>
    </row>
    <row r="344" spans="1:16" ht="15" customHeight="1" x14ac:dyDescent="0.25">
      <c r="A344" s="103" t="s">
        <v>186</v>
      </c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6"/>
    </row>
    <row r="345" spans="1:16" ht="15.75" customHeight="1" thickBot="1" x14ac:dyDescent="0.3">
      <c r="A345" s="95"/>
      <c r="B345" s="58" t="s">
        <v>10</v>
      </c>
      <c r="C345" s="58" t="s">
        <v>187</v>
      </c>
      <c r="D345" s="58" t="s">
        <v>188</v>
      </c>
      <c r="E345" s="58" t="s">
        <v>135</v>
      </c>
      <c r="F345" s="58" t="s">
        <v>189</v>
      </c>
      <c r="G345" s="58" t="s">
        <v>190</v>
      </c>
      <c r="H345" s="58" t="s">
        <v>191</v>
      </c>
      <c r="I345" s="58" t="s">
        <v>16</v>
      </c>
      <c r="J345" s="114" t="s">
        <v>17</v>
      </c>
      <c r="K345" s="114" t="s">
        <v>175</v>
      </c>
      <c r="L345" s="98"/>
      <c r="M345" s="98"/>
      <c r="N345" s="98"/>
      <c r="O345" s="98"/>
      <c r="P345" s="96"/>
    </row>
    <row r="346" spans="1:16" ht="16.5" customHeight="1" thickTop="1" thickBot="1" x14ac:dyDescent="0.3">
      <c r="A346" s="95"/>
      <c r="B346" s="121" t="s">
        <v>228</v>
      </c>
      <c r="C346" s="122" t="e">
        <f>IF(VLOOKUP(B346,'Gebouwgegevens Allacker'!$J$5:$Q$83,2,0)=$B$316,VLOOKUP(B346,'Gebouwgegevens Allacker'!$J$5:$Q$83,2,0),VLOOKUP(B346,'Gebouwgegevens Allacker'!$J$5:$Q$83,3,0))</f>
        <v>#N/A</v>
      </c>
      <c r="D346" s="122" t="e">
        <f>IF(VLOOKUP(B346,'Gebouwgegevens Allacker'!$J$5:$Q$83,2,0)=$B$316,VLOOKUP(B346,'Gebouwgegevens Allacker'!$J$5:$Q$83,3,0),VLOOKUP(B346,'Gebouwgegevens Allacker'!$J$5:$Q$83,2,0))</f>
        <v>#N/A</v>
      </c>
      <c r="E346" s="122" t="e">
        <f>VLOOKUP(B346,'Gebouwgegevens Allacker'!$J$5:$Q$83,4,0)</f>
        <v>#N/A</v>
      </c>
      <c r="F346" s="122" t="e">
        <f>VLOOKUP(B346,'Gebouwgegevens Allacker'!$J$5:$Q$83,5,0)</f>
        <v>#N/A</v>
      </c>
      <c r="G346" s="122" t="e">
        <f>VLOOKUP('Verwarming Tabula 2zone RefULG1'!C346,'Gebouwgegevens Allacker'!$A$35:$F$46,5,0)</f>
        <v>#N/A</v>
      </c>
      <c r="H346" s="122" t="e">
        <f>VLOOKUP('Verwarming Tabula 2zone RefULG1'!D346,'Gebouwgegevens Allacker'!$A$35:$F$46,5,0)</f>
        <v>#N/A</v>
      </c>
      <c r="I346" s="122" t="e">
        <f>VLOOKUP(B346,'Gebouwgegevens Allacker'!$J$5:$Q$83,7,0)</f>
        <v>#N/A</v>
      </c>
      <c r="J346" s="118" t="e">
        <f>VLOOKUP(B346,'Gebouwgegevens Allacker'!$J$5:$Q$83,8,0)</f>
        <v>#N/A</v>
      </c>
      <c r="K346" s="118" t="e">
        <f>(G346-H346)/(G346-$B$4)</f>
        <v>#N/A</v>
      </c>
      <c r="L346" s="98"/>
      <c r="M346" s="98"/>
      <c r="N346" s="98"/>
      <c r="O346" s="98"/>
      <c r="P346" s="96"/>
    </row>
    <row r="347" spans="1:16" ht="16.5" customHeight="1" thickTop="1" thickBot="1" x14ac:dyDescent="0.3">
      <c r="A347" s="95"/>
      <c r="B347" s="121" t="s">
        <v>233</v>
      </c>
      <c r="C347" s="122" t="e">
        <f>IF(VLOOKUP(B347,'Gebouwgegevens Allacker'!$J$5:$Q$83,2,0)=$B$316,VLOOKUP(B347,'Gebouwgegevens Allacker'!$J$5:$Q$83,2,0),VLOOKUP(B347,'Gebouwgegevens Allacker'!$J$5:$Q$83,3,0))</f>
        <v>#N/A</v>
      </c>
      <c r="D347" s="122" t="e">
        <f>IF(VLOOKUP(B347,'Gebouwgegevens Allacker'!$J$5:$Q$83,2,0)=$B$316,VLOOKUP(B347,'Gebouwgegevens Allacker'!$J$5:$Q$83,3,0),VLOOKUP(B347,'Gebouwgegevens Allacker'!$J$5:$Q$83,2,0))</f>
        <v>#N/A</v>
      </c>
      <c r="E347" s="122" t="e">
        <f>VLOOKUP(B347,'Gebouwgegevens Allacker'!$J$5:$Q$83,4,0)</f>
        <v>#N/A</v>
      </c>
      <c r="F347" s="122" t="e">
        <f>VLOOKUP(B347,'Gebouwgegevens Allacker'!$J$5:$Q$83,5,0)</f>
        <v>#N/A</v>
      </c>
      <c r="G347" s="122" t="e">
        <f>VLOOKUP('Verwarming Tabula 2zone RefULG1'!C347,'Gebouwgegevens Allacker'!$A$35:$F$46,5,0)</f>
        <v>#N/A</v>
      </c>
      <c r="H347" s="122" t="e">
        <f>VLOOKUP('Verwarming Tabula 2zone RefULG1'!D347,'Gebouwgegevens Allacker'!$A$35:$F$46,5,0)</f>
        <v>#N/A</v>
      </c>
      <c r="I347" s="122" t="e">
        <f>VLOOKUP(B347,'Gebouwgegevens Allacker'!$J$5:$Q$83,7,0)</f>
        <v>#N/A</v>
      </c>
      <c r="J347" s="118" t="e">
        <f>VLOOKUP(B347,'Gebouwgegevens Allacker'!$J$5:$Q$83,8,0)</f>
        <v>#N/A</v>
      </c>
      <c r="K347" s="118" t="e">
        <f>(G347-H347)/(G347-$B$4)</f>
        <v>#N/A</v>
      </c>
      <c r="L347" s="98"/>
      <c r="M347" s="98"/>
      <c r="N347" s="98"/>
      <c r="O347" s="98"/>
      <c r="P347" s="96"/>
    </row>
    <row r="348" spans="1:16" ht="16.5" customHeight="1" thickTop="1" thickBot="1" x14ac:dyDescent="0.3">
      <c r="A348" s="95"/>
      <c r="B348" s="121" t="s">
        <v>234</v>
      </c>
      <c r="C348" s="122" t="e">
        <f>IF(VLOOKUP(B348,'Gebouwgegevens Allacker'!$J$5:$Q$83,2,0)=$B$316,VLOOKUP(B348,'Gebouwgegevens Allacker'!$J$5:$Q$83,2,0),VLOOKUP(B348,'Gebouwgegevens Allacker'!$J$5:$Q$83,3,0))</f>
        <v>#N/A</v>
      </c>
      <c r="D348" s="122" t="e">
        <f>IF(VLOOKUP(B348,'Gebouwgegevens Allacker'!$J$5:$Q$83,2,0)=$B$316,VLOOKUP(B348,'Gebouwgegevens Allacker'!$J$5:$Q$83,3,0),VLOOKUP(B348,'Gebouwgegevens Allacker'!$J$5:$Q$83,2,0))</f>
        <v>#N/A</v>
      </c>
      <c r="E348" s="122" t="e">
        <f>VLOOKUP(B348,'Gebouwgegevens Allacker'!$J$5:$Q$83,4,0)</f>
        <v>#N/A</v>
      </c>
      <c r="F348" s="122" t="e">
        <f>VLOOKUP(B348,'Gebouwgegevens Allacker'!$J$5:$Q$83,5,0)</f>
        <v>#N/A</v>
      </c>
      <c r="G348" s="122" t="e">
        <f>VLOOKUP('Verwarming Tabula 2zone RefULG1'!C348,'Gebouwgegevens Allacker'!$A$35:$F$46,5,0)</f>
        <v>#N/A</v>
      </c>
      <c r="H348" s="122" t="e">
        <f>VLOOKUP('Verwarming Tabula 2zone RefULG1'!D348,'Gebouwgegevens Allacker'!$A$35:$F$46,5,0)</f>
        <v>#N/A</v>
      </c>
      <c r="I348" s="122" t="e">
        <f>VLOOKUP(B348,'Gebouwgegevens Allacker'!$J$5:$Q$83,7,0)</f>
        <v>#N/A</v>
      </c>
      <c r="J348" s="118" t="e">
        <f>VLOOKUP(B348,'Gebouwgegevens Allacker'!$J$5:$Q$83,8,0)</f>
        <v>#N/A</v>
      </c>
      <c r="K348" s="118" t="e">
        <f>(G348-H348)/(G348-$B$4)</f>
        <v>#N/A</v>
      </c>
      <c r="L348" s="98"/>
      <c r="M348" s="98"/>
      <c r="N348" s="98"/>
      <c r="O348" s="98"/>
      <c r="P348" s="96"/>
    </row>
    <row r="349" spans="1:16" ht="16.5" customHeight="1" thickTop="1" thickBot="1" x14ac:dyDescent="0.3">
      <c r="A349" s="95"/>
      <c r="B349" s="92" t="s">
        <v>235</v>
      </c>
      <c r="C349" s="122" t="e">
        <f>IF(VLOOKUP(B349,'Gebouwgegevens Allacker'!$J$5:$Q$83,2,0)=$B$316,VLOOKUP(B349,'Gebouwgegevens Allacker'!$J$5:$Q$83,2,0),VLOOKUP(B349,'Gebouwgegevens Allacker'!$J$5:$Q$83,3,0))</f>
        <v>#N/A</v>
      </c>
      <c r="D349" s="122" t="e">
        <f>IF(VLOOKUP(B349,'Gebouwgegevens Allacker'!$J$5:$Q$83,2,0)=$B$316,VLOOKUP(B349,'Gebouwgegevens Allacker'!$J$5:$Q$83,3,0),VLOOKUP(B349,'Gebouwgegevens Allacker'!$J$5:$Q$83,2,0))</f>
        <v>#N/A</v>
      </c>
      <c r="E349" s="122" t="e">
        <f>VLOOKUP(B349,'Gebouwgegevens Allacker'!$J$5:$Q$83,4,0)</f>
        <v>#N/A</v>
      </c>
      <c r="F349" s="122" t="e">
        <f>VLOOKUP(B349,'Gebouwgegevens Allacker'!$J$5:$Q$83,5,0)</f>
        <v>#N/A</v>
      </c>
      <c r="G349" s="122" t="e">
        <f>VLOOKUP('Verwarming Tabula 2zone RefULG1'!C349,'Gebouwgegevens Allacker'!$A$35:$F$46,5,0)</f>
        <v>#N/A</v>
      </c>
      <c r="H349" s="122" t="e">
        <f>VLOOKUP('Verwarming Tabula 2zone RefULG1'!D349,'Gebouwgegevens Allacker'!$A$35:$F$46,5,0)</f>
        <v>#N/A</v>
      </c>
      <c r="I349" s="122" t="e">
        <f>VLOOKUP(B349,'Gebouwgegevens Allacker'!$J$5:$Q$83,7,0)</f>
        <v>#N/A</v>
      </c>
      <c r="J349" s="118" t="e">
        <f>VLOOKUP(B349,'Gebouwgegevens Allacker'!$J$5:$Q$83,8,0)</f>
        <v>#N/A</v>
      </c>
      <c r="K349" s="118" t="e">
        <f>(G349-H349)/(G349-$B$4)</f>
        <v>#N/A</v>
      </c>
      <c r="L349" s="98"/>
      <c r="M349" s="98"/>
      <c r="N349" s="98"/>
      <c r="O349" s="98"/>
      <c r="P349" s="96"/>
    </row>
    <row r="350" spans="1:16" ht="16.5" customHeight="1" thickTop="1" thickBot="1" x14ac:dyDescent="0.3">
      <c r="A350" s="95"/>
      <c r="B350" s="123" t="s">
        <v>236</v>
      </c>
      <c r="C350" s="122" t="e">
        <f>IF(VLOOKUP(B350,'Gebouwgegevens Allacker'!$J$5:$Q$83,2,0)=$B$316,VLOOKUP(B350,'Gebouwgegevens Allacker'!$J$5:$Q$83,2,0),VLOOKUP(B350,'Gebouwgegevens Allacker'!$J$5:$Q$83,3,0))</f>
        <v>#N/A</v>
      </c>
      <c r="D350" s="122" t="e">
        <f>IF(VLOOKUP(B350,'Gebouwgegevens Allacker'!$J$5:$Q$83,2,0)=$B$316,VLOOKUP(B350,'Gebouwgegevens Allacker'!$J$5:$Q$83,3,0),VLOOKUP(B350,'Gebouwgegevens Allacker'!$J$5:$Q$83,2,0))</f>
        <v>#N/A</v>
      </c>
      <c r="E350" s="122" t="e">
        <f>VLOOKUP(B350,'Gebouwgegevens Allacker'!$J$5:$Q$83,4,0)</f>
        <v>#N/A</v>
      </c>
      <c r="F350" s="122" t="e">
        <f>VLOOKUP(B350,'Gebouwgegevens Allacker'!$J$5:$Q$83,5,0)</f>
        <v>#N/A</v>
      </c>
      <c r="G350" s="122" t="e">
        <f>VLOOKUP('Verwarming Tabula 2zone RefULG1'!C350,'Gebouwgegevens Allacker'!$A$35:$F$46,5,0)</f>
        <v>#N/A</v>
      </c>
      <c r="H350" s="122" t="e">
        <f>VLOOKUP('Verwarming Tabula 2zone RefULG1'!D350,'Gebouwgegevens Allacker'!$A$35:$F$46,5,0)</f>
        <v>#N/A</v>
      </c>
      <c r="I350" s="122" t="e">
        <f>VLOOKUP(B350,'Gebouwgegevens Allacker'!$J$5:$Q$83,7,0)</f>
        <v>#N/A</v>
      </c>
      <c r="J350" s="118" t="e">
        <f>VLOOKUP(B350,'Gebouwgegevens Allacker'!$J$5:$Q$83,8,0)</f>
        <v>#N/A</v>
      </c>
      <c r="K350" s="118" t="e">
        <f>(G350-H350)/(G350-$B$4)</f>
        <v>#N/A</v>
      </c>
      <c r="L350" s="98"/>
      <c r="M350" s="98"/>
      <c r="N350" s="98"/>
      <c r="O350" s="98"/>
      <c r="P350" s="96"/>
    </row>
    <row r="351" spans="1:16" ht="16.5" customHeight="1" thickTop="1" thickBot="1" x14ac:dyDescent="0.3">
      <c r="A351" s="95"/>
      <c r="B351" s="123"/>
      <c r="C351" s="139"/>
      <c r="D351" s="122"/>
      <c r="E351" s="122"/>
      <c r="F351" s="122"/>
      <c r="G351" s="122"/>
      <c r="H351" s="122"/>
      <c r="I351" s="122"/>
      <c r="J351" s="118"/>
      <c r="K351" s="118"/>
      <c r="L351" s="98"/>
      <c r="M351" s="98"/>
      <c r="N351" s="98"/>
      <c r="O351" s="98"/>
      <c r="P351" s="96"/>
    </row>
    <row r="352" spans="1:16" ht="16.5" customHeight="1" thickTop="1" thickBot="1" x14ac:dyDescent="0.3">
      <c r="A352" s="95"/>
      <c r="B352" s="123"/>
      <c r="C352" s="139"/>
      <c r="D352" s="122"/>
      <c r="E352" s="122"/>
      <c r="F352" s="122"/>
      <c r="G352" s="122"/>
      <c r="H352" s="122"/>
      <c r="I352" s="122"/>
      <c r="J352" s="118"/>
      <c r="K352" s="118"/>
      <c r="L352" s="98"/>
      <c r="M352" s="98"/>
      <c r="N352" s="98"/>
      <c r="O352" s="98"/>
      <c r="P352" s="96"/>
    </row>
    <row r="353" spans="1:16" ht="16.5" customHeight="1" thickTop="1" thickBot="1" x14ac:dyDescent="0.3">
      <c r="A353" s="95"/>
      <c r="B353" s="123"/>
      <c r="C353" s="139"/>
      <c r="D353" s="122"/>
      <c r="E353" s="122"/>
      <c r="F353" s="122"/>
      <c r="G353" s="122"/>
      <c r="H353" s="122"/>
      <c r="I353" s="122"/>
      <c r="J353" s="118"/>
      <c r="K353" s="118"/>
      <c r="L353" s="98"/>
      <c r="M353" s="98"/>
      <c r="N353" s="98"/>
      <c r="O353" s="98"/>
      <c r="P353" s="96"/>
    </row>
    <row r="354" spans="1:16" ht="16.5" customHeight="1" thickTop="1" thickBot="1" x14ac:dyDescent="0.3">
      <c r="A354" s="95"/>
      <c r="B354" s="123"/>
      <c r="C354" s="139"/>
      <c r="D354" s="122"/>
      <c r="E354" s="122"/>
      <c r="F354" s="122"/>
      <c r="G354" s="122"/>
      <c r="H354" s="122"/>
      <c r="I354" s="122"/>
      <c r="J354" s="118"/>
      <c r="K354" s="118"/>
      <c r="L354" s="98"/>
      <c r="M354" s="98"/>
      <c r="N354" s="98"/>
      <c r="O354" s="98"/>
      <c r="P354" s="96"/>
    </row>
    <row r="355" spans="1:16" ht="16.5" customHeight="1" thickTop="1" thickBot="1" x14ac:dyDescent="0.3">
      <c r="A355" s="95"/>
      <c r="B355" s="123"/>
      <c r="C355" s="139"/>
      <c r="D355" s="122"/>
      <c r="E355" s="122"/>
      <c r="F355" s="122"/>
      <c r="G355" s="122"/>
      <c r="H355" s="122"/>
      <c r="I355" s="122"/>
      <c r="J355" s="118"/>
      <c r="K355" s="118"/>
      <c r="L355" s="98"/>
      <c r="M355" s="98"/>
      <c r="N355" s="98"/>
      <c r="O355" s="98"/>
      <c r="P355" s="96"/>
    </row>
    <row r="356" spans="1:16" ht="15.75" customHeight="1" thickTop="1" x14ac:dyDescent="0.25">
      <c r="A356" s="95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8"/>
      <c r="M356" s="98"/>
      <c r="N356" s="98"/>
      <c r="O356" s="98"/>
      <c r="P356" s="96"/>
    </row>
    <row r="357" spans="1:16" ht="15" customHeight="1" x14ac:dyDescent="0.25">
      <c r="A357" s="95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6"/>
    </row>
    <row r="358" spans="1:16" ht="15.75" customHeight="1" x14ac:dyDescent="0.25">
      <c r="A358" s="103" t="s">
        <v>192</v>
      </c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6"/>
    </row>
    <row r="359" spans="1:16" ht="16.5" customHeight="1" x14ac:dyDescent="0.25">
      <c r="A359" s="124" t="s">
        <v>193</v>
      </c>
      <c r="B359" s="118" t="e">
        <f>SUMPRODUCT(H322:H333,I322:I333)+SUMPRODUCT(G338:G342,H338:H342)+SUMPRODUCT(J346:J355,K346:K355)</f>
        <v>#N/A</v>
      </c>
      <c r="C359" s="118" t="s">
        <v>107</v>
      </c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6"/>
    </row>
    <row r="360" spans="1:16" ht="16.5" customHeight="1" x14ac:dyDescent="0.25">
      <c r="A360" s="124" t="s">
        <v>167</v>
      </c>
      <c r="B360" s="118" t="e">
        <f>B359*(G346-$B$4)</f>
        <v>#N/A</v>
      </c>
      <c r="C360" s="118" t="s">
        <v>169</v>
      </c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6"/>
    </row>
    <row r="361" spans="1:16" ht="15.75" customHeight="1" thickBot="1" x14ac:dyDescent="0.3">
      <c r="A361" s="109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1"/>
    </row>
    <row r="362" spans="1:16" ht="15.75" customHeight="1" thickTop="1" x14ac:dyDescent="0.25">
      <c r="A362" s="343" t="s">
        <v>194</v>
      </c>
      <c r="B362" s="343"/>
      <c r="C362" s="343"/>
      <c r="D362" s="125" t="s">
        <v>222</v>
      </c>
      <c r="E362" s="328"/>
      <c r="F362" s="328"/>
      <c r="G362" s="328"/>
      <c r="H362" s="328"/>
      <c r="I362" s="328"/>
      <c r="J362" s="328"/>
      <c r="K362" s="328"/>
      <c r="L362" s="328"/>
      <c r="M362" s="328"/>
      <c r="N362" s="328"/>
      <c r="O362" s="328"/>
      <c r="P362" s="94"/>
    </row>
    <row r="363" spans="1:16" ht="15" customHeight="1" x14ac:dyDescent="0.25">
      <c r="A363" s="95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6"/>
    </row>
    <row r="364" spans="1:16" ht="15" customHeight="1" thickBot="1" x14ac:dyDescent="0.3">
      <c r="A364" s="126" t="s">
        <v>195</v>
      </c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6"/>
    </row>
    <row r="365" spans="1:16" ht="15" customHeight="1" thickTop="1" thickBot="1" x14ac:dyDescent="0.3">
      <c r="A365" s="127" t="s">
        <v>196</v>
      </c>
      <c r="B365" s="121">
        <v>8</v>
      </c>
      <c r="C365" s="120" t="s">
        <v>197</v>
      </c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6"/>
    </row>
    <row r="366" spans="1:16" ht="15" customHeight="1" thickTop="1" thickBot="1" x14ac:dyDescent="0.3">
      <c r="A366" s="127" t="s">
        <v>198</v>
      </c>
      <c r="B366" s="121">
        <v>0.03</v>
      </c>
      <c r="C366" s="120" t="s">
        <v>199</v>
      </c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6"/>
    </row>
    <row r="367" spans="1:16" ht="15.75" customHeight="1" thickTop="1" thickBot="1" x14ac:dyDescent="0.3">
      <c r="A367" s="127" t="s">
        <v>200</v>
      </c>
      <c r="B367" s="121">
        <v>1</v>
      </c>
      <c r="C367" s="120" t="s">
        <v>201</v>
      </c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6"/>
    </row>
    <row r="368" spans="1:16" ht="16.5" customHeight="1" thickTop="1" x14ac:dyDescent="0.25">
      <c r="A368" s="124" t="s">
        <v>202</v>
      </c>
      <c r="B368" s="118" t="e">
        <f>2*VLOOKUP(B316,'Gebouwgegevens Allacker'!$A$35:$F$46,6,0)*B365*B366*B367</f>
        <v>#N/A</v>
      </c>
      <c r="C368" s="118" t="s">
        <v>203</v>
      </c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6"/>
    </row>
    <row r="369" spans="1:16" ht="15.75" customHeight="1" x14ac:dyDescent="0.25">
      <c r="A369" s="95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6"/>
    </row>
    <row r="370" spans="1:16" ht="15" customHeight="1" x14ac:dyDescent="0.25">
      <c r="A370" s="126" t="s">
        <v>204</v>
      </c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6"/>
    </row>
    <row r="371" spans="1:16" ht="15.75" customHeight="1" x14ac:dyDescent="0.25">
      <c r="A371" s="95" t="s">
        <v>180</v>
      </c>
      <c r="B371" s="98" t="e">
        <f>VLOOKUP(B316,'Gebouwgegevens Allacker'!$A$35:$F$46,6,0)</f>
        <v>#N/A</v>
      </c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6"/>
    </row>
    <row r="372" spans="1:16" ht="16.5" customHeight="1" x14ac:dyDescent="0.25">
      <c r="A372" s="124" t="s">
        <v>205</v>
      </c>
      <c r="B372" s="128" t="e">
        <f>B371*3.6</f>
        <v>#N/A</v>
      </c>
      <c r="C372" s="118" t="s">
        <v>203</v>
      </c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6"/>
    </row>
    <row r="373" spans="1:16" ht="15.75" customHeight="1" x14ac:dyDescent="0.25">
      <c r="A373" s="95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6"/>
    </row>
    <row r="374" spans="1:16" ht="15.75" customHeight="1" x14ac:dyDescent="0.25">
      <c r="A374" s="95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6"/>
    </row>
    <row r="375" spans="1:16" ht="16.5" customHeight="1" x14ac:dyDescent="0.25">
      <c r="A375" s="124" t="s">
        <v>207</v>
      </c>
      <c r="B375" s="118" t="e">
        <f>MAX(B368,B372)</f>
        <v>#N/A</v>
      </c>
      <c r="C375" s="118" t="s">
        <v>203</v>
      </c>
      <c r="D375" s="98"/>
      <c r="E375" s="98"/>
      <c r="F375" s="118" t="s">
        <v>208</v>
      </c>
      <c r="G375" s="118" t="e">
        <f>B375/VLOOKUP(B316,'Gebouwgegevens Allacker'!$A$35:$B$46,2,0)</f>
        <v>#N/A</v>
      </c>
      <c r="H375" s="98"/>
      <c r="I375" s="98"/>
      <c r="J375" s="98"/>
      <c r="K375" s="98"/>
      <c r="L375" s="98"/>
      <c r="M375" s="98"/>
      <c r="N375" s="98"/>
      <c r="O375" s="98"/>
      <c r="P375" s="96"/>
    </row>
    <row r="376" spans="1:16" ht="16.5" customHeight="1" x14ac:dyDescent="0.25">
      <c r="A376" s="138"/>
      <c r="B376" s="58"/>
      <c r="C376" s="5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6"/>
    </row>
    <row r="377" spans="1:16" ht="16.5" customHeight="1" x14ac:dyDescent="0.25">
      <c r="A377" s="124" t="s">
        <v>209</v>
      </c>
      <c r="B377" s="118" t="e">
        <f>0.34*B375</f>
        <v>#N/A</v>
      </c>
      <c r="C377" s="118" t="s">
        <v>107</v>
      </c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6"/>
    </row>
    <row r="378" spans="1:16" ht="16.5" customHeight="1" x14ac:dyDescent="0.25">
      <c r="A378" s="124" t="s">
        <v>167</v>
      </c>
      <c r="B378" s="118" t="e">
        <f>B377*('Gebouwgegevens Allacker'!E338-$B$4)</f>
        <v>#N/A</v>
      </c>
      <c r="C378" s="118" t="s">
        <v>169</v>
      </c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6"/>
    </row>
    <row r="379" spans="1:16" ht="15.75" customHeight="1" thickBot="1" x14ac:dyDescent="0.3">
      <c r="A379" s="140"/>
      <c r="B379" s="141"/>
      <c r="C379" s="141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1"/>
    </row>
    <row r="380" spans="1:16" ht="15.75" customHeight="1" thickTop="1" x14ac:dyDescent="0.25">
      <c r="A380" s="343" t="s">
        <v>210</v>
      </c>
      <c r="B380" s="343"/>
      <c r="C380" s="343"/>
      <c r="D380" s="343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6"/>
    </row>
    <row r="381" spans="1:16" ht="15" customHeight="1" thickBot="1" x14ac:dyDescent="0.3">
      <c r="A381" s="95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6"/>
    </row>
    <row r="382" spans="1:16" ht="15" customHeight="1" thickTop="1" thickBot="1" x14ac:dyDescent="0.3">
      <c r="A382" s="127" t="s">
        <v>211</v>
      </c>
      <c r="B382" s="121">
        <v>22</v>
      </c>
      <c r="C382" s="58" t="s">
        <v>232</v>
      </c>
      <c r="D382" s="5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6"/>
    </row>
    <row r="383" spans="1:16" ht="15.75" customHeight="1" thickTop="1" x14ac:dyDescent="0.25">
      <c r="A383" s="3" t="s">
        <v>113</v>
      </c>
      <c r="B383" s="58" t="e">
        <f>VLOOKUP(B316,'Gebouwgegevens Allacker'!$A$35:$F$46,6,0)</f>
        <v>#N/A</v>
      </c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6"/>
    </row>
    <row r="384" spans="1:16" ht="16.5" customHeight="1" x14ac:dyDescent="0.25">
      <c r="A384" s="124" t="s">
        <v>213</v>
      </c>
      <c r="B384" s="118" t="e">
        <f>B385/('Gebouwgegevens Allacker'!E338-'Verwarming Tabula 2zone RefULG1'!$B$4)</f>
        <v>#N/A</v>
      </c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6"/>
    </row>
    <row r="385" spans="1:16" ht="16.5" customHeight="1" x14ac:dyDescent="0.25">
      <c r="A385" s="124" t="s">
        <v>167</v>
      </c>
      <c r="B385" s="118" t="e">
        <f>B382*B383</f>
        <v>#N/A</v>
      </c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6"/>
    </row>
    <row r="386" spans="1:16" ht="15.75" customHeight="1" x14ac:dyDescent="0.25">
      <c r="A386" s="95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6"/>
    </row>
    <row r="387" spans="1:16" ht="15.75" customHeight="1" thickBot="1" x14ac:dyDescent="0.3">
      <c r="A387" s="95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6"/>
    </row>
    <row r="388" spans="1:16" ht="15.75" customHeight="1" thickTop="1" thickBot="1" x14ac:dyDescent="0.3">
      <c r="A388" s="129" t="s">
        <v>214</v>
      </c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1"/>
    </row>
    <row r="389" spans="1:16" ht="16.5" customHeight="1" thickTop="1" x14ac:dyDescent="0.25">
      <c r="A389" s="124" t="s">
        <v>215</v>
      </c>
      <c r="B389" s="118" t="e">
        <f>SUM(B359,B377,B384)</f>
        <v>#N/A</v>
      </c>
      <c r="C389" s="118" t="s">
        <v>107</v>
      </c>
      <c r="D389" s="132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  <c r="O389" s="132"/>
      <c r="P389" s="133"/>
    </row>
    <row r="390" spans="1:16" ht="16.5" customHeight="1" x14ac:dyDescent="0.25">
      <c r="A390" s="124" t="s">
        <v>167</v>
      </c>
      <c r="B390" s="118" t="e">
        <f>SUM(B360,B378,B385)</f>
        <v>#N/A</v>
      </c>
      <c r="C390" s="118" t="s">
        <v>169</v>
      </c>
      <c r="D390" s="132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  <c r="O390" s="132"/>
      <c r="P390" s="133"/>
    </row>
    <row r="391" spans="1:16" ht="16.5" customHeight="1" thickBot="1" x14ac:dyDescent="0.3">
      <c r="A391" s="134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6"/>
    </row>
    <row r="392" spans="1:16" ht="15.75" customHeight="1" thickTop="1" thickBot="1" x14ac:dyDescent="0.3">
      <c r="A392" s="137"/>
      <c r="B392" s="137"/>
      <c r="C392" s="137"/>
      <c r="D392" s="137"/>
      <c r="E392" s="137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</row>
    <row r="393" spans="1:16" ht="15" customHeight="1" thickTop="1" thickBot="1" x14ac:dyDescent="0.3">
      <c r="A393" s="93"/>
      <c r="B393" s="328"/>
      <c r="C393" s="328"/>
      <c r="D393" s="328"/>
      <c r="E393" s="328"/>
      <c r="F393" s="328"/>
      <c r="G393" s="328"/>
      <c r="H393" s="328"/>
      <c r="I393" s="328"/>
      <c r="J393" s="328"/>
      <c r="K393" s="328"/>
      <c r="L393" s="328"/>
      <c r="M393" s="328"/>
      <c r="N393" s="328"/>
      <c r="O393" s="328"/>
      <c r="P393" s="94"/>
    </row>
    <row r="394" spans="1:16" ht="17.25" customHeight="1" thickTop="1" thickBot="1" x14ac:dyDescent="0.35">
      <c r="A394" s="97" t="s">
        <v>166</v>
      </c>
      <c r="B394" s="92">
        <v>6</v>
      </c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6"/>
    </row>
    <row r="395" spans="1:16" ht="15.75" customHeight="1" thickTop="1" x14ac:dyDescent="0.25">
      <c r="A395" s="343" t="s">
        <v>168</v>
      </c>
      <c r="B395" s="343"/>
      <c r="C395" s="343"/>
      <c r="D395" s="343"/>
      <c r="E395" s="328"/>
      <c r="F395" s="328"/>
      <c r="G395" s="328"/>
      <c r="H395" s="328"/>
      <c r="I395" s="328"/>
      <c r="J395" s="328"/>
      <c r="K395" s="328"/>
      <c r="L395" s="328"/>
      <c r="M395" s="328"/>
      <c r="N395" s="328"/>
      <c r="O395" s="328"/>
      <c r="P395" s="94"/>
    </row>
    <row r="396" spans="1:16" ht="15" customHeight="1" x14ac:dyDescent="0.25">
      <c r="A396" s="95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6"/>
    </row>
    <row r="397" spans="1:16" ht="15" customHeight="1" x14ac:dyDescent="0.25">
      <c r="A397" s="103" t="s">
        <v>170</v>
      </c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6"/>
    </row>
    <row r="398" spans="1:16" ht="15" customHeight="1" x14ac:dyDescent="0.25">
      <c r="A398" s="95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6"/>
    </row>
    <row r="399" spans="1:16" ht="15.75" customHeight="1" thickBot="1" x14ac:dyDescent="0.3">
      <c r="A399" s="95"/>
      <c r="B399" s="104" t="s">
        <v>10</v>
      </c>
      <c r="C399" s="104" t="s">
        <v>171</v>
      </c>
      <c r="D399" s="104" t="s">
        <v>172</v>
      </c>
      <c r="E399" s="104" t="s">
        <v>173</v>
      </c>
      <c r="F399" s="104" t="s">
        <v>174</v>
      </c>
      <c r="G399" s="104" t="s">
        <v>16</v>
      </c>
      <c r="H399" s="105" t="s">
        <v>17</v>
      </c>
      <c r="I399" s="105" t="s">
        <v>175</v>
      </c>
      <c r="J399" s="98"/>
      <c r="K399" s="98"/>
      <c r="L399" s="98"/>
      <c r="M399" s="98"/>
      <c r="N399" s="98"/>
      <c r="O399" s="98"/>
      <c r="P399" s="96"/>
    </row>
    <row r="400" spans="1:16" ht="16.5" customHeight="1" thickTop="1" thickBot="1" x14ac:dyDescent="0.3">
      <c r="A400" s="95"/>
      <c r="B400" s="106" t="s">
        <v>96</v>
      </c>
      <c r="C400" s="107">
        <f>VLOOKUP(B400,'Gebouwgegevens Allacker'!$J$5:$Q$83,3,0)</f>
        <v>3</v>
      </c>
      <c r="D400" s="107" t="str">
        <f>VLOOKUP(B400,'Gebouwgegevens Allacker'!$J$5:$Q$83,4,0)</f>
        <v>Roof</v>
      </c>
      <c r="E400" s="107">
        <f>VLOOKUP(B400,'Gebouwgegevens Allacker'!$J$5:$Q$83,5,0)</f>
        <v>99.627515556697489</v>
      </c>
      <c r="F400" s="107" t="str">
        <f>VLOOKUP(B400,'Gebouwgegevens Allacker'!$J$5:$Q$83,6,0)</f>
        <v>front/back</v>
      </c>
      <c r="G400" s="107">
        <f>VLOOKUP(B400,'Gebouwgegevens Allacker'!$J$5:$Q$83,7,0)</f>
        <v>1.6975498473547073</v>
      </c>
      <c r="H400" s="108">
        <f>VLOOKUP(B400,'Gebouwgegevens Allacker'!$J$5:$Q$83,8,0)</f>
        <v>169.12267382560054</v>
      </c>
      <c r="I400" s="108">
        <v>1</v>
      </c>
      <c r="J400" s="98"/>
      <c r="K400" s="98"/>
      <c r="L400" s="98"/>
      <c r="M400" s="98"/>
      <c r="N400" s="98"/>
      <c r="O400" s="98"/>
      <c r="P400" s="96"/>
    </row>
    <row r="401" spans="1:16" ht="16.5" customHeight="1" thickTop="1" thickBot="1" x14ac:dyDescent="0.3">
      <c r="A401" s="95"/>
      <c r="B401" s="106" t="s">
        <v>98</v>
      </c>
      <c r="C401" s="107">
        <f>VLOOKUP(B401,'Gebouwgegevens Allacker'!$J$5:$Q$83,3,0)</f>
        <v>3</v>
      </c>
      <c r="D401" s="107" t="str">
        <f>VLOOKUP(B401,'Gebouwgegevens Allacker'!$J$5:$Q$83,4,0)</f>
        <v>Floor internal</v>
      </c>
      <c r="E401" s="107">
        <f>VLOOKUP(B401,'Gebouwgegevens Allacker'!$J$5:$Q$83,5,0)</f>
        <v>76.183999999999997</v>
      </c>
      <c r="F401" s="107">
        <f>VLOOKUP(B401,'Gebouwgegevens Allacker'!$J$5:$Q$83,6,0)</f>
        <v>0</v>
      </c>
      <c r="G401" s="107">
        <f>VLOOKUP(B401,'Gebouwgegevens Allacker'!$J$5:$Q$83,7,0)</f>
        <v>2.0895522388059704</v>
      </c>
      <c r="H401" s="108">
        <f>VLOOKUP(B401,'Gebouwgegevens Allacker'!$J$5:$Q$83,8,0)</f>
        <v>159.19044776119404</v>
      </c>
      <c r="I401" s="108">
        <v>1</v>
      </c>
      <c r="J401" s="98"/>
      <c r="K401" s="98"/>
      <c r="L401" s="98"/>
      <c r="M401" s="98"/>
      <c r="N401" s="98"/>
      <c r="O401" s="98"/>
      <c r="P401" s="96"/>
    </row>
    <row r="402" spans="1:16" ht="16.5" customHeight="1" thickTop="1" thickBot="1" x14ac:dyDescent="0.3">
      <c r="A402" s="95"/>
      <c r="B402" s="106" t="s">
        <v>101</v>
      </c>
      <c r="C402" s="107">
        <f>VLOOKUP(B402,'Gebouwgegevens Allacker'!$J$5:$Q$83,3,0)</f>
        <v>2</v>
      </c>
      <c r="D402" s="107" t="str">
        <f>VLOOKUP(B402,'Gebouwgegevens Allacker'!$J$5:$Q$83,4,0)</f>
        <v>Wall internal</v>
      </c>
      <c r="E402" s="107">
        <f>VLOOKUP(B402,'Gebouwgegevens Allacker'!$J$5:$Q$83,5,0)</f>
        <v>140.84</v>
      </c>
      <c r="F402" s="107">
        <f>VLOOKUP(B402,'Gebouwgegevens Allacker'!$J$5:$Q$83,6,0)</f>
        <v>0</v>
      </c>
      <c r="G402" s="107">
        <f>VLOOKUP(B402,'Gebouwgegevens Allacker'!$J$5:$Q$83,7,0)</f>
        <v>1.9926199261992623</v>
      </c>
      <c r="H402" s="108">
        <f>VLOOKUP(B402,'Gebouwgegevens Allacker'!$J$5:$Q$83,8,0)</f>
        <v>280.64059040590411</v>
      </c>
      <c r="I402" s="108">
        <v>1</v>
      </c>
      <c r="J402" s="98"/>
      <c r="K402" s="98"/>
      <c r="L402" s="98"/>
      <c r="M402" s="98"/>
      <c r="N402" s="98"/>
      <c r="O402" s="98"/>
      <c r="P402" s="96"/>
    </row>
    <row r="403" spans="1:16" ht="16.5" customHeight="1" thickTop="1" thickBot="1" x14ac:dyDescent="0.3">
      <c r="A403" s="95"/>
      <c r="B403" s="106"/>
      <c r="C403" s="107"/>
      <c r="D403" s="107"/>
      <c r="E403" s="107"/>
      <c r="F403" s="107"/>
      <c r="G403" s="107"/>
      <c r="H403" s="108"/>
      <c r="I403" s="108"/>
      <c r="J403" s="98"/>
      <c r="K403" s="98"/>
      <c r="L403" s="98"/>
      <c r="M403" s="98"/>
      <c r="N403" s="98"/>
      <c r="O403" s="98"/>
      <c r="P403" s="96"/>
    </row>
    <row r="404" spans="1:16" ht="16.5" customHeight="1" thickTop="1" thickBot="1" x14ac:dyDescent="0.3">
      <c r="A404" s="95"/>
      <c r="B404" s="106"/>
      <c r="C404" s="107"/>
      <c r="D404" s="107"/>
      <c r="E404" s="107"/>
      <c r="F404" s="107"/>
      <c r="G404" s="107"/>
      <c r="H404" s="108"/>
      <c r="I404" s="108"/>
      <c r="J404" s="98"/>
      <c r="K404" s="98"/>
      <c r="L404" s="98"/>
      <c r="M404" s="98"/>
      <c r="N404" s="98"/>
      <c r="O404" s="98"/>
      <c r="P404" s="96"/>
    </row>
    <row r="405" spans="1:16" ht="16.5" customHeight="1" thickTop="1" thickBot="1" x14ac:dyDescent="0.3">
      <c r="A405" s="95"/>
      <c r="B405" s="106"/>
      <c r="C405" s="107"/>
      <c r="D405" s="107"/>
      <c r="E405" s="107"/>
      <c r="F405" s="107"/>
      <c r="G405" s="107"/>
      <c r="H405" s="108"/>
      <c r="I405" s="108"/>
      <c r="J405" s="98"/>
      <c r="K405" s="98"/>
      <c r="L405" s="98"/>
      <c r="M405" s="98"/>
      <c r="N405" s="98"/>
      <c r="O405" s="98"/>
      <c r="P405" s="96"/>
    </row>
    <row r="406" spans="1:16" ht="16.5" customHeight="1" thickTop="1" thickBot="1" x14ac:dyDescent="0.3">
      <c r="A406" s="95"/>
      <c r="B406" s="106"/>
      <c r="C406" s="107"/>
      <c r="D406" s="107"/>
      <c r="E406" s="107"/>
      <c r="F406" s="107"/>
      <c r="G406" s="107"/>
      <c r="H406" s="108"/>
      <c r="I406" s="108"/>
      <c r="J406" s="98"/>
      <c r="K406" s="98"/>
      <c r="L406" s="98"/>
      <c r="M406" s="98"/>
      <c r="N406" s="98"/>
      <c r="O406" s="98"/>
      <c r="P406" s="96"/>
    </row>
    <row r="407" spans="1:16" ht="16.5" customHeight="1" thickTop="1" thickBot="1" x14ac:dyDescent="0.3">
      <c r="A407" s="95"/>
      <c r="B407" s="106"/>
      <c r="C407" s="107"/>
      <c r="D407" s="107"/>
      <c r="E407" s="107"/>
      <c r="F407" s="107"/>
      <c r="G407" s="107"/>
      <c r="H407" s="108"/>
      <c r="I407" s="108"/>
      <c r="J407" s="98"/>
      <c r="K407" s="98"/>
      <c r="L407" s="98"/>
      <c r="M407" s="98"/>
      <c r="N407" s="98"/>
      <c r="O407" s="98"/>
      <c r="P407" s="96"/>
    </row>
    <row r="408" spans="1:16" ht="16.5" customHeight="1" thickTop="1" thickBot="1" x14ac:dyDescent="0.3">
      <c r="A408" s="95"/>
      <c r="B408" s="106"/>
      <c r="C408" s="107"/>
      <c r="D408" s="107"/>
      <c r="E408" s="107"/>
      <c r="F408" s="107"/>
      <c r="G408" s="107"/>
      <c r="H408" s="108"/>
      <c r="I408" s="108"/>
      <c r="J408" s="98"/>
      <c r="K408" s="98"/>
      <c r="L408" s="98"/>
      <c r="M408" s="98"/>
      <c r="N408" s="98"/>
      <c r="O408" s="98"/>
      <c r="P408" s="96"/>
    </row>
    <row r="409" spans="1:16" ht="16.5" customHeight="1" thickTop="1" thickBot="1" x14ac:dyDescent="0.3">
      <c r="A409" s="95"/>
      <c r="B409" s="106"/>
      <c r="C409" s="107"/>
      <c r="D409" s="107"/>
      <c r="E409" s="107"/>
      <c r="F409" s="107"/>
      <c r="G409" s="107"/>
      <c r="H409" s="108"/>
      <c r="I409" s="108"/>
      <c r="J409" s="98"/>
      <c r="K409" s="98"/>
      <c r="L409" s="98"/>
      <c r="M409" s="98"/>
      <c r="N409" s="98"/>
      <c r="O409" s="98"/>
      <c r="P409" s="96"/>
    </row>
    <row r="410" spans="1:16" ht="16.5" customHeight="1" thickTop="1" thickBot="1" x14ac:dyDescent="0.3">
      <c r="A410" s="95"/>
      <c r="B410" s="106"/>
      <c r="C410" s="107"/>
      <c r="D410" s="107"/>
      <c r="E410" s="107"/>
      <c r="F410" s="107"/>
      <c r="G410" s="107"/>
      <c r="H410" s="108"/>
      <c r="I410" s="108"/>
      <c r="J410" s="98"/>
      <c r="K410" s="98"/>
      <c r="L410" s="98"/>
      <c r="M410" s="98"/>
      <c r="N410" s="98"/>
      <c r="O410" s="98"/>
      <c r="P410" s="96"/>
    </row>
    <row r="411" spans="1:16" ht="16.5" customHeight="1" thickTop="1" thickBot="1" x14ac:dyDescent="0.3">
      <c r="A411" s="95"/>
      <c r="B411" s="106"/>
      <c r="C411" s="107"/>
      <c r="D411" s="107"/>
      <c r="E411" s="107"/>
      <c r="F411" s="107"/>
      <c r="G411" s="107"/>
      <c r="H411" s="108"/>
      <c r="I411" s="108"/>
      <c r="J411" s="98"/>
      <c r="K411" s="98"/>
      <c r="L411" s="98"/>
      <c r="M411" s="98"/>
      <c r="N411" s="98"/>
      <c r="O411" s="98"/>
      <c r="P411" s="96"/>
    </row>
    <row r="412" spans="1:16" ht="15.75" customHeight="1" thickTop="1" x14ac:dyDescent="0.25">
      <c r="A412" s="95"/>
      <c r="B412" s="58"/>
      <c r="C412" s="58"/>
      <c r="D412" s="58"/>
      <c r="E412" s="58"/>
      <c r="F412" s="58"/>
      <c r="G412" s="114"/>
      <c r="H412" s="58"/>
      <c r="I412" s="58"/>
      <c r="J412" s="98"/>
      <c r="K412" s="98"/>
      <c r="L412" s="98"/>
      <c r="M412" s="98"/>
      <c r="N412" s="98"/>
      <c r="O412" s="98"/>
      <c r="P412" s="96"/>
    </row>
    <row r="413" spans="1:16" ht="15" customHeight="1" x14ac:dyDescent="0.25">
      <c r="A413" s="95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6"/>
    </row>
    <row r="414" spans="1:16" ht="15" customHeight="1" x14ac:dyDescent="0.25">
      <c r="A414" s="103" t="s">
        <v>177</v>
      </c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6"/>
    </row>
    <row r="415" spans="1:16" ht="15.75" customHeight="1" x14ac:dyDescent="0.25">
      <c r="A415" s="95"/>
      <c r="B415" s="58" t="s">
        <v>10</v>
      </c>
      <c r="C415" s="58" t="s">
        <v>178</v>
      </c>
      <c r="D415" s="58" t="s">
        <v>172</v>
      </c>
      <c r="E415" s="58" t="s">
        <v>179</v>
      </c>
      <c r="F415" s="58" t="s">
        <v>16</v>
      </c>
      <c r="G415" s="114" t="s">
        <v>17</v>
      </c>
      <c r="H415" s="114" t="s">
        <v>175</v>
      </c>
      <c r="I415" s="58" t="s">
        <v>180</v>
      </c>
      <c r="J415" s="58" t="s">
        <v>181</v>
      </c>
      <c r="K415" s="58" t="s">
        <v>182</v>
      </c>
      <c r="L415" s="115" t="s">
        <v>183</v>
      </c>
      <c r="M415" s="115" t="s">
        <v>184</v>
      </c>
      <c r="N415" s="115" t="s">
        <v>185</v>
      </c>
      <c r="O415" s="98"/>
      <c r="P415" s="96"/>
    </row>
    <row r="416" spans="1:16" ht="16.5" customHeight="1" thickBot="1" x14ac:dyDescent="0.3">
      <c r="A416" s="95"/>
      <c r="B416" s="116"/>
      <c r="C416" s="117"/>
      <c r="D416" s="117"/>
      <c r="E416" s="117"/>
      <c r="F416" s="117"/>
      <c r="G416" s="118"/>
      <c r="H416" s="118"/>
      <c r="I416" s="117"/>
      <c r="J416" s="116"/>
      <c r="K416" s="116"/>
      <c r="L416" s="119"/>
      <c r="M416" s="119"/>
      <c r="N416" s="120"/>
      <c r="O416" s="98"/>
      <c r="P416" s="96"/>
    </row>
    <row r="417" spans="1:16" ht="16.5" customHeight="1" thickTop="1" thickBot="1" x14ac:dyDescent="0.3">
      <c r="A417" s="95"/>
      <c r="B417" s="116"/>
      <c r="C417" s="117"/>
      <c r="D417" s="117"/>
      <c r="E417" s="117"/>
      <c r="F417" s="117"/>
      <c r="G417" s="118"/>
      <c r="H417" s="118"/>
      <c r="I417" s="117"/>
      <c r="J417" s="116"/>
      <c r="K417" s="116"/>
      <c r="L417" s="119"/>
      <c r="M417" s="119"/>
      <c r="N417" s="120"/>
      <c r="O417" s="98"/>
      <c r="P417" s="96"/>
    </row>
    <row r="418" spans="1:16" ht="16.5" customHeight="1" thickTop="1" thickBot="1" x14ac:dyDescent="0.3">
      <c r="A418" s="95"/>
      <c r="B418" s="116"/>
      <c r="C418" s="117"/>
      <c r="D418" s="117"/>
      <c r="E418" s="117"/>
      <c r="F418" s="117"/>
      <c r="G418" s="118"/>
      <c r="H418" s="118"/>
      <c r="I418" s="117"/>
      <c r="J418" s="116"/>
      <c r="K418" s="116"/>
      <c r="L418" s="119"/>
      <c r="M418" s="119"/>
      <c r="N418" s="120"/>
      <c r="O418" s="98"/>
      <c r="P418" s="96"/>
    </row>
    <row r="419" spans="1:16" ht="16.5" customHeight="1" thickTop="1" thickBot="1" x14ac:dyDescent="0.3">
      <c r="A419" s="95"/>
      <c r="B419" s="116"/>
      <c r="C419" s="117"/>
      <c r="D419" s="117"/>
      <c r="E419" s="117"/>
      <c r="F419" s="117"/>
      <c r="G419" s="118"/>
      <c r="H419" s="118"/>
      <c r="I419" s="117"/>
      <c r="J419" s="116"/>
      <c r="K419" s="116"/>
      <c r="L419" s="119"/>
      <c r="M419" s="119"/>
      <c r="N419" s="120"/>
      <c r="O419" s="98"/>
      <c r="P419" s="96"/>
    </row>
    <row r="420" spans="1:16" ht="16.5" customHeight="1" thickTop="1" thickBot="1" x14ac:dyDescent="0.3">
      <c r="A420" s="138"/>
      <c r="B420" s="116"/>
      <c r="C420" s="117"/>
      <c r="D420" s="117"/>
      <c r="E420" s="117"/>
      <c r="F420" s="117"/>
      <c r="G420" s="118"/>
      <c r="H420" s="118"/>
      <c r="I420" s="117"/>
      <c r="J420" s="116"/>
      <c r="K420" s="116"/>
      <c r="L420" s="119"/>
      <c r="M420" s="119"/>
      <c r="N420" s="120"/>
      <c r="O420" s="98"/>
      <c r="P420" s="96"/>
    </row>
    <row r="421" spans="1:16" ht="15.75" customHeight="1" thickTop="1" x14ac:dyDescent="0.25">
      <c r="A421" s="95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6"/>
    </row>
    <row r="422" spans="1:16" ht="15" customHeight="1" x14ac:dyDescent="0.25">
      <c r="A422" s="103" t="s">
        <v>186</v>
      </c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6"/>
    </row>
    <row r="423" spans="1:16" ht="15.75" customHeight="1" thickBot="1" x14ac:dyDescent="0.3">
      <c r="A423" s="95"/>
      <c r="B423" s="58" t="s">
        <v>10</v>
      </c>
      <c r="C423" s="58" t="s">
        <v>187</v>
      </c>
      <c r="D423" s="58" t="s">
        <v>188</v>
      </c>
      <c r="E423" s="58" t="s">
        <v>135</v>
      </c>
      <c r="F423" s="58" t="s">
        <v>189</v>
      </c>
      <c r="G423" s="58" t="s">
        <v>190</v>
      </c>
      <c r="H423" s="58" t="s">
        <v>191</v>
      </c>
      <c r="I423" s="58" t="s">
        <v>16</v>
      </c>
      <c r="J423" s="114" t="s">
        <v>17</v>
      </c>
      <c r="K423" s="114" t="s">
        <v>175</v>
      </c>
      <c r="L423" s="98"/>
      <c r="M423" s="98"/>
      <c r="N423" s="98"/>
      <c r="O423" s="98"/>
      <c r="P423" s="96"/>
    </row>
    <row r="424" spans="1:16" ht="16.5" customHeight="1" thickTop="1" thickBot="1" x14ac:dyDescent="0.3">
      <c r="A424" s="95"/>
      <c r="B424" s="116" t="s">
        <v>233</v>
      </c>
      <c r="C424" s="122" t="e">
        <f>IF(VLOOKUP(B424,'Gebouwgegevens Allacker'!$J$5:$Q$83,2,0)=$B$394,VLOOKUP(B424,'Gebouwgegevens Allacker'!$J$5:$Q$83,2,0),VLOOKUP(B424,'Gebouwgegevens Allacker'!$J$5:$Q$83,3,0))</f>
        <v>#N/A</v>
      </c>
      <c r="D424" s="122" t="e">
        <f>IF(VLOOKUP(B424,'Gebouwgegevens Allacker'!$J$5:$Q$83,2,0)=$B$394,VLOOKUP(B424,'Gebouwgegevens Allacker'!$J$5:$Q$83,3,0),VLOOKUP(B424,'Gebouwgegevens Allacker'!$J$5:$Q$83,2,0))</f>
        <v>#N/A</v>
      </c>
      <c r="E424" s="122" t="e">
        <f>VLOOKUP(B424,'Gebouwgegevens Allacker'!$J$5:$Q$83,4,0)</f>
        <v>#N/A</v>
      </c>
      <c r="F424" s="122" t="e">
        <f>VLOOKUP(B424,'Gebouwgegevens Allacker'!$J$5:$Q$83,5,0)</f>
        <v>#N/A</v>
      </c>
      <c r="G424" s="122" t="e">
        <f>VLOOKUP('Verwarming Tabula 2zone RefULG1'!C424,'Gebouwgegevens Allacker'!$A$35:$F$46,5,0)</f>
        <v>#N/A</v>
      </c>
      <c r="H424" s="122" t="e">
        <f>VLOOKUP('Verwarming Tabula 2zone RefULG1'!D424,'Gebouwgegevens Allacker'!$A$35:$F$46,5,0)</f>
        <v>#N/A</v>
      </c>
      <c r="I424" s="122" t="e">
        <f>VLOOKUP(B424,'Gebouwgegevens Allacker'!$J$5:$Q$83,7,0)</f>
        <v>#N/A</v>
      </c>
      <c r="J424" s="118" t="e">
        <f>VLOOKUP(B424,'Gebouwgegevens Allacker'!$J$5:$Q$83,8,0)</f>
        <v>#N/A</v>
      </c>
      <c r="K424" s="118" t="e">
        <f>(G424-H424)/(G424-$B$4)</f>
        <v>#N/A</v>
      </c>
      <c r="L424" s="98"/>
      <c r="M424" s="98"/>
      <c r="N424" s="98"/>
      <c r="O424" s="98"/>
      <c r="P424" s="96"/>
    </row>
    <row r="425" spans="1:16" ht="16.5" customHeight="1" thickTop="1" thickBot="1" x14ac:dyDescent="0.3">
      <c r="A425" s="95"/>
      <c r="B425" s="116" t="s">
        <v>237</v>
      </c>
      <c r="C425" s="122" t="e">
        <f>IF(VLOOKUP(B425,'Gebouwgegevens Allacker'!$J$5:$Q$83,2,0)=$B$394,VLOOKUP(B425,'Gebouwgegevens Allacker'!$J$5:$Q$83,2,0),VLOOKUP(B425,'Gebouwgegevens Allacker'!$J$5:$Q$83,3,0))</f>
        <v>#N/A</v>
      </c>
      <c r="D425" s="122" t="e">
        <f>IF(VLOOKUP(B425,'Gebouwgegevens Allacker'!$J$5:$Q$83,2,0)=$B$394,VLOOKUP(B425,'Gebouwgegevens Allacker'!$J$5:$Q$83,3,0),VLOOKUP(B425,'Gebouwgegevens Allacker'!$J$5:$Q$83,2,0))</f>
        <v>#N/A</v>
      </c>
      <c r="E425" s="122" t="e">
        <f>VLOOKUP(B425,'Gebouwgegevens Allacker'!$J$5:$Q$83,4,0)</f>
        <v>#N/A</v>
      </c>
      <c r="F425" s="122" t="e">
        <f>VLOOKUP(B425,'Gebouwgegevens Allacker'!$J$5:$Q$83,5,0)</f>
        <v>#N/A</v>
      </c>
      <c r="G425" s="122" t="e">
        <f>VLOOKUP('Verwarming Tabula 2zone RefULG1'!C425,'Gebouwgegevens Allacker'!$A$35:$F$46,5,0)</f>
        <v>#N/A</v>
      </c>
      <c r="H425" s="122" t="e">
        <f>VLOOKUP('Verwarming Tabula 2zone RefULG1'!D425,'Gebouwgegevens Allacker'!$A$35:$F$46,5,0)</f>
        <v>#N/A</v>
      </c>
      <c r="I425" s="122" t="e">
        <f>VLOOKUP(B425,'Gebouwgegevens Allacker'!$J$5:$Q$83,7,0)</f>
        <v>#N/A</v>
      </c>
      <c r="J425" s="118" t="e">
        <f>VLOOKUP(B425,'Gebouwgegevens Allacker'!$J$5:$Q$83,8,0)</f>
        <v>#N/A</v>
      </c>
      <c r="K425" s="118" t="e">
        <f>(G425-H425)/(G425-$B$4)</f>
        <v>#N/A</v>
      </c>
      <c r="L425" s="98"/>
      <c r="M425" s="98"/>
      <c r="N425" s="98"/>
      <c r="O425" s="98"/>
      <c r="P425" s="96"/>
    </row>
    <row r="426" spans="1:16" ht="16.5" customHeight="1" thickTop="1" thickBot="1" x14ac:dyDescent="0.3">
      <c r="A426" s="95"/>
      <c r="B426" s="116" t="s">
        <v>238</v>
      </c>
      <c r="C426" s="122" t="e">
        <f>IF(VLOOKUP(B426,'Gebouwgegevens Allacker'!$J$5:$Q$83,2,0)=$B$394,VLOOKUP(B426,'Gebouwgegevens Allacker'!$J$5:$Q$83,2,0),VLOOKUP(B426,'Gebouwgegevens Allacker'!$J$5:$Q$83,3,0))</f>
        <v>#N/A</v>
      </c>
      <c r="D426" s="122" t="e">
        <f>IF(VLOOKUP(B426,'Gebouwgegevens Allacker'!$J$5:$Q$83,2,0)=$B$394,VLOOKUP(B426,'Gebouwgegevens Allacker'!$J$5:$Q$83,3,0),VLOOKUP(B426,'Gebouwgegevens Allacker'!$J$5:$Q$83,2,0))</f>
        <v>#N/A</v>
      </c>
      <c r="E426" s="122" t="e">
        <f>VLOOKUP(B426,'Gebouwgegevens Allacker'!$J$5:$Q$83,4,0)</f>
        <v>#N/A</v>
      </c>
      <c r="F426" s="122" t="e">
        <f>VLOOKUP(B426,'Gebouwgegevens Allacker'!$J$5:$Q$83,5,0)</f>
        <v>#N/A</v>
      </c>
      <c r="G426" s="122" t="e">
        <f>VLOOKUP('Verwarming Tabula 2zone RefULG1'!C426,'Gebouwgegevens Allacker'!$A$35:$F$46,5,0)</f>
        <v>#N/A</v>
      </c>
      <c r="H426" s="122" t="e">
        <f>VLOOKUP('Verwarming Tabula 2zone RefULG1'!D426,'Gebouwgegevens Allacker'!$A$35:$F$46,5,0)</f>
        <v>#N/A</v>
      </c>
      <c r="I426" s="122" t="e">
        <f>VLOOKUP(B426,'Gebouwgegevens Allacker'!$J$5:$Q$83,7,0)</f>
        <v>#N/A</v>
      </c>
      <c r="J426" s="118" t="e">
        <f>VLOOKUP(B426,'Gebouwgegevens Allacker'!$J$5:$Q$83,8,0)</f>
        <v>#N/A</v>
      </c>
      <c r="K426" s="118" t="e">
        <f>(G426-H426)/(G426-$B$4)</f>
        <v>#N/A</v>
      </c>
      <c r="L426" s="98"/>
      <c r="M426" s="98"/>
      <c r="N426" s="98"/>
      <c r="O426" s="98"/>
      <c r="P426" s="96"/>
    </row>
    <row r="427" spans="1:16" ht="16.5" customHeight="1" thickTop="1" thickBot="1" x14ac:dyDescent="0.3">
      <c r="A427" s="95"/>
      <c r="B427" s="116" t="s">
        <v>239</v>
      </c>
      <c r="C427" s="122" t="e">
        <f>IF(VLOOKUP(B427,'Gebouwgegevens Allacker'!$J$5:$Q$83,2,0)=$B$394,VLOOKUP(B427,'Gebouwgegevens Allacker'!$J$5:$Q$83,2,0),VLOOKUP(B427,'Gebouwgegevens Allacker'!$J$5:$Q$83,3,0))</f>
        <v>#N/A</v>
      </c>
      <c r="D427" s="122" t="e">
        <f>IF(VLOOKUP(B427,'Gebouwgegevens Allacker'!$J$5:$Q$83,2,0)=$B$394,VLOOKUP(B427,'Gebouwgegevens Allacker'!$J$5:$Q$83,3,0),VLOOKUP(B427,'Gebouwgegevens Allacker'!$J$5:$Q$83,2,0))</f>
        <v>#N/A</v>
      </c>
      <c r="E427" s="122" t="e">
        <f>VLOOKUP(B427,'Gebouwgegevens Allacker'!$J$5:$Q$83,4,0)</f>
        <v>#N/A</v>
      </c>
      <c r="F427" s="122" t="e">
        <f>VLOOKUP(B427,'Gebouwgegevens Allacker'!$J$5:$Q$83,5,0)</f>
        <v>#N/A</v>
      </c>
      <c r="G427" s="122" t="e">
        <f>VLOOKUP('Verwarming Tabula 2zone RefULG1'!C427,'Gebouwgegevens Allacker'!$A$35:$F$46,5,0)</f>
        <v>#N/A</v>
      </c>
      <c r="H427" s="122" t="e">
        <f>VLOOKUP('Verwarming Tabula 2zone RefULG1'!D427,'Gebouwgegevens Allacker'!$A$35:$F$46,5,0)</f>
        <v>#N/A</v>
      </c>
      <c r="I427" s="122" t="e">
        <f>VLOOKUP(B427,'Gebouwgegevens Allacker'!$J$5:$Q$83,7,0)</f>
        <v>#N/A</v>
      </c>
      <c r="J427" s="118" t="e">
        <f>VLOOKUP(B427,'Gebouwgegevens Allacker'!$J$5:$Q$83,8,0)</f>
        <v>#N/A</v>
      </c>
      <c r="K427" s="118" t="e">
        <f>(G427-H427)/(G427-$B$4)</f>
        <v>#N/A</v>
      </c>
      <c r="L427" s="98"/>
      <c r="M427" s="98"/>
      <c r="N427" s="98"/>
      <c r="O427" s="98"/>
      <c r="P427" s="96"/>
    </row>
    <row r="428" spans="1:16" ht="16.5" customHeight="1" thickTop="1" thickBot="1" x14ac:dyDescent="0.3">
      <c r="A428" s="95"/>
      <c r="B428" s="145" t="s">
        <v>240</v>
      </c>
      <c r="C428" s="122" t="e">
        <f>IF(VLOOKUP(B428,'Gebouwgegevens Allacker'!$J$5:$Q$83,2,0)=$B$394,VLOOKUP(B428,'Gebouwgegevens Allacker'!$J$5:$Q$83,2,0),VLOOKUP(B428,'Gebouwgegevens Allacker'!$J$5:$Q$83,3,0))</f>
        <v>#N/A</v>
      </c>
      <c r="D428" s="122" t="e">
        <f>IF(VLOOKUP(B428,'Gebouwgegevens Allacker'!$J$5:$Q$83,2,0)=$B$394,VLOOKUP(B428,'Gebouwgegevens Allacker'!$J$5:$Q$83,3,0),VLOOKUP(B428,'Gebouwgegevens Allacker'!$J$5:$Q$83,2,0))</f>
        <v>#N/A</v>
      </c>
      <c r="E428" s="122" t="e">
        <f>VLOOKUP(B428,'Gebouwgegevens Allacker'!$J$5:$Q$83,4,0)</f>
        <v>#N/A</v>
      </c>
      <c r="F428" s="122" t="e">
        <f>VLOOKUP(B428,'Gebouwgegevens Allacker'!$J$5:$Q$83,5,0)</f>
        <v>#N/A</v>
      </c>
      <c r="G428" s="122" t="e">
        <f>VLOOKUP('Verwarming Tabula 2zone RefULG1'!C428,'Gebouwgegevens Allacker'!$A$35:$F$46,5,0)</f>
        <v>#N/A</v>
      </c>
      <c r="H428" s="122" t="e">
        <f>VLOOKUP('Verwarming Tabula 2zone RefULG1'!D428,'Gebouwgegevens Allacker'!$A$35:$F$46,5,0)</f>
        <v>#N/A</v>
      </c>
      <c r="I428" s="122" t="e">
        <f>VLOOKUP(B428,'Gebouwgegevens Allacker'!$J$5:$Q$83,7,0)</f>
        <v>#N/A</v>
      </c>
      <c r="J428" s="118" t="e">
        <f>VLOOKUP(B428,'Gebouwgegevens Allacker'!$J$5:$Q$83,8,0)</f>
        <v>#N/A</v>
      </c>
      <c r="K428" s="118" t="e">
        <f>(G428-H428)/(G428-$B$4)</f>
        <v>#N/A</v>
      </c>
      <c r="L428" s="98"/>
      <c r="M428" s="98"/>
      <c r="N428" s="98"/>
      <c r="O428" s="98"/>
      <c r="P428" s="96"/>
    </row>
    <row r="429" spans="1:16" ht="16.5" customHeight="1" thickTop="1" thickBot="1" x14ac:dyDescent="0.3">
      <c r="A429" s="95"/>
      <c r="B429" s="123"/>
      <c r="C429" s="139"/>
      <c r="D429" s="122"/>
      <c r="E429" s="122"/>
      <c r="F429" s="122"/>
      <c r="G429" s="122"/>
      <c r="H429" s="122"/>
      <c r="I429" s="122"/>
      <c r="J429" s="118"/>
      <c r="K429" s="118"/>
      <c r="L429" s="98"/>
      <c r="M429" s="98"/>
      <c r="N429" s="98"/>
      <c r="O429" s="98"/>
      <c r="P429" s="96"/>
    </row>
    <row r="430" spans="1:16" ht="16.5" customHeight="1" thickTop="1" thickBot="1" x14ac:dyDescent="0.3">
      <c r="A430" s="95"/>
      <c r="B430" s="123"/>
      <c r="C430" s="139"/>
      <c r="D430" s="122"/>
      <c r="E430" s="122"/>
      <c r="F430" s="122"/>
      <c r="G430" s="122"/>
      <c r="H430" s="122"/>
      <c r="I430" s="122"/>
      <c r="J430" s="118"/>
      <c r="K430" s="118"/>
      <c r="L430" s="98"/>
      <c r="M430" s="98"/>
      <c r="N430" s="98"/>
      <c r="O430" s="98"/>
      <c r="P430" s="96"/>
    </row>
    <row r="431" spans="1:16" ht="16.5" customHeight="1" thickTop="1" thickBot="1" x14ac:dyDescent="0.3">
      <c r="A431" s="95"/>
      <c r="B431" s="123"/>
      <c r="C431" s="139"/>
      <c r="D431" s="122"/>
      <c r="E431" s="122"/>
      <c r="F431" s="122"/>
      <c r="G431" s="122"/>
      <c r="H431" s="122"/>
      <c r="I431" s="122"/>
      <c r="J431" s="118"/>
      <c r="K431" s="118"/>
      <c r="L431" s="98"/>
      <c r="M431" s="98"/>
      <c r="N431" s="98"/>
      <c r="O431" s="98"/>
      <c r="P431" s="96"/>
    </row>
    <row r="432" spans="1:16" ht="16.5" customHeight="1" thickTop="1" thickBot="1" x14ac:dyDescent="0.3">
      <c r="A432" s="95"/>
      <c r="B432" s="123"/>
      <c r="C432" s="139"/>
      <c r="D432" s="122"/>
      <c r="E432" s="122"/>
      <c r="F432" s="122"/>
      <c r="G432" s="122"/>
      <c r="H432" s="122"/>
      <c r="I432" s="122"/>
      <c r="J432" s="118"/>
      <c r="K432" s="118"/>
      <c r="L432" s="98"/>
      <c r="M432" s="98"/>
      <c r="N432" s="98"/>
      <c r="O432" s="98"/>
      <c r="P432" s="96"/>
    </row>
    <row r="433" spans="1:16" ht="16.5" customHeight="1" thickTop="1" thickBot="1" x14ac:dyDescent="0.3">
      <c r="A433" s="95"/>
      <c r="B433" s="123"/>
      <c r="C433" s="139"/>
      <c r="D433" s="122"/>
      <c r="E433" s="122"/>
      <c r="F433" s="122"/>
      <c r="G433" s="122"/>
      <c r="H433" s="122"/>
      <c r="I433" s="122"/>
      <c r="J433" s="118"/>
      <c r="K433" s="118"/>
      <c r="L433" s="98"/>
      <c r="M433" s="98"/>
      <c r="N433" s="98"/>
      <c r="O433" s="98"/>
      <c r="P433" s="96"/>
    </row>
    <row r="434" spans="1:16" ht="15.75" customHeight="1" thickTop="1" x14ac:dyDescent="0.25">
      <c r="A434" s="95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8"/>
      <c r="M434" s="98"/>
      <c r="N434" s="98"/>
      <c r="O434" s="98"/>
      <c r="P434" s="96"/>
    </row>
    <row r="435" spans="1:16" ht="15" customHeight="1" x14ac:dyDescent="0.25">
      <c r="A435" s="95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6"/>
    </row>
    <row r="436" spans="1:16" ht="15.75" customHeight="1" x14ac:dyDescent="0.25">
      <c r="A436" s="103" t="s">
        <v>192</v>
      </c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6"/>
    </row>
    <row r="437" spans="1:16" ht="16.5" customHeight="1" x14ac:dyDescent="0.25">
      <c r="A437" s="124" t="s">
        <v>193</v>
      </c>
      <c r="B437" s="118" t="e">
        <f>SUMPRODUCT(H400:H411,I400:I411)+SUMPRODUCT(G416:G420,H416:H420)+SUMPRODUCT(J424:J433,K424:K433)</f>
        <v>#N/A</v>
      </c>
      <c r="C437" s="118" t="s">
        <v>107</v>
      </c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6"/>
    </row>
    <row r="438" spans="1:16" ht="16.5" customHeight="1" x14ac:dyDescent="0.25">
      <c r="A438" s="124" t="s">
        <v>167</v>
      </c>
      <c r="B438" s="118" t="e">
        <f>B437*(G424-$B$4)</f>
        <v>#N/A</v>
      </c>
      <c r="C438" s="118" t="s">
        <v>169</v>
      </c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6"/>
    </row>
    <row r="439" spans="1:16" ht="15.75" customHeight="1" thickBot="1" x14ac:dyDescent="0.3">
      <c r="A439" s="109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1"/>
    </row>
    <row r="440" spans="1:16" ht="15.75" customHeight="1" thickTop="1" x14ac:dyDescent="0.25">
      <c r="A440" s="343" t="s">
        <v>194</v>
      </c>
      <c r="B440" s="343"/>
      <c r="C440" s="343"/>
      <c r="D440" s="125" t="s">
        <v>222</v>
      </c>
      <c r="E440" s="328"/>
      <c r="F440" s="328"/>
      <c r="G440" s="328"/>
      <c r="H440" s="328"/>
      <c r="I440" s="328"/>
      <c r="J440" s="328"/>
      <c r="K440" s="328"/>
      <c r="L440" s="328"/>
      <c r="M440" s="328"/>
      <c r="N440" s="328"/>
      <c r="O440" s="328"/>
      <c r="P440" s="94"/>
    </row>
    <row r="441" spans="1:16" ht="15" customHeight="1" x14ac:dyDescent="0.25">
      <c r="A441" s="95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6"/>
    </row>
    <row r="442" spans="1:16" ht="15" customHeight="1" thickBot="1" x14ac:dyDescent="0.3">
      <c r="A442" s="126" t="s">
        <v>195</v>
      </c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6"/>
    </row>
    <row r="443" spans="1:16" ht="15" customHeight="1" thickTop="1" thickBot="1" x14ac:dyDescent="0.3">
      <c r="A443" s="127" t="s">
        <v>196</v>
      </c>
      <c r="B443" s="121">
        <v>8</v>
      </c>
      <c r="C443" s="120" t="s">
        <v>197</v>
      </c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6"/>
    </row>
    <row r="444" spans="1:16" ht="15" customHeight="1" thickTop="1" thickBot="1" x14ac:dyDescent="0.3">
      <c r="A444" s="127" t="s">
        <v>198</v>
      </c>
      <c r="B444" s="121">
        <v>0.03</v>
      </c>
      <c r="C444" s="120" t="s">
        <v>199</v>
      </c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6"/>
    </row>
    <row r="445" spans="1:16" ht="15.75" customHeight="1" thickTop="1" thickBot="1" x14ac:dyDescent="0.3">
      <c r="A445" s="127" t="s">
        <v>200</v>
      </c>
      <c r="B445" s="121">
        <v>1</v>
      </c>
      <c r="C445" s="120" t="s">
        <v>201</v>
      </c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6"/>
    </row>
    <row r="446" spans="1:16" ht="16.5" customHeight="1" thickTop="1" x14ac:dyDescent="0.25">
      <c r="A446" s="124" t="s">
        <v>202</v>
      </c>
      <c r="B446" s="118" t="e">
        <f>2*VLOOKUP(B394,'Gebouwgegevens Allacker'!$A$35:$F$46,6,0)*B443*B444*B445</f>
        <v>#N/A</v>
      </c>
      <c r="C446" s="118" t="s">
        <v>203</v>
      </c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6"/>
    </row>
    <row r="447" spans="1:16" ht="15.75" customHeight="1" x14ac:dyDescent="0.25">
      <c r="A447" s="95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6"/>
    </row>
    <row r="448" spans="1:16" ht="15" customHeight="1" x14ac:dyDescent="0.25">
      <c r="A448" s="126" t="s">
        <v>204</v>
      </c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6"/>
    </row>
    <row r="449" spans="1:16" ht="15.75" customHeight="1" x14ac:dyDescent="0.25">
      <c r="A449" s="95" t="s">
        <v>180</v>
      </c>
      <c r="B449" s="98" t="e">
        <f>VLOOKUP(B394,'Gebouwgegevens Allacker'!$A$35:$F$46,6,0)</f>
        <v>#N/A</v>
      </c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6"/>
    </row>
    <row r="450" spans="1:16" ht="16.5" customHeight="1" x14ac:dyDescent="0.25">
      <c r="A450" s="124" t="s">
        <v>205</v>
      </c>
      <c r="B450" s="128" t="e">
        <f>B449*3.6</f>
        <v>#N/A</v>
      </c>
      <c r="C450" s="118" t="s">
        <v>203</v>
      </c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6"/>
    </row>
    <row r="451" spans="1:16" ht="15.75" customHeight="1" x14ac:dyDescent="0.25">
      <c r="A451" s="138"/>
      <c r="B451" s="58"/>
      <c r="C451" s="5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6"/>
    </row>
    <row r="452" spans="1:16" ht="15.75" customHeight="1" x14ac:dyDescent="0.25">
      <c r="A452" s="138"/>
      <c r="B452" s="58"/>
      <c r="C452" s="5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6"/>
    </row>
    <row r="453" spans="1:16" ht="16.5" customHeight="1" x14ac:dyDescent="0.25">
      <c r="A453" s="124" t="s">
        <v>207</v>
      </c>
      <c r="B453" s="118" t="e">
        <f>MAX(B446,B450)</f>
        <v>#N/A</v>
      </c>
      <c r="C453" s="118" t="s">
        <v>203</v>
      </c>
      <c r="D453" s="98"/>
      <c r="E453" s="98"/>
      <c r="F453" s="118" t="s">
        <v>208</v>
      </c>
      <c r="G453" s="118" t="e">
        <f>B453/VLOOKUP(B394,'Gebouwgegevens Allacker'!$A$35:$B$46,2,0)</f>
        <v>#N/A</v>
      </c>
      <c r="H453" s="98"/>
      <c r="I453" s="98"/>
      <c r="J453" s="98"/>
      <c r="K453" s="98"/>
      <c r="L453" s="98"/>
      <c r="M453" s="98"/>
      <c r="N453" s="98"/>
      <c r="O453" s="98"/>
      <c r="P453" s="96"/>
    </row>
    <row r="454" spans="1:16" ht="16.5" customHeight="1" x14ac:dyDescent="0.25">
      <c r="A454" s="138"/>
      <c r="B454" s="58"/>
      <c r="C454" s="5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6"/>
    </row>
    <row r="455" spans="1:16" ht="16.5" customHeight="1" x14ac:dyDescent="0.25">
      <c r="A455" s="124" t="s">
        <v>209</v>
      </c>
      <c r="B455" s="118" t="e">
        <f>0.34*B453</f>
        <v>#N/A</v>
      </c>
      <c r="C455" s="118" t="s">
        <v>107</v>
      </c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6"/>
    </row>
    <row r="456" spans="1:16" ht="16.5" customHeight="1" x14ac:dyDescent="0.25">
      <c r="A456" s="124" t="s">
        <v>167</v>
      </c>
      <c r="B456" s="118" t="e">
        <f>B455*('Gebouwgegevens Allacker'!E416-$B$4)</f>
        <v>#N/A</v>
      </c>
      <c r="C456" s="118" t="s">
        <v>169</v>
      </c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6"/>
    </row>
    <row r="457" spans="1:16" ht="15.75" customHeight="1" thickBot="1" x14ac:dyDescent="0.3">
      <c r="A457" s="140"/>
      <c r="B457" s="141"/>
      <c r="C457" s="141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1"/>
    </row>
    <row r="458" spans="1:16" ht="15.75" customHeight="1" thickTop="1" x14ac:dyDescent="0.25">
      <c r="A458" s="343" t="s">
        <v>210</v>
      </c>
      <c r="B458" s="343"/>
      <c r="C458" s="343"/>
      <c r="D458" s="343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6"/>
    </row>
    <row r="459" spans="1:16" ht="15" customHeight="1" thickBot="1" x14ac:dyDescent="0.3">
      <c r="A459" s="95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6"/>
    </row>
    <row r="460" spans="1:16" ht="15" customHeight="1" thickTop="1" thickBot="1" x14ac:dyDescent="0.3">
      <c r="A460" s="127" t="s">
        <v>211</v>
      </c>
      <c r="B460" s="121">
        <v>22</v>
      </c>
      <c r="C460" s="58" t="s">
        <v>232</v>
      </c>
      <c r="D460" s="5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6"/>
    </row>
    <row r="461" spans="1:16" ht="15.75" customHeight="1" thickTop="1" x14ac:dyDescent="0.25">
      <c r="A461" s="3" t="s">
        <v>113</v>
      </c>
      <c r="B461" s="58" t="e">
        <f>VLOOKUP(B394,'Gebouwgegevens Allacker'!$A$35:$F$46,6,0)</f>
        <v>#N/A</v>
      </c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6"/>
    </row>
    <row r="462" spans="1:16" ht="16.5" customHeight="1" x14ac:dyDescent="0.25">
      <c r="A462" s="124" t="s">
        <v>213</v>
      </c>
      <c r="B462" s="118" t="e">
        <f>B463/('Gebouwgegevens Allacker'!E416-'Verwarming Tabula 2zone RefULG1'!$B$4)</f>
        <v>#N/A</v>
      </c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6"/>
    </row>
    <row r="463" spans="1:16" ht="16.5" customHeight="1" x14ac:dyDescent="0.25">
      <c r="A463" s="124" t="s">
        <v>167</v>
      </c>
      <c r="B463" s="118" t="e">
        <f>B460*B461</f>
        <v>#N/A</v>
      </c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6"/>
    </row>
    <row r="464" spans="1:16" ht="15.75" customHeight="1" x14ac:dyDescent="0.25">
      <c r="A464" s="95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6"/>
    </row>
    <row r="465" spans="1:16" ht="15.75" customHeight="1" thickBot="1" x14ac:dyDescent="0.3">
      <c r="A465" s="95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6"/>
    </row>
    <row r="466" spans="1:16" ht="15.75" customHeight="1" thickTop="1" thickBot="1" x14ac:dyDescent="0.3">
      <c r="A466" s="129" t="s">
        <v>214</v>
      </c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1"/>
    </row>
    <row r="467" spans="1:16" ht="16.5" customHeight="1" thickTop="1" x14ac:dyDescent="0.25">
      <c r="A467" s="124" t="s">
        <v>215</v>
      </c>
      <c r="B467" s="118" t="e">
        <f>SUM(B437,B455,B462)</f>
        <v>#N/A</v>
      </c>
      <c r="C467" s="118" t="s">
        <v>107</v>
      </c>
      <c r="D467" s="132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  <c r="O467" s="132"/>
      <c r="P467" s="133"/>
    </row>
    <row r="468" spans="1:16" ht="16.5" customHeight="1" x14ac:dyDescent="0.25">
      <c r="A468" s="124" t="s">
        <v>167</v>
      </c>
      <c r="B468" s="118" t="e">
        <f>SUM(B438,B456,B463)</f>
        <v>#N/A</v>
      </c>
      <c r="C468" s="118" t="s">
        <v>169</v>
      </c>
      <c r="D468" s="132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  <c r="O468" s="132"/>
      <c r="P468" s="133"/>
    </row>
    <row r="469" spans="1:16" ht="16.5" customHeight="1" thickBot="1" x14ac:dyDescent="0.3">
      <c r="A469" s="134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6"/>
    </row>
    <row r="470" spans="1:16" ht="15.75" customHeight="1" thickTop="1" thickBot="1" x14ac:dyDescent="0.3">
      <c r="A470" s="137"/>
      <c r="B470" s="137"/>
      <c r="C470" s="137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</row>
    <row r="471" spans="1:16" ht="15" customHeight="1" thickTop="1" thickBot="1" x14ac:dyDescent="0.3">
      <c r="A471" s="93"/>
      <c r="B471" s="328"/>
      <c r="C471" s="328"/>
      <c r="D471" s="328"/>
      <c r="E471" s="328"/>
      <c r="F471" s="328"/>
      <c r="G471" s="328"/>
      <c r="H471" s="328"/>
      <c r="I471" s="328"/>
      <c r="J471" s="328"/>
      <c r="K471" s="328"/>
      <c r="L471" s="328"/>
      <c r="M471" s="328"/>
      <c r="N471" s="328"/>
      <c r="O471" s="328"/>
      <c r="P471" s="94"/>
    </row>
    <row r="472" spans="1:16" ht="17.25" customHeight="1" thickTop="1" thickBot="1" x14ac:dyDescent="0.35">
      <c r="A472" s="97" t="s">
        <v>166</v>
      </c>
      <c r="B472" s="92">
        <v>7</v>
      </c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6"/>
    </row>
    <row r="473" spans="1:16" ht="15.75" customHeight="1" thickTop="1" x14ac:dyDescent="0.25">
      <c r="A473" s="343" t="s">
        <v>168</v>
      </c>
      <c r="B473" s="343"/>
      <c r="C473" s="343"/>
      <c r="D473" s="343"/>
      <c r="E473" s="328"/>
      <c r="F473" s="328"/>
      <c r="G473" s="328"/>
      <c r="H473" s="328"/>
      <c r="I473" s="328"/>
      <c r="J473" s="328"/>
      <c r="K473" s="328"/>
      <c r="L473" s="328"/>
      <c r="M473" s="328"/>
      <c r="N473" s="328"/>
      <c r="O473" s="328"/>
      <c r="P473" s="94"/>
    </row>
    <row r="474" spans="1:16" ht="15" customHeight="1" x14ac:dyDescent="0.25">
      <c r="A474" s="95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6"/>
    </row>
    <row r="475" spans="1:16" ht="15" customHeight="1" x14ac:dyDescent="0.25">
      <c r="A475" s="103" t="s">
        <v>170</v>
      </c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6"/>
    </row>
    <row r="476" spans="1:16" ht="15" customHeight="1" x14ac:dyDescent="0.25">
      <c r="A476" s="95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6"/>
    </row>
    <row r="477" spans="1:16" ht="15.75" customHeight="1" thickBot="1" x14ac:dyDescent="0.3">
      <c r="A477" s="95"/>
      <c r="B477" s="104" t="s">
        <v>10</v>
      </c>
      <c r="C477" s="104" t="s">
        <v>171</v>
      </c>
      <c r="D477" s="104" t="s">
        <v>172</v>
      </c>
      <c r="E477" s="104" t="s">
        <v>173</v>
      </c>
      <c r="F477" s="104" t="s">
        <v>174</v>
      </c>
      <c r="G477" s="104" t="s">
        <v>16</v>
      </c>
      <c r="H477" s="105" t="s">
        <v>17</v>
      </c>
      <c r="I477" s="105" t="s">
        <v>175</v>
      </c>
      <c r="J477" s="98"/>
      <c r="K477" s="98"/>
      <c r="L477" s="98"/>
      <c r="M477" s="98"/>
      <c r="N477" s="98"/>
      <c r="O477" s="98"/>
      <c r="P477" s="96"/>
    </row>
    <row r="478" spans="1:16" ht="16.5" customHeight="1" thickTop="1" thickBot="1" x14ac:dyDescent="0.3">
      <c r="A478" s="95"/>
      <c r="B478" s="106" t="s">
        <v>102</v>
      </c>
      <c r="C478" s="107">
        <f>VLOOKUP(B478,'Gebouwgegevens Allacker'!$J$5:$Q$83,3,0)</f>
        <v>2</v>
      </c>
      <c r="D478" s="107" t="str">
        <f>VLOOKUP(B478,'Gebouwgegevens Allacker'!$J$5:$Q$83,4,0)</f>
        <v>Wall internal</v>
      </c>
      <c r="E478" s="107">
        <f>VLOOKUP(B478,'Gebouwgegevens Allacker'!$J$5:$Q$83,5,0)</f>
        <v>14.24</v>
      </c>
      <c r="F478" s="107">
        <f>VLOOKUP(B478,'Gebouwgegevens Allacker'!$J$5:$Q$83,6,0)</f>
        <v>0</v>
      </c>
      <c r="G478" s="107">
        <f>VLOOKUP(B478,'Gebouwgegevens Allacker'!$J$5:$Q$83,7,0)</f>
        <v>1.9926199261992623</v>
      </c>
      <c r="H478" s="108">
        <f>VLOOKUP(B478,'Gebouwgegevens Allacker'!$J$5:$Q$83,8,0)</f>
        <v>28.374907749077497</v>
      </c>
      <c r="I478" s="108">
        <v>1</v>
      </c>
      <c r="J478" s="98"/>
      <c r="K478" s="98"/>
      <c r="L478" s="98"/>
      <c r="M478" s="98"/>
      <c r="N478" s="98"/>
      <c r="O478" s="98"/>
      <c r="P478" s="96"/>
    </row>
    <row r="479" spans="1:16" ht="16.5" customHeight="1" thickTop="1" thickBot="1" x14ac:dyDescent="0.3">
      <c r="A479" s="95"/>
      <c r="B479" s="106" t="s">
        <v>102</v>
      </c>
      <c r="C479" s="107">
        <f>VLOOKUP(B479,'Gebouwgegevens Allacker'!$J$5:$Q$83,3,0)</f>
        <v>2</v>
      </c>
      <c r="D479" s="107" t="str">
        <f>VLOOKUP(B479,'Gebouwgegevens Allacker'!$J$5:$Q$83,4,0)</f>
        <v>Wall internal</v>
      </c>
      <c r="E479" s="107">
        <f>VLOOKUP(B479,'Gebouwgegevens Allacker'!$J$5:$Q$83,5,0)</f>
        <v>14.24</v>
      </c>
      <c r="F479" s="107">
        <f>VLOOKUP(B479,'Gebouwgegevens Allacker'!$J$5:$Q$83,6,0)</f>
        <v>0</v>
      </c>
      <c r="G479" s="107">
        <f>VLOOKUP(B479,'Gebouwgegevens Allacker'!$J$5:$Q$83,7,0)</f>
        <v>1.9926199261992623</v>
      </c>
      <c r="H479" s="108">
        <f>VLOOKUP(B479,'Gebouwgegevens Allacker'!$J$5:$Q$83,8,0)</f>
        <v>28.374907749077497</v>
      </c>
      <c r="I479" s="108">
        <v>1</v>
      </c>
      <c r="J479" s="98"/>
      <c r="K479" s="98"/>
      <c r="L479" s="98"/>
      <c r="M479" s="98"/>
      <c r="N479" s="98"/>
      <c r="O479" s="98"/>
      <c r="P479" s="96"/>
    </row>
    <row r="480" spans="1:16" ht="16.5" customHeight="1" thickTop="1" thickBot="1" x14ac:dyDescent="0.3">
      <c r="A480" s="95"/>
      <c r="B480" s="106" t="s">
        <v>241</v>
      </c>
      <c r="C480" s="107" t="e">
        <f>VLOOKUP(B480,'Gebouwgegevens Allacker'!$J$5:$Q$83,3,0)</f>
        <v>#N/A</v>
      </c>
      <c r="D480" s="107" t="e">
        <f>VLOOKUP(B480,'Gebouwgegevens Allacker'!$J$5:$Q$83,4,0)</f>
        <v>#N/A</v>
      </c>
      <c r="E480" s="107" t="e">
        <f>VLOOKUP(B480,'Gebouwgegevens Allacker'!$J$5:$Q$83,5,0)</f>
        <v>#N/A</v>
      </c>
      <c r="F480" s="107" t="e">
        <f>VLOOKUP(B480,'Gebouwgegevens Allacker'!$J$5:$Q$83,6,0)</f>
        <v>#N/A</v>
      </c>
      <c r="G480" s="107" t="e">
        <f>VLOOKUP(B480,'Gebouwgegevens Allacker'!$J$5:$Q$83,7,0)</f>
        <v>#N/A</v>
      </c>
      <c r="H480" s="108" t="e">
        <f>VLOOKUP(B480,'Gebouwgegevens Allacker'!$J$5:$Q$83,8,0)</f>
        <v>#N/A</v>
      </c>
      <c r="I480" s="108">
        <v>1</v>
      </c>
      <c r="J480" s="98"/>
      <c r="K480" s="98"/>
      <c r="L480" s="98"/>
      <c r="M480" s="98"/>
      <c r="N480" s="98"/>
      <c r="O480" s="98"/>
      <c r="P480" s="96"/>
    </row>
    <row r="481" spans="1:16" ht="16.5" customHeight="1" thickTop="1" thickBot="1" x14ac:dyDescent="0.3">
      <c r="A481" s="95"/>
      <c r="B481" s="106" t="s">
        <v>242</v>
      </c>
      <c r="C481" s="107" t="e">
        <f>VLOOKUP(B481,'Gebouwgegevens Allacker'!$J$5:$Q$83,3,0)</f>
        <v>#N/A</v>
      </c>
      <c r="D481" s="107" t="e">
        <f>VLOOKUP(B481,'Gebouwgegevens Allacker'!$J$5:$Q$83,4,0)</f>
        <v>#N/A</v>
      </c>
      <c r="E481" s="107" t="e">
        <f>VLOOKUP(B481,'Gebouwgegevens Allacker'!$J$5:$Q$83,5,0)</f>
        <v>#N/A</v>
      </c>
      <c r="F481" s="107" t="e">
        <f>VLOOKUP(B481,'Gebouwgegevens Allacker'!$J$5:$Q$83,6,0)</f>
        <v>#N/A</v>
      </c>
      <c r="G481" s="107" t="e">
        <f>VLOOKUP(B481,'Gebouwgegevens Allacker'!$J$5:$Q$83,7,0)</f>
        <v>#N/A</v>
      </c>
      <c r="H481" s="108" t="e">
        <f>VLOOKUP(B481,'Gebouwgegevens Allacker'!$J$5:$Q$83,8,0)</f>
        <v>#N/A</v>
      </c>
      <c r="I481" s="108">
        <v>1</v>
      </c>
      <c r="J481" s="98"/>
      <c r="K481" s="98"/>
      <c r="L481" s="98"/>
      <c r="M481" s="98"/>
      <c r="N481" s="98"/>
      <c r="O481" s="98"/>
      <c r="P481" s="96"/>
    </row>
    <row r="482" spans="1:16" ht="16.5" customHeight="1" thickTop="1" thickBot="1" x14ac:dyDescent="0.3">
      <c r="A482" s="95"/>
      <c r="B482" s="106" t="s">
        <v>243</v>
      </c>
      <c r="C482" s="107" t="e">
        <f>VLOOKUP(B482,'Gebouwgegevens Allacker'!$J$5:$Q$83,3,0)</f>
        <v>#N/A</v>
      </c>
      <c r="D482" s="107" t="e">
        <f>VLOOKUP(B482,'Gebouwgegevens Allacker'!$J$5:$Q$83,4,0)</f>
        <v>#N/A</v>
      </c>
      <c r="E482" s="107" t="e">
        <f>VLOOKUP(B482,'Gebouwgegevens Allacker'!$J$5:$Q$83,5,0)</f>
        <v>#N/A</v>
      </c>
      <c r="F482" s="107" t="e">
        <f>VLOOKUP(B482,'Gebouwgegevens Allacker'!$J$5:$Q$83,6,0)</f>
        <v>#N/A</v>
      </c>
      <c r="G482" s="107" t="e">
        <f>VLOOKUP(B482,'Gebouwgegevens Allacker'!$J$5:$Q$83,7,0)</f>
        <v>#N/A</v>
      </c>
      <c r="H482" s="108" t="e">
        <f>VLOOKUP(B482,'Gebouwgegevens Allacker'!$J$5:$Q$83,8,0)</f>
        <v>#N/A</v>
      </c>
      <c r="I482" s="108">
        <v>1</v>
      </c>
      <c r="J482" s="98"/>
      <c r="K482" s="98"/>
      <c r="L482" s="98"/>
      <c r="M482" s="98"/>
      <c r="N482" s="98"/>
      <c r="O482" s="98"/>
      <c r="P482" s="96"/>
    </row>
    <row r="483" spans="1:16" ht="16.5" customHeight="1" thickTop="1" thickBot="1" x14ac:dyDescent="0.3">
      <c r="A483" s="95"/>
      <c r="B483" s="106" t="s">
        <v>244</v>
      </c>
      <c r="C483" s="107" t="e">
        <f>VLOOKUP(B483,'Gebouwgegevens Allacker'!$J$5:$Q$83,3,0)</f>
        <v>#N/A</v>
      </c>
      <c r="D483" s="107" t="e">
        <f>VLOOKUP(B483,'Gebouwgegevens Allacker'!$J$5:$Q$83,4,0)</f>
        <v>#N/A</v>
      </c>
      <c r="E483" s="107" t="e">
        <f>VLOOKUP(B483,'Gebouwgegevens Allacker'!$J$5:$Q$83,5,0)</f>
        <v>#N/A</v>
      </c>
      <c r="F483" s="107" t="e">
        <f>VLOOKUP(B483,'Gebouwgegevens Allacker'!$J$5:$Q$83,6,0)</f>
        <v>#N/A</v>
      </c>
      <c r="G483" s="107" t="e">
        <f>VLOOKUP(B483,'Gebouwgegevens Allacker'!$J$5:$Q$83,7,0)</f>
        <v>#N/A</v>
      </c>
      <c r="H483" s="108" t="e">
        <f>VLOOKUP(B483,'Gebouwgegevens Allacker'!$J$5:$Q$83,8,0)</f>
        <v>#N/A</v>
      </c>
      <c r="I483" s="108">
        <v>1</v>
      </c>
      <c r="J483" s="98"/>
      <c r="K483" s="98"/>
      <c r="L483" s="98"/>
      <c r="M483" s="98"/>
      <c r="N483" s="98"/>
      <c r="O483" s="98"/>
      <c r="P483" s="96"/>
    </row>
    <row r="484" spans="1:16" ht="16.5" customHeight="1" thickTop="1" thickBot="1" x14ac:dyDescent="0.3">
      <c r="A484" s="95"/>
      <c r="B484" s="106"/>
      <c r="C484" s="107"/>
      <c r="D484" s="107"/>
      <c r="E484" s="107"/>
      <c r="F484" s="107"/>
      <c r="G484" s="107"/>
      <c r="H484" s="108"/>
      <c r="I484" s="108"/>
      <c r="J484" s="98"/>
      <c r="K484" s="98"/>
      <c r="L484" s="98"/>
      <c r="M484" s="98"/>
      <c r="N484" s="98"/>
      <c r="O484" s="98"/>
      <c r="P484" s="96"/>
    </row>
    <row r="485" spans="1:16" ht="16.5" customHeight="1" thickTop="1" thickBot="1" x14ac:dyDescent="0.3">
      <c r="A485" s="95"/>
      <c r="B485" s="106"/>
      <c r="C485" s="107"/>
      <c r="D485" s="107"/>
      <c r="E485" s="107"/>
      <c r="F485" s="107"/>
      <c r="G485" s="107"/>
      <c r="H485" s="108"/>
      <c r="I485" s="108"/>
      <c r="J485" s="98"/>
      <c r="K485" s="98"/>
      <c r="L485" s="98"/>
      <c r="M485" s="98"/>
      <c r="N485" s="98"/>
      <c r="O485" s="98"/>
      <c r="P485" s="96"/>
    </row>
    <row r="486" spans="1:16" ht="16.5" customHeight="1" thickTop="1" thickBot="1" x14ac:dyDescent="0.3">
      <c r="A486" s="95"/>
      <c r="B486" s="106"/>
      <c r="C486" s="107"/>
      <c r="D486" s="107"/>
      <c r="E486" s="107"/>
      <c r="F486" s="107"/>
      <c r="G486" s="107"/>
      <c r="H486" s="108"/>
      <c r="I486" s="108"/>
      <c r="J486" s="98"/>
      <c r="K486" s="98"/>
      <c r="L486" s="98"/>
      <c r="M486" s="98"/>
      <c r="N486" s="98"/>
      <c r="O486" s="98"/>
      <c r="P486" s="96"/>
    </row>
    <row r="487" spans="1:16" ht="16.5" customHeight="1" thickTop="1" thickBot="1" x14ac:dyDescent="0.3">
      <c r="A487" s="95"/>
      <c r="B487" s="106"/>
      <c r="C487" s="107"/>
      <c r="D487" s="107"/>
      <c r="E487" s="107"/>
      <c r="F487" s="107"/>
      <c r="G487" s="107"/>
      <c r="H487" s="108"/>
      <c r="I487" s="108"/>
      <c r="J487" s="98"/>
      <c r="K487" s="98"/>
      <c r="L487" s="98"/>
      <c r="M487" s="98"/>
      <c r="N487" s="98"/>
      <c r="O487" s="98"/>
      <c r="P487" s="96"/>
    </row>
    <row r="488" spans="1:16" ht="16.5" customHeight="1" thickTop="1" thickBot="1" x14ac:dyDescent="0.3">
      <c r="A488" s="95"/>
      <c r="B488" s="106"/>
      <c r="C488" s="107"/>
      <c r="D488" s="107"/>
      <c r="E488" s="107"/>
      <c r="F488" s="107"/>
      <c r="G488" s="107"/>
      <c r="H488" s="108"/>
      <c r="I488" s="108"/>
      <c r="J488" s="98"/>
      <c r="K488" s="98"/>
      <c r="L488" s="98"/>
      <c r="M488" s="98"/>
      <c r="N488" s="98"/>
      <c r="O488" s="98"/>
      <c r="P488" s="96"/>
    </row>
    <row r="489" spans="1:16" ht="16.5" customHeight="1" thickTop="1" thickBot="1" x14ac:dyDescent="0.3">
      <c r="A489" s="95"/>
      <c r="B489" s="106"/>
      <c r="C489" s="107"/>
      <c r="D489" s="107"/>
      <c r="E489" s="107"/>
      <c r="F489" s="107"/>
      <c r="G489" s="107"/>
      <c r="H489" s="108"/>
      <c r="I489" s="108"/>
      <c r="J489" s="98"/>
      <c r="K489" s="98"/>
      <c r="L489" s="98"/>
      <c r="M489" s="98"/>
      <c r="N489" s="98"/>
      <c r="O489" s="98"/>
      <c r="P489" s="96"/>
    </row>
    <row r="490" spans="1:16" ht="15.75" customHeight="1" thickTop="1" x14ac:dyDescent="0.25">
      <c r="A490" s="95"/>
      <c r="B490" s="58"/>
      <c r="C490" s="58"/>
      <c r="D490" s="58"/>
      <c r="E490" s="58"/>
      <c r="F490" s="58"/>
      <c r="G490" s="114"/>
      <c r="H490" s="58"/>
      <c r="I490" s="58"/>
      <c r="J490" s="98"/>
      <c r="K490" s="98"/>
      <c r="L490" s="98"/>
      <c r="M490" s="98"/>
      <c r="N490" s="98"/>
      <c r="O490" s="98"/>
      <c r="P490" s="96"/>
    </row>
    <row r="491" spans="1:16" ht="15" customHeight="1" x14ac:dyDescent="0.25">
      <c r="A491" s="95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6"/>
    </row>
    <row r="492" spans="1:16" ht="15" customHeight="1" x14ac:dyDescent="0.25">
      <c r="A492" s="103" t="s">
        <v>177</v>
      </c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6"/>
    </row>
    <row r="493" spans="1:16" ht="15.75" customHeight="1" x14ac:dyDescent="0.25">
      <c r="A493" s="95"/>
      <c r="B493" s="58" t="s">
        <v>10</v>
      </c>
      <c r="C493" s="58" t="s">
        <v>178</v>
      </c>
      <c r="D493" s="58" t="s">
        <v>172</v>
      </c>
      <c r="E493" s="58" t="s">
        <v>179</v>
      </c>
      <c r="F493" s="58" t="s">
        <v>16</v>
      </c>
      <c r="G493" s="114" t="s">
        <v>17</v>
      </c>
      <c r="H493" s="114" t="s">
        <v>175</v>
      </c>
      <c r="I493" s="58" t="s">
        <v>180</v>
      </c>
      <c r="J493" s="58" t="s">
        <v>181</v>
      </c>
      <c r="K493" s="58" t="s">
        <v>182</v>
      </c>
      <c r="L493" s="115" t="s">
        <v>183</v>
      </c>
      <c r="M493" s="115" t="s">
        <v>184</v>
      </c>
      <c r="N493" s="115" t="s">
        <v>185</v>
      </c>
      <c r="O493" s="98"/>
      <c r="P493" s="96"/>
    </row>
    <row r="494" spans="1:16" ht="16.5" customHeight="1" thickBot="1" x14ac:dyDescent="0.3">
      <c r="A494" s="95"/>
      <c r="B494" s="116"/>
      <c r="C494" s="117"/>
      <c r="D494" s="117"/>
      <c r="E494" s="117"/>
      <c r="F494" s="117"/>
      <c r="G494" s="118"/>
      <c r="H494" s="118"/>
      <c r="I494" s="117"/>
      <c r="J494" s="116"/>
      <c r="K494" s="116"/>
      <c r="L494" s="119"/>
      <c r="M494" s="119"/>
      <c r="N494" s="120"/>
      <c r="O494" s="98"/>
      <c r="P494" s="96"/>
    </row>
    <row r="495" spans="1:16" ht="16.5" customHeight="1" thickTop="1" thickBot="1" x14ac:dyDescent="0.3">
      <c r="A495" s="95"/>
      <c r="B495" s="116"/>
      <c r="C495" s="117"/>
      <c r="D495" s="117"/>
      <c r="E495" s="117"/>
      <c r="F495" s="117"/>
      <c r="G495" s="118"/>
      <c r="H495" s="118"/>
      <c r="I495" s="117"/>
      <c r="J495" s="116"/>
      <c r="K495" s="116"/>
      <c r="L495" s="119"/>
      <c r="M495" s="119"/>
      <c r="N495" s="120"/>
      <c r="O495" s="98"/>
      <c r="P495" s="96"/>
    </row>
    <row r="496" spans="1:16" ht="16.5" customHeight="1" thickTop="1" thickBot="1" x14ac:dyDescent="0.3">
      <c r="A496" s="95"/>
      <c r="B496" s="116"/>
      <c r="C496" s="117"/>
      <c r="D496" s="117"/>
      <c r="E496" s="117"/>
      <c r="F496" s="117"/>
      <c r="G496" s="118"/>
      <c r="H496" s="118"/>
      <c r="I496" s="117"/>
      <c r="J496" s="116"/>
      <c r="K496" s="116"/>
      <c r="L496" s="119"/>
      <c r="M496" s="119"/>
      <c r="N496" s="120"/>
      <c r="O496" s="98"/>
      <c r="P496" s="96"/>
    </row>
    <row r="497" spans="1:16" ht="16.5" customHeight="1" thickTop="1" thickBot="1" x14ac:dyDescent="0.3">
      <c r="A497" s="95"/>
      <c r="B497" s="116"/>
      <c r="C497" s="117"/>
      <c r="D497" s="117"/>
      <c r="E497" s="117"/>
      <c r="F497" s="117"/>
      <c r="G497" s="118"/>
      <c r="H497" s="118"/>
      <c r="I497" s="117"/>
      <c r="J497" s="116"/>
      <c r="K497" s="116"/>
      <c r="L497" s="119"/>
      <c r="M497" s="119"/>
      <c r="N497" s="120"/>
      <c r="O497" s="98"/>
      <c r="P497" s="96"/>
    </row>
    <row r="498" spans="1:16" ht="16.5" customHeight="1" thickTop="1" thickBot="1" x14ac:dyDescent="0.3">
      <c r="A498" s="138"/>
      <c r="B498" s="116"/>
      <c r="C498" s="117"/>
      <c r="D498" s="117"/>
      <c r="E498" s="117"/>
      <c r="F498" s="117"/>
      <c r="G498" s="118"/>
      <c r="H498" s="118"/>
      <c r="I498" s="117"/>
      <c r="J498" s="116"/>
      <c r="K498" s="116"/>
      <c r="L498" s="119"/>
      <c r="M498" s="119"/>
      <c r="N498" s="120"/>
      <c r="O498" s="98"/>
      <c r="P498" s="96"/>
    </row>
    <row r="499" spans="1:16" ht="15.75" customHeight="1" thickTop="1" x14ac:dyDescent="0.25">
      <c r="A499" s="95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6"/>
    </row>
    <row r="500" spans="1:16" ht="15" customHeight="1" x14ac:dyDescent="0.25">
      <c r="A500" s="103" t="s">
        <v>186</v>
      </c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6"/>
    </row>
    <row r="501" spans="1:16" ht="15.75" customHeight="1" thickBot="1" x14ac:dyDescent="0.3">
      <c r="A501" s="95"/>
      <c r="B501" s="58" t="s">
        <v>10</v>
      </c>
      <c r="C501" s="58" t="s">
        <v>187</v>
      </c>
      <c r="D501" s="58" t="s">
        <v>188</v>
      </c>
      <c r="E501" s="58" t="s">
        <v>135</v>
      </c>
      <c r="F501" s="58" t="s">
        <v>189</v>
      </c>
      <c r="G501" s="58" t="s">
        <v>190</v>
      </c>
      <c r="H501" s="58" t="s">
        <v>191</v>
      </c>
      <c r="I501" s="58" t="s">
        <v>16</v>
      </c>
      <c r="J501" s="114" t="s">
        <v>17</v>
      </c>
      <c r="K501" s="114" t="s">
        <v>175</v>
      </c>
      <c r="L501" s="98"/>
      <c r="M501" s="98"/>
      <c r="N501" s="98"/>
      <c r="O501" s="98"/>
      <c r="P501" s="96"/>
    </row>
    <row r="502" spans="1:16" ht="16.5" customHeight="1" thickTop="1" thickBot="1" x14ac:dyDescent="0.3">
      <c r="A502" s="95"/>
      <c r="B502" s="116" t="s">
        <v>237</v>
      </c>
      <c r="C502" s="122" t="e">
        <f>IF(VLOOKUP(B502,'Gebouwgegevens Allacker'!$J$5:$Q$83,2,0)=$B$472,VLOOKUP(B502,'Gebouwgegevens Allacker'!$J$5:$Q$83,2,0),VLOOKUP(B502,'Gebouwgegevens Allacker'!$J$5:$Q$83,3,0))</f>
        <v>#N/A</v>
      </c>
      <c r="D502" s="122" t="e">
        <f>IF(VLOOKUP(B502,'Gebouwgegevens Allacker'!$J$5:$Q$83,2,0)=$B$472,VLOOKUP(B502,'Gebouwgegevens Allacker'!$J$5:$Q$83,3,0),VLOOKUP(B502,'Gebouwgegevens Allacker'!$J$5:$Q$83,2,0))</f>
        <v>#N/A</v>
      </c>
      <c r="E502" s="122" t="e">
        <f>VLOOKUP(B502,'Gebouwgegevens Allacker'!$J$5:$Q$83,4,0)</f>
        <v>#N/A</v>
      </c>
      <c r="F502" s="122" t="e">
        <f>VLOOKUP(B502,'Gebouwgegevens Allacker'!$J$5:$Q$83,5,0)</f>
        <v>#N/A</v>
      </c>
      <c r="G502" s="122" t="e">
        <f>VLOOKUP('Verwarming Tabula 2zone RefULG1'!C502,'Gebouwgegevens Allacker'!$A$35:$F$46,5,0)</f>
        <v>#N/A</v>
      </c>
      <c r="H502" s="122" t="e">
        <f>VLOOKUP('Verwarming Tabula 2zone RefULG1'!D502,'Gebouwgegevens Allacker'!$A$35:$F$46,5,0)</f>
        <v>#N/A</v>
      </c>
      <c r="I502" s="122" t="e">
        <f>VLOOKUP(B502,'Gebouwgegevens Allacker'!$J$5:$Q$83,7,0)</f>
        <v>#N/A</v>
      </c>
      <c r="J502" s="118" t="e">
        <f>VLOOKUP(B502,'Gebouwgegevens Allacker'!$J$5:$Q$83,8,0)</f>
        <v>#N/A</v>
      </c>
      <c r="K502" s="118" t="e">
        <f>(G502-H502)/(G502-$B$4)</f>
        <v>#N/A</v>
      </c>
      <c r="L502" s="98"/>
      <c r="M502" s="98"/>
      <c r="N502" s="98"/>
      <c r="O502" s="98"/>
      <c r="P502" s="96"/>
    </row>
    <row r="503" spans="1:16" ht="16.5" customHeight="1" thickTop="1" thickBot="1" x14ac:dyDescent="0.3">
      <c r="A503" s="95"/>
      <c r="B503" s="116" t="s">
        <v>221</v>
      </c>
      <c r="C503" s="122" t="e">
        <f>IF(VLOOKUP(B503,'Gebouwgegevens Allacker'!$J$5:$Q$83,2,0)=$B$472,VLOOKUP(B503,'Gebouwgegevens Allacker'!$J$5:$Q$83,2,0),VLOOKUP(B503,'Gebouwgegevens Allacker'!$J$5:$Q$83,3,0))</f>
        <v>#N/A</v>
      </c>
      <c r="D503" s="122" t="e">
        <f>IF(VLOOKUP(B503,'Gebouwgegevens Allacker'!$J$5:$Q$83,2,0)=$B$472,VLOOKUP(B503,'Gebouwgegevens Allacker'!$J$5:$Q$83,3,0),VLOOKUP(B503,'Gebouwgegevens Allacker'!$J$5:$Q$83,2,0))</f>
        <v>#N/A</v>
      </c>
      <c r="E503" s="122" t="e">
        <f>VLOOKUP(B503,'Gebouwgegevens Allacker'!$J$5:$Q$83,4,0)</f>
        <v>#N/A</v>
      </c>
      <c r="F503" s="122" t="e">
        <f>VLOOKUP(B503,'Gebouwgegevens Allacker'!$J$5:$Q$83,5,0)</f>
        <v>#N/A</v>
      </c>
      <c r="G503" s="122" t="e">
        <f>VLOOKUP('Verwarming Tabula 2zone RefULG1'!C503,'Gebouwgegevens Allacker'!$A$35:$F$46,5,0)</f>
        <v>#N/A</v>
      </c>
      <c r="H503" s="122" t="e">
        <f>VLOOKUP('Verwarming Tabula 2zone RefULG1'!D503,'Gebouwgegevens Allacker'!$A$35:$F$46,5,0)</f>
        <v>#N/A</v>
      </c>
      <c r="I503" s="122" t="e">
        <f>VLOOKUP(B503,'Gebouwgegevens Allacker'!$J$5:$Q$83,7,0)</f>
        <v>#N/A</v>
      </c>
      <c r="J503" s="118" t="e">
        <f>VLOOKUP(B503,'Gebouwgegevens Allacker'!$J$5:$Q$83,8,0)</f>
        <v>#N/A</v>
      </c>
      <c r="K503" s="118" t="e">
        <f>(G503-H503)/(G503-$B$4)</f>
        <v>#N/A</v>
      </c>
      <c r="L503" s="98"/>
      <c r="M503" s="98"/>
      <c r="N503" s="98"/>
      <c r="O503" s="98"/>
      <c r="P503" s="96"/>
    </row>
    <row r="504" spans="1:16" ht="16.5" customHeight="1" thickTop="1" thickBot="1" x14ac:dyDescent="0.3">
      <c r="A504" s="95"/>
      <c r="B504" s="116" t="s">
        <v>245</v>
      </c>
      <c r="C504" s="122" t="e">
        <f>IF(VLOOKUP(B504,'Gebouwgegevens Allacker'!$J$5:$Q$83,2,0)=$B$472,VLOOKUP(B504,'Gebouwgegevens Allacker'!$J$5:$Q$83,2,0),VLOOKUP(B504,'Gebouwgegevens Allacker'!$J$5:$Q$83,3,0))</f>
        <v>#N/A</v>
      </c>
      <c r="D504" s="122" t="e">
        <f>IF(VLOOKUP(B504,'Gebouwgegevens Allacker'!$J$5:$Q$83,2,0)=$B$472,VLOOKUP(B504,'Gebouwgegevens Allacker'!$J$5:$Q$83,3,0),VLOOKUP(B504,'Gebouwgegevens Allacker'!$J$5:$Q$83,2,0))</f>
        <v>#N/A</v>
      </c>
      <c r="E504" s="122" t="e">
        <f>VLOOKUP(B504,'Gebouwgegevens Allacker'!$J$5:$Q$83,4,0)</f>
        <v>#N/A</v>
      </c>
      <c r="F504" s="122" t="e">
        <f>VLOOKUP(B504,'Gebouwgegevens Allacker'!$J$5:$Q$83,5,0)</f>
        <v>#N/A</v>
      </c>
      <c r="G504" s="122" t="e">
        <f>VLOOKUP('Verwarming Tabula 2zone RefULG1'!C504,'Gebouwgegevens Allacker'!$A$35:$F$46,5,0)</f>
        <v>#N/A</v>
      </c>
      <c r="H504" s="122" t="e">
        <f>VLOOKUP('Verwarming Tabula 2zone RefULG1'!D504,'Gebouwgegevens Allacker'!$A$35:$F$46,5,0)</f>
        <v>#N/A</v>
      </c>
      <c r="I504" s="122" t="e">
        <f>VLOOKUP(B504,'Gebouwgegevens Allacker'!$J$5:$Q$83,7,0)</f>
        <v>#N/A</v>
      </c>
      <c r="J504" s="118" t="e">
        <f>VLOOKUP(B504,'Gebouwgegevens Allacker'!$J$5:$Q$83,8,0)</f>
        <v>#N/A</v>
      </c>
      <c r="K504" s="118" t="e">
        <f>(G504-H504)/(G504-$B$4)</f>
        <v>#N/A</v>
      </c>
      <c r="L504" s="98"/>
      <c r="M504" s="98"/>
      <c r="N504" s="98"/>
      <c r="O504" s="98"/>
      <c r="P504" s="96"/>
    </row>
    <row r="505" spans="1:16" ht="16.5" customHeight="1" thickTop="1" thickBot="1" x14ac:dyDescent="0.3">
      <c r="A505" s="95"/>
      <c r="B505" s="116"/>
      <c r="C505" s="122"/>
      <c r="D505" s="122"/>
      <c r="E505" s="122"/>
      <c r="F505" s="122"/>
      <c r="G505" s="122"/>
      <c r="H505" s="122"/>
      <c r="I505" s="122"/>
      <c r="J505" s="118"/>
      <c r="K505" s="118"/>
      <c r="L505" s="98"/>
      <c r="M505" s="98"/>
      <c r="N505" s="98"/>
      <c r="O505" s="98"/>
      <c r="P505" s="96"/>
    </row>
    <row r="506" spans="1:16" ht="16.5" customHeight="1" thickTop="1" thickBot="1" x14ac:dyDescent="0.3">
      <c r="A506" s="95"/>
      <c r="B506" s="145"/>
      <c r="C506" s="122"/>
      <c r="D506" s="122"/>
      <c r="E506" s="122"/>
      <c r="F506" s="122"/>
      <c r="G506" s="122"/>
      <c r="H506" s="122"/>
      <c r="I506" s="122"/>
      <c r="J506" s="118"/>
      <c r="K506" s="118"/>
      <c r="L506" s="98"/>
      <c r="M506" s="98"/>
      <c r="N506" s="98"/>
      <c r="O506" s="98"/>
      <c r="P506" s="96"/>
    </row>
    <row r="507" spans="1:16" ht="16.5" customHeight="1" thickTop="1" thickBot="1" x14ac:dyDescent="0.3">
      <c r="A507" s="95"/>
      <c r="B507" s="123"/>
      <c r="C507" s="139"/>
      <c r="D507" s="122"/>
      <c r="E507" s="122"/>
      <c r="F507" s="122"/>
      <c r="G507" s="122"/>
      <c r="H507" s="122"/>
      <c r="I507" s="122"/>
      <c r="J507" s="118"/>
      <c r="K507" s="118"/>
      <c r="L507" s="98"/>
      <c r="M507" s="98"/>
      <c r="N507" s="98"/>
      <c r="O507" s="98"/>
      <c r="P507" s="96"/>
    </row>
    <row r="508" spans="1:16" ht="16.5" customHeight="1" thickTop="1" thickBot="1" x14ac:dyDescent="0.3">
      <c r="A508" s="95"/>
      <c r="B508" s="123"/>
      <c r="C508" s="139"/>
      <c r="D508" s="122"/>
      <c r="E508" s="122"/>
      <c r="F508" s="122"/>
      <c r="G508" s="122"/>
      <c r="H508" s="122"/>
      <c r="I508" s="122"/>
      <c r="J508" s="118"/>
      <c r="K508" s="118"/>
      <c r="L508" s="98"/>
      <c r="M508" s="98"/>
      <c r="N508" s="98"/>
      <c r="O508" s="98"/>
      <c r="P508" s="96"/>
    </row>
    <row r="509" spans="1:16" ht="16.5" customHeight="1" thickTop="1" thickBot="1" x14ac:dyDescent="0.3">
      <c r="A509" s="95"/>
      <c r="B509" s="123"/>
      <c r="C509" s="139"/>
      <c r="D509" s="122"/>
      <c r="E509" s="122"/>
      <c r="F509" s="122"/>
      <c r="G509" s="122"/>
      <c r="H509" s="122"/>
      <c r="I509" s="122"/>
      <c r="J509" s="118"/>
      <c r="K509" s="118"/>
      <c r="L509" s="98"/>
      <c r="M509" s="98"/>
      <c r="N509" s="98"/>
      <c r="O509" s="98"/>
      <c r="P509" s="96"/>
    </row>
    <row r="510" spans="1:16" ht="16.5" customHeight="1" thickTop="1" thickBot="1" x14ac:dyDescent="0.3">
      <c r="A510" s="95"/>
      <c r="B510" s="123"/>
      <c r="C510" s="139"/>
      <c r="D510" s="122"/>
      <c r="E510" s="122"/>
      <c r="F510" s="122"/>
      <c r="G510" s="122"/>
      <c r="H510" s="122"/>
      <c r="I510" s="122"/>
      <c r="J510" s="118"/>
      <c r="K510" s="118"/>
      <c r="L510" s="98"/>
      <c r="M510" s="98"/>
      <c r="N510" s="98"/>
      <c r="O510" s="98"/>
      <c r="P510" s="96"/>
    </row>
    <row r="511" spans="1:16" ht="16.5" customHeight="1" thickTop="1" thickBot="1" x14ac:dyDescent="0.3">
      <c r="A511" s="95"/>
      <c r="B511" s="123"/>
      <c r="C511" s="139"/>
      <c r="D511" s="122"/>
      <c r="E511" s="122"/>
      <c r="F511" s="122"/>
      <c r="G511" s="122"/>
      <c r="H511" s="122"/>
      <c r="I511" s="122"/>
      <c r="J511" s="118"/>
      <c r="K511" s="118"/>
      <c r="L511" s="98"/>
      <c r="M511" s="98"/>
      <c r="N511" s="98"/>
      <c r="O511" s="98"/>
      <c r="P511" s="96"/>
    </row>
    <row r="512" spans="1:16" ht="15.75" customHeight="1" thickTop="1" x14ac:dyDescent="0.25">
      <c r="A512" s="95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8"/>
      <c r="M512" s="98"/>
      <c r="N512" s="98"/>
      <c r="O512" s="98"/>
      <c r="P512" s="96"/>
    </row>
    <row r="513" spans="1:16" ht="15" customHeight="1" x14ac:dyDescent="0.25">
      <c r="A513" s="95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6"/>
    </row>
    <row r="514" spans="1:16" ht="15.75" customHeight="1" x14ac:dyDescent="0.25">
      <c r="A514" s="103" t="s">
        <v>192</v>
      </c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6"/>
    </row>
    <row r="515" spans="1:16" ht="16.5" customHeight="1" x14ac:dyDescent="0.25">
      <c r="A515" s="124" t="s">
        <v>193</v>
      </c>
      <c r="B515" s="118" t="e">
        <f>SUMPRODUCT(H478:H489,I478:I489)+SUMPRODUCT(G494:G498,H494:H498)+SUMPRODUCT(J502:J511,K502:K511)</f>
        <v>#N/A</v>
      </c>
      <c r="C515" s="118" t="s">
        <v>107</v>
      </c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6"/>
    </row>
    <row r="516" spans="1:16" ht="16.5" customHeight="1" x14ac:dyDescent="0.25">
      <c r="A516" s="124" t="s">
        <v>167</v>
      </c>
      <c r="B516" s="118" t="e">
        <f>B515*(G502-$B$4)</f>
        <v>#N/A</v>
      </c>
      <c r="C516" s="118" t="s">
        <v>169</v>
      </c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6"/>
    </row>
    <row r="517" spans="1:16" ht="15.75" customHeight="1" thickBot="1" x14ac:dyDescent="0.3">
      <c r="A517" s="109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1"/>
    </row>
    <row r="518" spans="1:16" ht="15.75" customHeight="1" thickTop="1" x14ac:dyDescent="0.25">
      <c r="A518" s="343" t="s">
        <v>194</v>
      </c>
      <c r="B518" s="343"/>
      <c r="C518" s="343"/>
      <c r="D518" s="125" t="s">
        <v>222</v>
      </c>
      <c r="E518" s="328"/>
      <c r="F518" s="328"/>
      <c r="G518" s="328"/>
      <c r="H518" s="328"/>
      <c r="I518" s="328"/>
      <c r="J518" s="328"/>
      <c r="K518" s="328"/>
      <c r="L518" s="328"/>
      <c r="M518" s="328"/>
      <c r="N518" s="328"/>
      <c r="O518" s="328"/>
      <c r="P518" s="94"/>
    </row>
    <row r="519" spans="1:16" ht="15" customHeight="1" x14ac:dyDescent="0.25">
      <c r="A519" s="95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6"/>
    </row>
    <row r="520" spans="1:16" ht="15" customHeight="1" thickBot="1" x14ac:dyDescent="0.3">
      <c r="A520" s="126" t="s">
        <v>195</v>
      </c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6"/>
    </row>
    <row r="521" spans="1:16" ht="15" customHeight="1" thickTop="1" thickBot="1" x14ac:dyDescent="0.3">
      <c r="A521" s="127" t="s">
        <v>196</v>
      </c>
      <c r="B521" s="121">
        <v>8</v>
      </c>
      <c r="C521" s="120" t="s">
        <v>197</v>
      </c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6"/>
    </row>
    <row r="522" spans="1:16" ht="15" customHeight="1" thickTop="1" thickBot="1" x14ac:dyDescent="0.3">
      <c r="A522" s="127" t="s">
        <v>198</v>
      </c>
      <c r="B522" s="121">
        <v>0.03</v>
      </c>
      <c r="C522" s="120" t="s">
        <v>199</v>
      </c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6"/>
    </row>
    <row r="523" spans="1:16" ht="15.75" customHeight="1" thickTop="1" thickBot="1" x14ac:dyDescent="0.3">
      <c r="A523" s="127" t="s">
        <v>200</v>
      </c>
      <c r="B523" s="121">
        <v>1</v>
      </c>
      <c r="C523" s="120" t="s">
        <v>201</v>
      </c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6"/>
    </row>
    <row r="524" spans="1:16" ht="16.5" customHeight="1" thickTop="1" x14ac:dyDescent="0.25">
      <c r="A524" s="124" t="s">
        <v>202</v>
      </c>
      <c r="B524" s="118" t="e">
        <f>2*VLOOKUP(B472,'Gebouwgegevens Allacker'!$A$35:$F$46,6,0)*B521*B522*B523</f>
        <v>#N/A</v>
      </c>
      <c r="C524" s="118" t="s">
        <v>203</v>
      </c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6"/>
    </row>
    <row r="525" spans="1:16" ht="15.75" customHeight="1" x14ac:dyDescent="0.25">
      <c r="A525" s="138"/>
      <c r="B525" s="58"/>
      <c r="C525" s="5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6"/>
    </row>
    <row r="526" spans="1:16" ht="15" customHeight="1" x14ac:dyDescent="0.25">
      <c r="A526" s="146" t="s">
        <v>204</v>
      </c>
      <c r="B526" s="58"/>
      <c r="C526" s="5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6"/>
    </row>
    <row r="527" spans="1:16" ht="15.75" customHeight="1" x14ac:dyDescent="0.25">
      <c r="A527" s="138" t="s">
        <v>180</v>
      </c>
      <c r="B527" s="58" t="e">
        <f>VLOOKUP(B472,'Gebouwgegevens Allacker'!$A$35:$F$46,6,0)</f>
        <v>#N/A</v>
      </c>
      <c r="C527" s="5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6"/>
    </row>
    <row r="528" spans="1:16" ht="16.5" customHeight="1" x14ac:dyDescent="0.25">
      <c r="A528" s="124" t="s">
        <v>205</v>
      </c>
      <c r="B528" s="128" t="e">
        <f>B527*3.6</f>
        <v>#N/A</v>
      </c>
      <c r="C528" s="118" t="s">
        <v>203</v>
      </c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6"/>
    </row>
    <row r="529" spans="1:16" ht="15.75" customHeight="1" x14ac:dyDescent="0.25">
      <c r="A529" s="138"/>
      <c r="B529" s="58"/>
      <c r="C529" s="5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6"/>
    </row>
    <row r="530" spans="1:16" ht="15.75" customHeight="1" x14ac:dyDescent="0.25">
      <c r="A530" s="138"/>
      <c r="B530" s="58"/>
      <c r="C530" s="5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6"/>
    </row>
    <row r="531" spans="1:16" ht="16.5" customHeight="1" x14ac:dyDescent="0.25">
      <c r="A531" s="124" t="s">
        <v>207</v>
      </c>
      <c r="B531" s="118" t="e">
        <f>MAX(B524,B528)</f>
        <v>#N/A</v>
      </c>
      <c r="C531" s="118" t="s">
        <v>203</v>
      </c>
      <c r="D531" s="98"/>
      <c r="E531" s="98"/>
      <c r="F531" s="118" t="s">
        <v>208</v>
      </c>
      <c r="G531" s="118" t="e">
        <f>B531/VLOOKUP(B472,'Gebouwgegevens Allacker'!$A$35:$B$46,2,0)</f>
        <v>#N/A</v>
      </c>
      <c r="H531" s="98"/>
      <c r="I531" s="98"/>
      <c r="J531" s="98"/>
      <c r="K531" s="98"/>
      <c r="L531" s="98"/>
      <c r="M531" s="98"/>
      <c r="N531" s="98"/>
      <c r="O531" s="98"/>
      <c r="P531" s="96"/>
    </row>
    <row r="532" spans="1:16" ht="16.5" customHeight="1" x14ac:dyDescent="0.25">
      <c r="A532" s="138"/>
      <c r="B532" s="58"/>
      <c r="C532" s="5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6"/>
    </row>
    <row r="533" spans="1:16" ht="16.5" customHeight="1" x14ac:dyDescent="0.25">
      <c r="A533" s="124" t="s">
        <v>209</v>
      </c>
      <c r="B533" s="118" t="e">
        <f>0.34*B531</f>
        <v>#N/A</v>
      </c>
      <c r="C533" s="118" t="s">
        <v>107</v>
      </c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6"/>
    </row>
    <row r="534" spans="1:16" ht="16.5" customHeight="1" x14ac:dyDescent="0.25">
      <c r="A534" s="124" t="s">
        <v>167</v>
      </c>
      <c r="B534" s="118" t="e">
        <f>B533*('Gebouwgegevens Allacker'!E494-$B$4)</f>
        <v>#N/A</v>
      </c>
      <c r="C534" s="118" t="s">
        <v>169</v>
      </c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6"/>
    </row>
    <row r="535" spans="1:16" ht="15.75" customHeight="1" thickBot="1" x14ac:dyDescent="0.3">
      <c r="A535" s="140"/>
      <c r="B535" s="141"/>
      <c r="C535" s="141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1"/>
    </row>
    <row r="536" spans="1:16" ht="15.75" customHeight="1" thickTop="1" x14ac:dyDescent="0.25">
      <c r="A536" s="343" t="s">
        <v>210</v>
      </c>
      <c r="B536" s="343"/>
      <c r="C536" s="343"/>
      <c r="D536" s="343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6"/>
    </row>
    <row r="537" spans="1:16" ht="15" customHeight="1" thickBot="1" x14ac:dyDescent="0.3">
      <c r="A537" s="95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6"/>
    </row>
    <row r="538" spans="1:16" ht="15" customHeight="1" thickTop="1" thickBot="1" x14ac:dyDescent="0.3">
      <c r="A538" s="127" t="s">
        <v>211</v>
      </c>
      <c r="B538" s="121">
        <v>22</v>
      </c>
      <c r="C538" s="58" t="s">
        <v>232</v>
      </c>
      <c r="D538" s="5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6"/>
    </row>
    <row r="539" spans="1:16" ht="15.75" customHeight="1" thickTop="1" x14ac:dyDescent="0.25">
      <c r="A539" s="91" t="s">
        <v>113</v>
      </c>
      <c r="B539" s="98" t="e">
        <f>VLOOKUP(B472,'Gebouwgegevens Allacker'!$A$35:$F$46,6,0)</f>
        <v>#N/A</v>
      </c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6"/>
    </row>
    <row r="540" spans="1:16" ht="16.5" customHeight="1" x14ac:dyDescent="0.25">
      <c r="A540" s="124" t="s">
        <v>213</v>
      </c>
      <c r="B540" s="118" t="e">
        <f>B541/('Gebouwgegevens Allacker'!E494-'Verwarming Tabula 2zone RefULG1'!$B$4)</f>
        <v>#N/A</v>
      </c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6"/>
    </row>
    <row r="541" spans="1:16" ht="16.5" customHeight="1" x14ac:dyDescent="0.25">
      <c r="A541" s="124" t="s">
        <v>167</v>
      </c>
      <c r="B541" s="118" t="e">
        <f>B538*B539</f>
        <v>#N/A</v>
      </c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6"/>
    </row>
    <row r="542" spans="1:16" ht="15.75" customHeight="1" x14ac:dyDescent="0.25">
      <c r="A542" s="95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6"/>
    </row>
    <row r="543" spans="1:16" ht="15.75" customHeight="1" thickBot="1" x14ac:dyDescent="0.3">
      <c r="A543" s="95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6"/>
    </row>
    <row r="544" spans="1:16" ht="15.75" customHeight="1" thickTop="1" thickBot="1" x14ac:dyDescent="0.3">
      <c r="A544" s="129" t="s">
        <v>214</v>
      </c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1"/>
    </row>
    <row r="545" spans="1:16" ht="16.5" customHeight="1" thickTop="1" x14ac:dyDescent="0.25">
      <c r="A545" s="124" t="s">
        <v>215</v>
      </c>
      <c r="B545" s="118" t="e">
        <f>SUM(B515,B533,B540)</f>
        <v>#N/A</v>
      </c>
      <c r="C545" s="118" t="s">
        <v>107</v>
      </c>
      <c r="D545" s="132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  <c r="O545" s="132"/>
      <c r="P545" s="133"/>
    </row>
    <row r="546" spans="1:16" ht="16.5" customHeight="1" x14ac:dyDescent="0.25">
      <c r="A546" s="124" t="s">
        <v>167</v>
      </c>
      <c r="B546" s="118" t="e">
        <f>SUM(B516,B534,B541)</f>
        <v>#N/A</v>
      </c>
      <c r="C546" s="118" t="s">
        <v>169</v>
      </c>
      <c r="D546" s="132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  <c r="O546" s="132"/>
      <c r="P546" s="133"/>
    </row>
    <row r="547" spans="1:16" ht="16.5" customHeight="1" thickBot="1" x14ac:dyDescent="0.3">
      <c r="A547" s="134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6"/>
    </row>
    <row r="548" spans="1:16" ht="15" customHeight="1" thickTop="1" x14ac:dyDescent="0.25">
      <c r="A548" s="137"/>
      <c r="B548" s="137"/>
      <c r="C548" s="137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</row>
    <row r="549" spans="1:16" ht="15.75" customHeight="1" thickBot="1" x14ac:dyDescent="0.3">
      <c r="A549" s="137"/>
      <c r="B549" s="137"/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</row>
    <row r="550" spans="1:16" ht="15" customHeight="1" thickTop="1" thickBot="1" x14ac:dyDescent="0.3">
      <c r="A550" s="93"/>
      <c r="B550" s="328"/>
      <c r="C550" s="328"/>
      <c r="D550" s="328"/>
      <c r="E550" s="328"/>
      <c r="F550" s="328"/>
      <c r="G550" s="328"/>
      <c r="H550" s="328"/>
      <c r="I550" s="328"/>
      <c r="J550" s="328"/>
      <c r="K550" s="328"/>
      <c r="L550" s="328"/>
      <c r="M550" s="328"/>
      <c r="N550" s="328"/>
      <c r="O550" s="328"/>
      <c r="P550" s="94"/>
    </row>
    <row r="551" spans="1:16" ht="17.25" customHeight="1" thickTop="1" thickBot="1" x14ac:dyDescent="0.35">
      <c r="A551" s="97" t="s">
        <v>166</v>
      </c>
      <c r="B551" s="92">
        <v>8</v>
      </c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6"/>
    </row>
    <row r="552" spans="1:16" ht="15.75" customHeight="1" thickTop="1" x14ac:dyDescent="0.25">
      <c r="A552" s="343" t="s">
        <v>168</v>
      </c>
      <c r="B552" s="343"/>
      <c r="C552" s="343"/>
      <c r="D552" s="343"/>
      <c r="E552" s="328"/>
      <c r="F552" s="328"/>
      <c r="G552" s="328"/>
      <c r="H552" s="328"/>
      <c r="I552" s="328"/>
      <c r="J552" s="328"/>
      <c r="K552" s="328"/>
      <c r="L552" s="328"/>
      <c r="M552" s="328"/>
      <c r="N552" s="328"/>
      <c r="O552" s="328"/>
      <c r="P552" s="94"/>
    </row>
    <row r="553" spans="1:16" ht="15" customHeight="1" x14ac:dyDescent="0.25">
      <c r="A553" s="95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6"/>
    </row>
    <row r="554" spans="1:16" ht="15" customHeight="1" x14ac:dyDescent="0.25">
      <c r="A554" s="103" t="s">
        <v>170</v>
      </c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6"/>
    </row>
    <row r="555" spans="1:16" ht="15" customHeight="1" x14ac:dyDescent="0.25">
      <c r="A555" s="95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6"/>
    </row>
    <row r="556" spans="1:16" ht="15.75" customHeight="1" thickBot="1" x14ac:dyDescent="0.3">
      <c r="A556" s="95"/>
      <c r="B556" s="104" t="s">
        <v>10</v>
      </c>
      <c r="C556" s="104" t="s">
        <v>171</v>
      </c>
      <c r="D556" s="104" t="s">
        <v>172</v>
      </c>
      <c r="E556" s="104" t="s">
        <v>173</v>
      </c>
      <c r="F556" s="104" t="s">
        <v>174</v>
      </c>
      <c r="G556" s="104" t="s">
        <v>16</v>
      </c>
      <c r="H556" s="105" t="s">
        <v>17</v>
      </c>
      <c r="I556" s="105" t="s">
        <v>175</v>
      </c>
      <c r="J556" s="98"/>
      <c r="K556" s="98"/>
      <c r="L556" s="98"/>
      <c r="M556" s="98"/>
      <c r="N556" s="98"/>
      <c r="O556" s="98"/>
      <c r="P556" s="96"/>
    </row>
    <row r="557" spans="1:16" ht="16.5" customHeight="1" thickTop="1" thickBot="1" x14ac:dyDescent="0.3">
      <c r="A557" s="95"/>
      <c r="B557" s="106" t="s">
        <v>246</v>
      </c>
      <c r="C557" s="107" t="e">
        <f>VLOOKUP(B557,'Gebouwgegevens Allacker'!$J$5:$Q$83,3,0)</f>
        <v>#N/A</v>
      </c>
      <c r="D557" s="107" t="e">
        <f>VLOOKUP(B557,'Gebouwgegevens Allacker'!$J$5:$Q$83,4,0)</f>
        <v>#N/A</v>
      </c>
      <c r="E557" s="107" t="e">
        <f>VLOOKUP(B557,'Gebouwgegevens Allacker'!$J$5:$Q$83,5,0)</f>
        <v>#N/A</v>
      </c>
      <c r="F557" s="107" t="e">
        <f>VLOOKUP(B557,'Gebouwgegevens Allacker'!$J$5:$Q$83,6,0)</f>
        <v>#N/A</v>
      </c>
      <c r="G557" s="107" t="e">
        <f>VLOOKUP(B557,'Gebouwgegevens Allacker'!$J$5:$Q$83,7,0)</f>
        <v>#N/A</v>
      </c>
      <c r="H557" s="108" t="e">
        <f>VLOOKUP(B557,'Gebouwgegevens Allacker'!$J$5:$Q$83,8,0)</f>
        <v>#N/A</v>
      </c>
      <c r="I557" s="108">
        <v>1</v>
      </c>
      <c r="J557" s="98"/>
      <c r="K557" s="98"/>
      <c r="L557" s="98"/>
      <c r="M557" s="98"/>
      <c r="N557" s="98"/>
      <c r="O557" s="98"/>
      <c r="P557" s="96"/>
    </row>
    <row r="558" spans="1:16" ht="16.5" customHeight="1" thickTop="1" thickBot="1" x14ac:dyDescent="0.3">
      <c r="A558" s="95"/>
      <c r="B558" s="106" t="s">
        <v>247</v>
      </c>
      <c r="C558" s="107" t="e">
        <f>VLOOKUP(B558,'Gebouwgegevens Allacker'!$J$5:$Q$83,3,0)</f>
        <v>#N/A</v>
      </c>
      <c r="D558" s="107" t="e">
        <f>VLOOKUP(B558,'Gebouwgegevens Allacker'!$J$5:$Q$83,4,0)</f>
        <v>#N/A</v>
      </c>
      <c r="E558" s="107" t="e">
        <f>VLOOKUP(B558,'Gebouwgegevens Allacker'!$J$5:$Q$83,5,0)</f>
        <v>#N/A</v>
      </c>
      <c r="F558" s="107" t="e">
        <f>VLOOKUP(B558,'Gebouwgegevens Allacker'!$J$5:$Q$83,6,0)</f>
        <v>#N/A</v>
      </c>
      <c r="G558" s="107" t="e">
        <f>VLOOKUP(B558,'Gebouwgegevens Allacker'!$J$5:$Q$83,7,0)</f>
        <v>#N/A</v>
      </c>
      <c r="H558" s="108" t="e">
        <f>VLOOKUP(B558,'Gebouwgegevens Allacker'!$J$5:$Q$83,8,0)</f>
        <v>#N/A</v>
      </c>
      <c r="I558" s="108">
        <v>1</v>
      </c>
      <c r="J558" s="98"/>
      <c r="K558" s="98"/>
      <c r="L558" s="98"/>
      <c r="M558" s="98"/>
      <c r="N558" s="98"/>
      <c r="O558" s="98"/>
      <c r="P558" s="96"/>
    </row>
    <row r="559" spans="1:16" ht="16.5" customHeight="1" thickTop="1" thickBot="1" x14ac:dyDescent="0.3">
      <c r="A559" s="95"/>
      <c r="B559" s="106" t="s">
        <v>248</v>
      </c>
      <c r="C559" s="107" t="e">
        <f>VLOOKUP(B559,'Gebouwgegevens Allacker'!$J$5:$Q$83,3,0)</f>
        <v>#N/A</v>
      </c>
      <c r="D559" s="107" t="e">
        <f>VLOOKUP(B559,'Gebouwgegevens Allacker'!$J$5:$Q$83,4,0)</f>
        <v>#N/A</v>
      </c>
      <c r="E559" s="107" t="e">
        <f>VLOOKUP(B559,'Gebouwgegevens Allacker'!$J$5:$Q$83,5,0)</f>
        <v>#N/A</v>
      </c>
      <c r="F559" s="107" t="e">
        <f>VLOOKUP(B559,'Gebouwgegevens Allacker'!$J$5:$Q$83,6,0)</f>
        <v>#N/A</v>
      </c>
      <c r="G559" s="107" t="e">
        <f>VLOOKUP(B559,'Gebouwgegevens Allacker'!$J$5:$Q$83,7,0)</f>
        <v>#N/A</v>
      </c>
      <c r="H559" s="108" t="e">
        <f>VLOOKUP(B559,'Gebouwgegevens Allacker'!$J$5:$Q$83,8,0)</f>
        <v>#N/A</v>
      </c>
      <c r="I559" s="108">
        <v>1</v>
      </c>
      <c r="J559" s="98"/>
      <c r="K559" s="98"/>
      <c r="L559" s="98"/>
      <c r="M559" s="98"/>
      <c r="N559" s="98"/>
      <c r="O559" s="98"/>
      <c r="P559" s="96"/>
    </row>
    <row r="560" spans="1:16" ht="16.5" customHeight="1" thickTop="1" thickBot="1" x14ac:dyDescent="0.3">
      <c r="A560" s="95"/>
      <c r="B560" s="106"/>
      <c r="C560" s="107"/>
      <c r="D560" s="107"/>
      <c r="E560" s="107"/>
      <c r="F560" s="107"/>
      <c r="G560" s="107"/>
      <c r="H560" s="108"/>
      <c r="I560" s="108"/>
      <c r="J560" s="98"/>
      <c r="K560" s="98"/>
      <c r="L560" s="98"/>
      <c r="M560" s="98"/>
      <c r="N560" s="98"/>
      <c r="O560" s="98"/>
      <c r="P560" s="96"/>
    </row>
    <row r="561" spans="1:16" ht="16.5" customHeight="1" thickTop="1" thickBot="1" x14ac:dyDescent="0.3">
      <c r="A561" s="95"/>
      <c r="B561" s="106"/>
      <c r="C561" s="107"/>
      <c r="D561" s="107"/>
      <c r="E561" s="107"/>
      <c r="F561" s="107"/>
      <c r="G561" s="107"/>
      <c r="H561" s="108"/>
      <c r="I561" s="108"/>
      <c r="J561" s="98"/>
      <c r="K561" s="98"/>
      <c r="L561" s="98"/>
      <c r="M561" s="98"/>
      <c r="N561" s="98"/>
      <c r="O561" s="98"/>
      <c r="P561" s="96"/>
    </row>
    <row r="562" spans="1:16" ht="16.5" customHeight="1" thickTop="1" thickBot="1" x14ac:dyDescent="0.3">
      <c r="A562" s="95"/>
      <c r="B562" s="106"/>
      <c r="C562" s="107"/>
      <c r="D562" s="107"/>
      <c r="E562" s="107"/>
      <c r="F562" s="107"/>
      <c r="G562" s="107"/>
      <c r="H562" s="108"/>
      <c r="I562" s="108"/>
      <c r="J562" s="98"/>
      <c r="K562" s="98"/>
      <c r="L562" s="98"/>
      <c r="M562" s="98"/>
      <c r="N562" s="98"/>
      <c r="O562" s="98"/>
      <c r="P562" s="96"/>
    </row>
    <row r="563" spans="1:16" ht="16.5" customHeight="1" thickTop="1" thickBot="1" x14ac:dyDescent="0.3">
      <c r="A563" s="95"/>
      <c r="B563" s="106"/>
      <c r="C563" s="107"/>
      <c r="D563" s="107"/>
      <c r="E563" s="107"/>
      <c r="F563" s="107"/>
      <c r="G563" s="107"/>
      <c r="H563" s="108"/>
      <c r="I563" s="108"/>
      <c r="J563" s="98"/>
      <c r="K563" s="98"/>
      <c r="L563" s="98"/>
      <c r="M563" s="98"/>
      <c r="N563" s="98"/>
      <c r="O563" s="98"/>
      <c r="P563" s="96"/>
    </row>
    <row r="564" spans="1:16" ht="16.5" customHeight="1" thickTop="1" thickBot="1" x14ac:dyDescent="0.3">
      <c r="A564" s="95"/>
      <c r="B564" s="106"/>
      <c r="C564" s="107"/>
      <c r="D564" s="107"/>
      <c r="E564" s="107"/>
      <c r="F564" s="107"/>
      <c r="G564" s="107"/>
      <c r="H564" s="108"/>
      <c r="I564" s="108"/>
      <c r="J564" s="98"/>
      <c r="K564" s="98"/>
      <c r="L564" s="98"/>
      <c r="M564" s="98"/>
      <c r="N564" s="98"/>
      <c r="O564" s="98"/>
      <c r="P564" s="96"/>
    </row>
    <row r="565" spans="1:16" ht="16.5" customHeight="1" thickTop="1" thickBot="1" x14ac:dyDescent="0.3">
      <c r="A565" s="95"/>
      <c r="B565" s="106"/>
      <c r="C565" s="107"/>
      <c r="D565" s="107"/>
      <c r="E565" s="107"/>
      <c r="F565" s="107"/>
      <c r="G565" s="107"/>
      <c r="H565" s="108"/>
      <c r="I565" s="108"/>
      <c r="J565" s="98"/>
      <c r="K565" s="98"/>
      <c r="L565" s="98"/>
      <c r="M565" s="98"/>
      <c r="N565" s="98"/>
      <c r="O565" s="98"/>
      <c r="P565" s="96"/>
    </row>
    <row r="566" spans="1:16" ht="16.5" customHeight="1" thickTop="1" thickBot="1" x14ac:dyDescent="0.3">
      <c r="A566" s="95"/>
      <c r="B566" s="106"/>
      <c r="C566" s="107"/>
      <c r="D566" s="107"/>
      <c r="E566" s="107"/>
      <c r="F566" s="107"/>
      <c r="G566" s="107"/>
      <c r="H566" s="108"/>
      <c r="I566" s="108"/>
      <c r="J566" s="98"/>
      <c r="K566" s="98"/>
      <c r="L566" s="98"/>
      <c r="M566" s="98"/>
      <c r="N566" s="98"/>
      <c r="O566" s="98"/>
      <c r="P566" s="96"/>
    </row>
    <row r="567" spans="1:16" ht="16.5" customHeight="1" thickTop="1" thickBot="1" x14ac:dyDescent="0.3">
      <c r="A567" s="95"/>
      <c r="B567" s="106"/>
      <c r="C567" s="107"/>
      <c r="D567" s="107"/>
      <c r="E567" s="107"/>
      <c r="F567" s="107"/>
      <c r="G567" s="107"/>
      <c r="H567" s="108"/>
      <c r="I567" s="108"/>
      <c r="J567" s="98"/>
      <c r="K567" s="98"/>
      <c r="L567" s="98"/>
      <c r="M567" s="98"/>
      <c r="N567" s="98"/>
      <c r="O567" s="98"/>
      <c r="P567" s="96"/>
    </row>
    <row r="568" spans="1:16" ht="16.5" customHeight="1" thickTop="1" thickBot="1" x14ac:dyDescent="0.3">
      <c r="A568" s="95"/>
      <c r="B568" s="106"/>
      <c r="C568" s="107"/>
      <c r="D568" s="107"/>
      <c r="E568" s="107"/>
      <c r="F568" s="107"/>
      <c r="G568" s="107"/>
      <c r="H568" s="108"/>
      <c r="I568" s="108"/>
      <c r="J568" s="98"/>
      <c r="K568" s="98"/>
      <c r="L568" s="98"/>
      <c r="M568" s="98"/>
      <c r="N568" s="98"/>
      <c r="O568" s="98"/>
      <c r="P568" s="96"/>
    </row>
    <row r="569" spans="1:16" ht="15.75" customHeight="1" thickTop="1" x14ac:dyDescent="0.25">
      <c r="A569" s="95"/>
      <c r="B569" s="58"/>
      <c r="C569" s="58"/>
      <c r="D569" s="58"/>
      <c r="E569" s="58"/>
      <c r="F569" s="58"/>
      <c r="G569" s="114"/>
      <c r="H569" s="58"/>
      <c r="I569" s="58"/>
      <c r="J569" s="98"/>
      <c r="K569" s="98"/>
      <c r="L569" s="98"/>
      <c r="M569" s="98"/>
      <c r="N569" s="98"/>
      <c r="O569" s="98"/>
      <c r="P569" s="96"/>
    </row>
    <row r="570" spans="1:16" ht="15" customHeight="1" x14ac:dyDescent="0.25">
      <c r="A570" s="95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6"/>
    </row>
    <row r="571" spans="1:16" ht="15" customHeight="1" x14ac:dyDescent="0.25">
      <c r="A571" s="103" t="s">
        <v>177</v>
      </c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6"/>
    </row>
    <row r="572" spans="1:16" ht="15.75" customHeight="1" x14ac:dyDescent="0.25">
      <c r="A572" s="95"/>
      <c r="B572" s="58" t="s">
        <v>10</v>
      </c>
      <c r="C572" s="58" t="s">
        <v>178</v>
      </c>
      <c r="D572" s="58" t="s">
        <v>172</v>
      </c>
      <c r="E572" s="58" t="s">
        <v>179</v>
      </c>
      <c r="F572" s="58" t="s">
        <v>16</v>
      </c>
      <c r="G572" s="114" t="s">
        <v>17</v>
      </c>
      <c r="H572" s="114" t="s">
        <v>175</v>
      </c>
      <c r="I572" s="58" t="s">
        <v>180</v>
      </c>
      <c r="J572" s="58" t="s">
        <v>181</v>
      </c>
      <c r="K572" s="58" t="s">
        <v>182</v>
      </c>
      <c r="L572" s="115" t="s">
        <v>183</v>
      </c>
      <c r="M572" s="115" t="s">
        <v>184</v>
      </c>
      <c r="N572" s="115" t="s">
        <v>185</v>
      </c>
      <c r="O572" s="98"/>
      <c r="P572" s="96"/>
    </row>
    <row r="573" spans="1:16" ht="16.5" customHeight="1" thickBot="1" x14ac:dyDescent="0.3">
      <c r="A573" s="95"/>
      <c r="B573" s="116" t="s">
        <v>249</v>
      </c>
      <c r="C573" s="117" t="e">
        <f>VLOOKUP(B573,'Gebouwgegevens Allacker'!$J$5:$Q$83,3,0)</f>
        <v>#N/A</v>
      </c>
      <c r="D573" s="117" t="e">
        <f>VLOOKUP(B573,'Gebouwgegevens Allacker'!$J$5:$Q$83,4,0)</f>
        <v>#N/A</v>
      </c>
      <c r="E573" s="117" t="e">
        <f>VLOOKUP(B573,'Gebouwgegevens Allacker'!$J$5:$Q$83,5,0)</f>
        <v>#N/A</v>
      </c>
      <c r="F573" s="117" t="e">
        <f>VLOOKUP(B573,'Gebouwgegevens Allacker'!$J$5:$Q$83,7,0)</f>
        <v>#N/A</v>
      </c>
      <c r="G573" s="118" t="e">
        <f>VLOOKUP(B573,'Gebouwgegevens Allacker'!$J$5:$Q$83,8,0)</f>
        <v>#N/A</v>
      </c>
      <c r="H573" s="118" t="e">
        <f>N573/F573</f>
        <v>#N/A</v>
      </c>
      <c r="I573" s="117" t="e">
        <f>VLOOKUP(C573,'Gebouwgegevens Allacker'!$A$35:$F$46,6,0)</f>
        <v>#N/A</v>
      </c>
      <c r="J573" s="116">
        <v>6.11</v>
      </c>
      <c r="K573" s="116">
        <v>0.33</v>
      </c>
      <c r="L573" s="119" t="e">
        <f>I573/(0.5*J573)</f>
        <v>#N/A</v>
      </c>
      <c r="M573" s="119" t="e">
        <f>K573+2*(1/F573)</f>
        <v>#N/A</v>
      </c>
      <c r="N573" s="120" t="e">
        <f>IF(M573&lt;L573,2*2/(PI()*L573+M573)*LN(PI()*L573/M573+1),2/(0.457*L573+M573))</f>
        <v>#N/A</v>
      </c>
      <c r="O573" s="98"/>
      <c r="P573" s="96"/>
    </row>
    <row r="574" spans="1:16" ht="16.5" customHeight="1" thickTop="1" thickBot="1" x14ac:dyDescent="0.3">
      <c r="A574" s="95"/>
      <c r="B574" s="116"/>
      <c r="C574" s="117"/>
      <c r="D574" s="117"/>
      <c r="E574" s="117"/>
      <c r="F574" s="117"/>
      <c r="G574" s="118"/>
      <c r="H574" s="118"/>
      <c r="I574" s="117"/>
      <c r="J574" s="116"/>
      <c r="K574" s="116"/>
      <c r="L574" s="119"/>
      <c r="M574" s="119"/>
      <c r="N574" s="120"/>
      <c r="O574" s="98"/>
      <c r="P574" s="96"/>
    </row>
    <row r="575" spans="1:16" ht="16.5" customHeight="1" thickTop="1" thickBot="1" x14ac:dyDescent="0.3">
      <c r="A575" s="95"/>
      <c r="B575" s="116"/>
      <c r="C575" s="117"/>
      <c r="D575" s="117"/>
      <c r="E575" s="117"/>
      <c r="F575" s="117"/>
      <c r="G575" s="118"/>
      <c r="H575" s="118"/>
      <c r="I575" s="117"/>
      <c r="J575" s="116"/>
      <c r="K575" s="116"/>
      <c r="L575" s="119"/>
      <c r="M575" s="119"/>
      <c r="N575" s="120"/>
      <c r="O575" s="98"/>
      <c r="P575" s="96"/>
    </row>
    <row r="576" spans="1:16" ht="16.5" customHeight="1" thickTop="1" thickBot="1" x14ac:dyDescent="0.3">
      <c r="A576" s="95"/>
      <c r="B576" s="116"/>
      <c r="C576" s="117"/>
      <c r="D576" s="117"/>
      <c r="E576" s="117"/>
      <c r="F576" s="117"/>
      <c r="G576" s="118"/>
      <c r="H576" s="118"/>
      <c r="I576" s="117"/>
      <c r="J576" s="116"/>
      <c r="K576" s="116"/>
      <c r="L576" s="119"/>
      <c r="M576" s="119"/>
      <c r="N576" s="120"/>
      <c r="O576" s="98"/>
      <c r="P576" s="96"/>
    </row>
    <row r="577" spans="1:16" ht="16.5" customHeight="1" thickTop="1" thickBot="1" x14ac:dyDescent="0.3">
      <c r="A577" s="138"/>
      <c r="B577" s="116"/>
      <c r="C577" s="117"/>
      <c r="D577" s="117"/>
      <c r="E577" s="117"/>
      <c r="F577" s="117"/>
      <c r="G577" s="118"/>
      <c r="H577" s="118"/>
      <c r="I577" s="117"/>
      <c r="J577" s="116"/>
      <c r="K577" s="116"/>
      <c r="L577" s="119"/>
      <c r="M577" s="119"/>
      <c r="N577" s="120"/>
      <c r="O577" s="98"/>
      <c r="P577" s="96"/>
    </row>
    <row r="578" spans="1:16" ht="15.75" customHeight="1" thickTop="1" x14ac:dyDescent="0.25">
      <c r="A578" s="95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6"/>
    </row>
    <row r="579" spans="1:16" ht="15" customHeight="1" x14ac:dyDescent="0.25">
      <c r="A579" s="103" t="s">
        <v>186</v>
      </c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6"/>
    </row>
    <row r="580" spans="1:16" ht="15.75" customHeight="1" thickBot="1" x14ac:dyDescent="0.3">
      <c r="A580" s="95"/>
      <c r="B580" s="58" t="s">
        <v>10</v>
      </c>
      <c r="C580" s="58" t="s">
        <v>187</v>
      </c>
      <c r="D580" s="58" t="s">
        <v>188</v>
      </c>
      <c r="E580" s="58" t="s">
        <v>135</v>
      </c>
      <c r="F580" s="58" t="s">
        <v>189</v>
      </c>
      <c r="G580" s="58" t="s">
        <v>190</v>
      </c>
      <c r="H580" s="58" t="s">
        <v>191</v>
      </c>
      <c r="I580" s="58" t="s">
        <v>16</v>
      </c>
      <c r="J580" s="114" t="s">
        <v>17</v>
      </c>
      <c r="K580" s="114" t="s">
        <v>175</v>
      </c>
      <c r="L580" s="98"/>
      <c r="M580" s="98"/>
      <c r="N580" s="98"/>
      <c r="O580" s="98"/>
      <c r="P580" s="96"/>
    </row>
    <row r="581" spans="1:16" ht="16.5" customHeight="1" thickTop="1" thickBot="1" x14ac:dyDescent="0.3">
      <c r="A581" s="95"/>
      <c r="B581" s="116" t="s">
        <v>250</v>
      </c>
      <c r="C581" s="122" t="e">
        <f>IF(VLOOKUP(B581,'Gebouwgegevens Allacker'!$J$5:$Q$83,2,0)=$B$551,VLOOKUP(B581,'Gebouwgegevens Allacker'!$J$5:$Q$83,2,0),VLOOKUP(B581,'Gebouwgegevens Allacker'!$J$5:$Q$83,3,0))</f>
        <v>#N/A</v>
      </c>
      <c r="D581" s="122" t="e">
        <f>IF(VLOOKUP(B581,'Gebouwgegevens Allacker'!$J$5:$Q$83,2,0)=$B$551,VLOOKUP(B581,'Gebouwgegevens Allacker'!$J$5:$Q$83,3,0),VLOOKUP(B581,'Gebouwgegevens Allacker'!$J$5:$Q$83,2,0))</f>
        <v>#N/A</v>
      </c>
      <c r="E581" s="122" t="e">
        <f>VLOOKUP(B581,'Gebouwgegevens Allacker'!$J$5:$Q$83,4,0)</f>
        <v>#N/A</v>
      </c>
      <c r="F581" s="122" t="e">
        <f>VLOOKUP(B581,'Gebouwgegevens Allacker'!$J$5:$Q$83,5,0)</f>
        <v>#N/A</v>
      </c>
      <c r="G581" s="122" t="e">
        <f>VLOOKUP('Verwarming Tabula 2zone RefULG1'!C581,'Gebouwgegevens Allacker'!$A$35:$F$46,5,0)</f>
        <v>#N/A</v>
      </c>
      <c r="H581" s="122" t="e">
        <f>VLOOKUP('Verwarming Tabula 2zone RefULG1'!D581,'Gebouwgegevens Allacker'!$A$35:$F$46,5,0)</f>
        <v>#N/A</v>
      </c>
      <c r="I581" s="122" t="e">
        <f>VLOOKUP(B581,'Gebouwgegevens Allacker'!$J$5:$Q$83,7,0)</f>
        <v>#N/A</v>
      </c>
      <c r="J581" s="118" t="e">
        <f>VLOOKUP(B581,'Gebouwgegevens Allacker'!$J$5:$Q$83,8,0)</f>
        <v>#N/A</v>
      </c>
      <c r="K581" s="118" t="e">
        <f>(G581-H581)/(G581-$B$4)</f>
        <v>#N/A</v>
      </c>
      <c r="L581" s="98"/>
      <c r="M581" s="98"/>
      <c r="N581" s="98"/>
      <c r="O581" s="98"/>
      <c r="P581" s="96"/>
    </row>
    <row r="582" spans="1:16" ht="16.5" customHeight="1" thickTop="1" thickBot="1" x14ac:dyDescent="0.3">
      <c r="A582" s="95"/>
      <c r="B582" s="116" t="s">
        <v>224</v>
      </c>
      <c r="C582" s="122" t="e">
        <f>IF(VLOOKUP(B582,'Gebouwgegevens Allacker'!$J$5:$Q$83,2,0)=$B$551,VLOOKUP(B582,'Gebouwgegevens Allacker'!$J$5:$Q$83,2,0),VLOOKUP(B582,'Gebouwgegevens Allacker'!$J$5:$Q$83,3,0))</f>
        <v>#N/A</v>
      </c>
      <c r="D582" s="122" t="e">
        <f>IF(VLOOKUP(B582,'Gebouwgegevens Allacker'!$J$5:$Q$83,2,0)=$B$551,VLOOKUP(B582,'Gebouwgegevens Allacker'!$J$5:$Q$83,3,0),VLOOKUP(B582,'Gebouwgegevens Allacker'!$J$5:$Q$83,2,0))</f>
        <v>#N/A</v>
      </c>
      <c r="E582" s="122" t="e">
        <f>VLOOKUP(B582,'Gebouwgegevens Allacker'!$J$5:$Q$83,4,0)</f>
        <v>#N/A</v>
      </c>
      <c r="F582" s="122" t="e">
        <f>VLOOKUP(B582,'Gebouwgegevens Allacker'!$J$5:$Q$83,5,0)</f>
        <v>#N/A</v>
      </c>
      <c r="G582" s="122" t="e">
        <f>VLOOKUP('Verwarming Tabula 2zone RefULG1'!C582,'Gebouwgegevens Allacker'!$A$35:$F$46,5,0)</f>
        <v>#N/A</v>
      </c>
      <c r="H582" s="122" t="e">
        <f>VLOOKUP('Verwarming Tabula 2zone RefULG1'!D582,'Gebouwgegevens Allacker'!$A$35:$F$46,5,0)</f>
        <v>#N/A</v>
      </c>
      <c r="I582" s="122" t="e">
        <f>VLOOKUP(B582,'Gebouwgegevens Allacker'!$J$5:$Q$83,7,0)</f>
        <v>#N/A</v>
      </c>
      <c r="J582" s="118" t="e">
        <f>VLOOKUP(B582,'Gebouwgegevens Allacker'!$J$5:$Q$83,8,0)</f>
        <v>#N/A</v>
      </c>
      <c r="K582" s="118" t="e">
        <f>(G582-H582)/(G582-$B$4)</f>
        <v>#N/A</v>
      </c>
      <c r="L582" s="98"/>
      <c r="M582" s="98"/>
      <c r="N582" s="98"/>
      <c r="O582" s="98"/>
      <c r="P582" s="96"/>
    </row>
    <row r="583" spans="1:16" ht="16.5" customHeight="1" thickTop="1" thickBot="1" x14ac:dyDescent="0.3">
      <c r="A583" s="95"/>
      <c r="B583" s="116" t="s">
        <v>230</v>
      </c>
      <c r="C583" s="122" t="e">
        <f>IF(VLOOKUP(B583,'Gebouwgegevens Allacker'!$J$5:$Q$83,2,0)=$B$551,VLOOKUP(B583,'Gebouwgegevens Allacker'!$J$5:$Q$83,2,0),VLOOKUP(B583,'Gebouwgegevens Allacker'!$J$5:$Q$83,3,0))</f>
        <v>#N/A</v>
      </c>
      <c r="D583" s="122" t="e">
        <f>IF(VLOOKUP(B583,'Gebouwgegevens Allacker'!$J$5:$Q$83,2,0)=$B$551,VLOOKUP(B583,'Gebouwgegevens Allacker'!$J$5:$Q$83,3,0),VLOOKUP(B583,'Gebouwgegevens Allacker'!$J$5:$Q$83,2,0))</f>
        <v>#N/A</v>
      </c>
      <c r="E583" s="122" t="e">
        <f>VLOOKUP(B583,'Gebouwgegevens Allacker'!$J$5:$Q$83,4,0)</f>
        <v>#N/A</v>
      </c>
      <c r="F583" s="122" t="e">
        <f>VLOOKUP(B583,'Gebouwgegevens Allacker'!$J$5:$Q$83,5,0)</f>
        <v>#N/A</v>
      </c>
      <c r="G583" s="122" t="e">
        <f>VLOOKUP('Verwarming Tabula 2zone RefULG1'!C583,'Gebouwgegevens Allacker'!$A$35:$F$46,5,0)</f>
        <v>#N/A</v>
      </c>
      <c r="H583" s="122" t="e">
        <f>VLOOKUP('Verwarming Tabula 2zone RefULG1'!D583,'Gebouwgegevens Allacker'!$A$35:$F$46,5,0)</f>
        <v>#N/A</v>
      </c>
      <c r="I583" s="122" t="e">
        <f>VLOOKUP(B583,'Gebouwgegevens Allacker'!$J$5:$Q$83,7,0)</f>
        <v>#N/A</v>
      </c>
      <c r="J583" s="118" t="e">
        <f>VLOOKUP(B583,'Gebouwgegevens Allacker'!$J$5:$Q$83,8,0)</f>
        <v>#N/A</v>
      </c>
      <c r="K583" s="118" t="e">
        <f>(G583-H583)/(G583-$B$4)</f>
        <v>#N/A</v>
      </c>
      <c r="L583" s="98"/>
      <c r="M583" s="98"/>
      <c r="N583" s="98"/>
      <c r="O583" s="98"/>
      <c r="P583" s="96"/>
    </row>
    <row r="584" spans="1:16" ht="16.5" customHeight="1" thickTop="1" thickBot="1" x14ac:dyDescent="0.3">
      <c r="A584" s="95"/>
      <c r="B584" s="116"/>
      <c r="C584" s="122"/>
      <c r="D584" s="122"/>
      <c r="E584" s="122"/>
      <c r="F584" s="122"/>
      <c r="G584" s="122"/>
      <c r="H584" s="122"/>
      <c r="I584" s="122"/>
      <c r="J584" s="118"/>
      <c r="K584" s="118"/>
      <c r="L584" s="98"/>
      <c r="M584" s="98"/>
      <c r="N584" s="98"/>
      <c r="O584" s="98"/>
      <c r="P584" s="96"/>
    </row>
    <row r="585" spans="1:16" ht="16.5" customHeight="1" thickTop="1" thickBot="1" x14ac:dyDescent="0.3">
      <c r="A585" s="95"/>
      <c r="B585" s="145"/>
      <c r="C585" s="122"/>
      <c r="D585" s="122"/>
      <c r="E585" s="122"/>
      <c r="F585" s="122"/>
      <c r="G585" s="122"/>
      <c r="H585" s="122"/>
      <c r="I585" s="122"/>
      <c r="J585" s="118"/>
      <c r="K585" s="118"/>
      <c r="L585" s="98"/>
      <c r="M585" s="98"/>
      <c r="N585" s="98"/>
      <c r="O585" s="98"/>
      <c r="P585" s="96"/>
    </row>
    <row r="586" spans="1:16" ht="16.5" customHeight="1" thickTop="1" thickBot="1" x14ac:dyDescent="0.3">
      <c r="A586" s="95"/>
      <c r="B586" s="123"/>
      <c r="C586" s="139"/>
      <c r="D586" s="122"/>
      <c r="E586" s="122"/>
      <c r="F586" s="122"/>
      <c r="G586" s="122"/>
      <c r="H586" s="122"/>
      <c r="I586" s="122"/>
      <c r="J586" s="118"/>
      <c r="K586" s="118"/>
      <c r="L586" s="98"/>
      <c r="M586" s="98"/>
      <c r="N586" s="98"/>
      <c r="O586" s="98"/>
      <c r="P586" s="96"/>
    </row>
    <row r="587" spans="1:16" ht="16.5" customHeight="1" thickTop="1" thickBot="1" x14ac:dyDescent="0.3">
      <c r="A587" s="95"/>
      <c r="B587" s="123"/>
      <c r="C587" s="139"/>
      <c r="D587" s="122"/>
      <c r="E587" s="122"/>
      <c r="F587" s="122"/>
      <c r="G587" s="122"/>
      <c r="H587" s="122"/>
      <c r="I587" s="122"/>
      <c r="J587" s="118"/>
      <c r="K587" s="118"/>
      <c r="L587" s="98"/>
      <c r="M587" s="98"/>
      <c r="N587" s="98"/>
      <c r="O587" s="98"/>
      <c r="P587" s="96"/>
    </row>
    <row r="588" spans="1:16" ht="16.5" customHeight="1" thickTop="1" thickBot="1" x14ac:dyDescent="0.3">
      <c r="A588" s="95"/>
      <c r="B588" s="123"/>
      <c r="C588" s="139"/>
      <c r="D588" s="122"/>
      <c r="E588" s="122"/>
      <c r="F588" s="122"/>
      <c r="G588" s="122"/>
      <c r="H588" s="122"/>
      <c r="I588" s="122"/>
      <c r="J588" s="118"/>
      <c r="K588" s="118"/>
      <c r="L588" s="98"/>
      <c r="M588" s="98"/>
      <c r="N588" s="98"/>
      <c r="O588" s="98"/>
      <c r="P588" s="96"/>
    </row>
    <row r="589" spans="1:16" ht="16.5" customHeight="1" thickTop="1" thickBot="1" x14ac:dyDescent="0.3">
      <c r="A589" s="95"/>
      <c r="B589" s="123"/>
      <c r="C589" s="139"/>
      <c r="D589" s="122"/>
      <c r="E589" s="122"/>
      <c r="F589" s="122"/>
      <c r="G589" s="122"/>
      <c r="H589" s="122"/>
      <c r="I589" s="122"/>
      <c r="J589" s="118"/>
      <c r="K589" s="118"/>
      <c r="L589" s="98"/>
      <c r="M589" s="98"/>
      <c r="N589" s="98"/>
      <c r="O589" s="98"/>
      <c r="P589" s="96"/>
    </row>
    <row r="590" spans="1:16" ht="16.5" customHeight="1" thickTop="1" thickBot="1" x14ac:dyDescent="0.3">
      <c r="A590" s="95"/>
      <c r="B590" s="123"/>
      <c r="C590" s="139"/>
      <c r="D590" s="122"/>
      <c r="E590" s="122"/>
      <c r="F590" s="122"/>
      <c r="G590" s="122"/>
      <c r="H590" s="122"/>
      <c r="I590" s="122"/>
      <c r="J590" s="118"/>
      <c r="K590" s="118"/>
      <c r="L590" s="98"/>
      <c r="M590" s="98"/>
      <c r="N590" s="98"/>
      <c r="O590" s="98"/>
      <c r="P590" s="96"/>
    </row>
    <row r="591" spans="1:16" ht="15.75" customHeight="1" thickTop="1" x14ac:dyDescent="0.25">
      <c r="A591" s="95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8"/>
      <c r="M591" s="98"/>
      <c r="N591" s="98"/>
      <c r="O591" s="98"/>
      <c r="P591" s="96"/>
    </row>
    <row r="592" spans="1:16" ht="15" customHeight="1" x14ac:dyDescent="0.25">
      <c r="A592" s="95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6"/>
    </row>
    <row r="593" spans="1:16" ht="15.75" customHeight="1" x14ac:dyDescent="0.25">
      <c r="A593" s="103" t="s">
        <v>192</v>
      </c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6"/>
    </row>
    <row r="594" spans="1:16" ht="16.5" customHeight="1" x14ac:dyDescent="0.25">
      <c r="A594" s="124" t="s">
        <v>193</v>
      </c>
      <c r="B594" s="118" t="e">
        <f>SUMPRODUCT(H557:H568,I557:I568)+SUMPRODUCT(G573:G577,H573:H577)+SUMPRODUCT(J581:J590,K581:K590)</f>
        <v>#N/A</v>
      </c>
      <c r="C594" s="118" t="s">
        <v>107</v>
      </c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6"/>
    </row>
    <row r="595" spans="1:16" ht="16.5" customHeight="1" x14ac:dyDescent="0.25">
      <c r="A595" s="124" t="s">
        <v>167</v>
      </c>
      <c r="B595" s="118" t="e">
        <f>B594*(G581-$B$4)</f>
        <v>#N/A</v>
      </c>
      <c r="C595" s="118" t="s">
        <v>169</v>
      </c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6"/>
    </row>
    <row r="596" spans="1:16" ht="15.75" customHeight="1" thickBot="1" x14ac:dyDescent="0.3">
      <c r="A596" s="109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1"/>
    </row>
    <row r="597" spans="1:16" ht="15.75" customHeight="1" thickTop="1" x14ac:dyDescent="0.25">
      <c r="A597" s="343" t="s">
        <v>194</v>
      </c>
      <c r="B597" s="343"/>
      <c r="C597" s="343"/>
      <c r="D597" s="125" t="s">
        <v>222</v>
      </c>
      <c r="E597" s="328"/>
      <c r="F597" s="328"/>
      <c r="G597" s="328"/>
      <c r="H597" s="328"/>
      <c r="I597" s="328"/>
      <c r="J597" s="328"/>
      <c r="K597" s="328"/>
      <c r="L597" s="328"/>
      <c r="M597" s="328"/>
      <c r="N597" s="328"/>
      <c r="O597" s="328"/>
      <c r="P597" s="94"/>
    </row>
    <row r="598" spans="1:16" ht="15" customHeight="1" x14ac:dyDescent="0.25">
      <c r="A598" s="95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6"/>
    </row>
    <row r="599" spans="1:16" ht="15" customHeight="1" thickBot="1" x14ac:dyDescent="0.3">
      <c r="A599" s="126" t="s">
        <v>195</v>
      </c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6"/>
    </row>
    <row r="600" spans="1:16" ht="15" customHeight="1" thickTop="1" thickBot="1" x14ac:dyDescent="0.3">
      <c r="A600" s="127" t="s">
        <v>196</v>
      </c>
      <c r="B600" s="121">
        <v>8</v>
      </c>
      <c r="C600" s="120" t="s">
        <v>197</v>
      </c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6"/>
    </row>
    <row r="601" spans="1:16" ht="15" customHeight="1" thickTop="1" thickBot="1" x14ac:dyDescent="0.3">
      <c r="A601" s="127" t="s">
        <v>198</v>
      </c>
      <c r="B601" s="121">
        <v>0.03</v>
      </c>
      <c r="C601" s="120" t="s">
        <v>199</v>
      </c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6"/>
    </row>
    <row r="602" spans="1:16" ht="15.75" customHeight="1" thickTop="1" thickBot="1" x14ac:dyDescent="0.3">
      <c r="A602" s="127" t="s">
        <v>200</v>
      </c>
      <c r="B602" s="121">
        <v>1</v>
      </c>
      <c r="C602" s="120" t="s">
        <v>201</v>
      </c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6"/>
    </row>
    <row r="603" spans="1:16" ht="16.5" customHeight="1" thickTop="1" x14ac:dyDescent="0.25">
      <c r="A603" s="124" t="s">
        <v>202</v>
      </c>
      <c r="B603" s="118" t="e">
        <f>2*VLOOKUP(B551,'Gebouwgegevens Allacker'!$A$35:$F$46,6,0)*B600*B601*B602</f>
        <v>#N/A</v>
      </c>
      <c r="C603" s="118" t="s">
        <v>203</v>
      </c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6"/>
    </row>
    <row r="604" spans="1:16" ht="15.75" customHeight="1" x14ac:dyDescent="0.25">
      <c r="A604" s="138"/>
      <c r="B604" s="58"/>
      <c r="C604" s="5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6"/>
    </row>
    <row r="605" spans="1:16" ht="15" customHeight="1" x14ac:dyDescent="0.25">
      <c r="A605" s="146" t="s">
        <v>204</v>
      </c>
      <c r="B605" s="58"/>
      <c r="C605" s="5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6"/>
    </row>
    <row r="606" spans="1:16" ht="15.75" customHeight="1" x14ac:dyDescent="0.25">
      <c r="A606" s="138" t="s">
        <v>180</v>
      </c>
      <c r="B606" s="58" t="e">
        <f>VLOOKUP(B551,'Gebouwgegevens Allacker'!$A$35:$F$46,6,0)</f>
        <v>#N/A</v>
      </c>
      <c r="C606" s="5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6"/>
    </row>
    <row r="607" spans="1:16" ht="16.5" customHeight="1" x14ac:dyDescent="0.25">
      <c r="A607" s="124" t="s">
        <v>205</v>
      </c>
      <c r="B607" s="128" t="e">
        <f>B606*3.6</f>
        <v>#N/A</v>
      </c>
      <c r="C607" s="118" t="s">
        <v>203</v>
      </c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6"/>
    </row>
    <row r="608" spans="1:16" ht="15.75" customHeight="1" x14ac:dyDescent="0.25">
      <c r="A608" s="138"/>
      <c r="B608" s="58"/>
      <c r="C608" s="5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6"/>
    </row>
    <row r="609" spans="1:16" ht="15.75" customHeight="1" x14ac:dyDescent="0.25">
      <c r="A609" s="138"/>
      <c r="B609" s="58"/>
      <c r="C609" s="5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6"/>
    </row>
    <row r="610" spans="1:16" ht="16.5" customHeight="1" x14ac:dyDescent="0.25">
      <c r="A610" s="124" t="s">
        <v>207</v>
      </c>
      <c r="B610" s="118" t="e">
        <f>MAX(B603,B607)</f>
        <v>#N/A</v>
      </c>
      <c r="C610" s="118" t="s">
        <v>203</v>
      </c>
      <c r="D610" s="98"/>
      <c r="E610" s="98"/>
      <c r="F610" s="118" t="s">
        <v>208</v>
      </c>
      <c r="G610" s="118" t="e">
        <f>B610/VLOOKUP(B551,'Gebouwgegevens Allacker'!$A$35:$B$46,2,0)</f>
        <v>#N/A</v>
      </c>
      <c r="H610" s="98"/>
      <c r="I610" s="98"/>
      <c r="J610" s="98"/>
      <c r="K610" s="98"/>
      <c r="L610" s="98"/>
      <c r="M610" s="98"/>
      <c r="N610" s="98"/>
      <c r="O610" s="98"/>
      <c r="P610" s="96"/>
    </row>
    <row r="611" spans="1:16" ht="16.5" customHeight="1" x14ac:dyDescent="0.25">
      <c r="A611" s="138"/>
      <c r="B611" s="58"/>
      <c r="C611" s="5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6"/>
    </row>
    <row r="612" spans="1:16" ht="16.5" customHeight="1" x14ac:dyDescent="0.25">
      <c r="A612" s="124" t="s">
        <v>209</v>
      </c>
      <c r="B612" s="118" t="e">
        <f>0.34*B610</f>
        <v>#N/A</v>
      </c>
      <c r="C612" s="118" t="s">
        <v>107</v>
      </c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6"/>
    </row>
    <row r="613" spans="1:16" ht="16.5" customHeight="1" x14ac:dyDescent="0.25">
      <c r="A613" s="124" t="s">
        <v>167</v>
      </c>
      <c r="B613" s="118" t="e">
        <f>B612*('Gebouwgegevens Allacker'!E573-$B$4)</f>
        <v>#N/A</v>
      </c>
      <c r="C613" s="118" t="s">
        <v>169</v>
      </c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6"/>
    </row>
    <row r="614" spans="1:16" ht="15.75" customHeight="1" thickBot="1" x14ac:dyDescent="0.3">
      <c r="A614" s="140"/>
      <c r="B614" s="141"/>
      <c r="C614" s="141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1"/>
    </row>
    <row r="615" spans="1:16" ht="15.75" customHeight="1" thickTop="1" x14ac:dyDescent="0.25">
      <c r="A615" s="343" t="s">
        <v>210</v>
      </c>
      <c r="B615" s="343"/>
      <c r="C615" s="343"/>
      <c r="D615" s="343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6"/>
    </row>
    <row r="616" spans="1:16" ht="15" customHeight="1" thickBot="1" x14ac:dyDescent="0.3">
      <c r="A616" s="95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6"/>
    </row>
    <row r="617" spans="1:16" ht="15" customHeight="1" thickTop="1" thickBot="1" x14ac:dyDescent="0.3">
      <c r="A617" s="127" t="s">
        <v>211</v>
      </c>
      <c r="B617" s="121">
        <v>45</v>
      </c>
      <c r="C617" s="58" t="s">
        <v>232</v>
      </c>
      <c r="D617" s="5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6"/>
    </row>
    <row r="618" spans="1:16" ht="15.75" customHeight="1" thickTop="1" x14ac:dyDescent="0.25">
      <c r="A618" s="3" t="s">
        <v>113</v>
      </c>
      <c r="B618" s="58" t="e">
        <f>VLOOKUP(B551,'Gebouwgegevens Allacker'!$A$35:$F$46,6,0)</f>
        <v>#N/A</v>
      </c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6"/>
    </row>
    <row r="619" spans="1:16" ht="16.5" customHeight="1" x14ac:dyDescent="0.25">
      <c r="A619" s="124" t="s">
        <v>213</v>
      </c>
      <c r="B619" s="118" t="e">
        <f>B620/('Gebouwgegevens Allacker'!E573-'Verwarming Tabula 2zone RefULG1'!$B$4)</f>
        <v>#N/A</v>
      </c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6"/>
    </row>
    <row r="620" spans="1:16" ht="16.5" customHeight="1" x14ac:dyDescent="0.25">
      <c r="A620" s="124" t="s">
        <v>167</v>
      </c>
      <c r="B620" s="118" t="e">
        <f>B617*B618</f>
        <v>#N/A</v>
      </c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6"/>
    </row>
    <row r="621" spans="1:16" ht="15.75" customHeight="1" x14ac:dyDescent="0.25">
      <c r="A621" s="95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6"/>
    </row>
    <row r="622" spans="1:16" ht="15.75" customHeight="1" thickBot="1" x14ac:dyDescent="0.3">
      <c r="A622" s="95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6"/>
    </row>
    <row r="623" spans="1:16" ht="15.75" customHeight="1" thickTop="1" thickBot="1" x14ac:dyDescent="0.3">
      <c r="A623" s="129" t="s">
        <v>214</v>
      </c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1"/>
    </row>
    <row r="624" spans="1:16" ht="16.5" customHeight="1" thickTop="1" x14ac:dyDescent="0.25">
      <c r="A624" s="124" t="s">
        <v>215</v>
      </c>
      <c r="B624" s="118" t="e">
        <f>SUM(B594,B612,B619)</f>
        <v>#N/A</v>
      </c>
      <c r="C624" s="118" t="s">
        <v>107</v>
      </c>
      <c r="D624" s="132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  <c r="O624" s="132"/>
      <c r="P624" s="133"/>
    </row>
    <row r="625" spans="1:16" ht="16.5" customHeight="1" x14ac:dyDescent="0.25">
      <c r="A625" s="124" t="s">
        <v>167</v>
      </c>
      <c r="B625" s="118" t="e">
        <f>SUM(B595,B613,B620)</f>
        <v>#N/A</v>
      </c>
      <c r="C625" s="118" t="s">
        <v>169</v>
      </c>
      <c r="D625" s="132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  <c r="O625" s="132"/>
      <c r="P625" s="133"/>
    </row>
    <row r="626" spans="1:16" ht="16.5" customHeight="1" thickBot="1" x14ac:dyDescent="0.3">
      <c r="A626" s="134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6"/>
    </row>
    <row r="627" spans="1:16" ht="15" customHeight="1" thickTop="1" x14ac:dyDescent="0.25">
      <c r="A627" s="137"/>
      <c r="B627" s="137"/>
      <c r="C627" s="137"/>
      <c r="D627" s="137"/>
      <c r="E627" s="137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</row>
    <row r="628" spans="1:16" ht="15.75" customHeight="1" thickBot="1" x14ac:dyDescent="0.3">
      <c r="A628" s="137"/>
      <c r="B628" s="137"/>
      <c r="C628" s="137"/>
      <c r="D628" s="137"/>
      <c r="E628" s="137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</row>
    <row r="629" spans="1:16" ht="15" customHeight="1" thickTop="1" thickBot="1" x14ac:dyDescent="0.3">
      <c r="A629" s="93"/>
      <c r="B629" s="328"/>
      <c r="C629" s="328"/>
      <c r="D629" s="328"/>
      <c r="E629" s="328"/>
      <c r="F629" s="328"/>
      <c r="G629" s="328"/>
      <c r="H629" s="328"/>
      <c r="I629" s="328"/>
      <c r="J629" s="328"/>
      <c r="K629" s="328"/>
      <c r="L629" s="328"/>
      <c r="M629" s="328"/>
      <c r="N629" s="328"/>
      <c r="O629" s="328"/>
      <c r="P629" s="94"/>
    </row>
    <row r="630" spans="1:16" ht="17.25" customHeight="1" thickTop="1" thickBot="1" x14ac:dyDescent="0.35">
      <c r="A630" s="97" t="s">
        <v>166</v>
      </c>
      <c r="B630" s="92">
        <v>9</v>
      </c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6"/>
    </row>
    <row r="631" spans="1:16" ht="15.75" customHeight="1" thickTop="1" x14ac:dyDescent="0.25">
      <c r="A631" s="343" t="s">
        <v>168</v>
      </c>
      <c r="B631" s="343"/>
      <c r="C631" s="343"/>
      <c r="D631" s="343"/>
      <c r="E631" s="328"/>
      <c r="F631" s="328"/>
      <c r="G631" s="328"/>
      <c r="H631" s="328"/>
      <c r="I631" s="328"/>
      <c r="J631" s="328"/>
      <c r="K631" s="328"/>
      <c r="L631" s="328"/>
      <c r="M631" s="328"/>
      <c r="N631" s="328"/>
      <c r="O631" s="328"/>
      <c r="P631" s="94"/>
    </row>
    <row r="632" spans="1:16" ht="15" customHeight="1" x14ac:dyDescent="0.25">
      <c r="A632" s="95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6"/>
    </row>
    <row r="633" spans="1:16" ht="15" customHeight="1" x14ac:dyDescent="0.25">
      <c r="A633" s="103" t="s">
        <v>170</v>
      </c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6"/>
    </row>
    <row r="634" spans="1:16" ht="15" customHeight="1" x14ac:dyDescent="0.25">
      <c r="A634" s="95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6"/>
    </row>
    <row r="635" spans="1:16" ht="15.75" customHeight="1" thickBot="1" x14ac:dyDescent="0.3">
      <c r="A635" s="95"/>
      <c r="B635" s="104" t="s">
        <v>10</v>
      </c>
      <c r="C635" s="104" t="s">
        <v>171</v>
      </c>
      <c r="D635" s="104" t="s">
        <v>172</v>
      </c>
      <c r="E635" s="104" t="s">
        <v>173</v>
      </c>
      <c r="F635" s="104" t="s">
        <v>174</v>
      </c>
      <c r="G635" s="104" t="s">
        <v>16</v>
      </c>
      <c r="H635" s="105" t="s">
        <v>17</v>
      </c>
      <c r="I635" s="105" t="s">
        <v>175</v>
      </c>
      <c r="J635" s="98"/>
      <c r="K635" s="98"/>
      <c r="L635" s="98"/>
      <c r="M635" s="98"/>
      <c r="N635" s="98"/>
      <c r="O635" s="98"/>
      <c r="P635" s="96"/>
    </row>
    <row r="636" spans="1:16" ht="16.5" customHeight="1" thickTop="1" thickBot="1" x14ac:dyDescent="0.3">
      <c r="A636" s="95"/>
      <c r="B636" s="106" t="s">
        <v>251</v>
      </c>
      <c r="C636" s="107" t="e">
        <f>VLOOKUP(B636,'Gebouwgegevens Allacker'!$J$5:$Q$83,3,0)</f>
        <v>#N/A</v>
      </c>
      <c r="D636" s="107" t="e">
        <f>VLOOKUP(B636,'Gebouwgegevens Allacker'!$J$5:$Q$83,4,0)</f>
        <v>#N/A</v>
      </c>
      <c r="E636" s="107" t="e">
        <f>VLOOKUP(B636,'Gebouwgegevens Allacker'!$J$5:$Q$83,5,0)</f>
        <v>#N/A</v>
      </c>
      <c r="F636" s="107" t="e">
        <f>VLOOKUP(B636,'Gebouwgegevens Allacker'!$J$5:$Q$83,6,0)</f>
        <v>#N/A</v>
      </c>
      <c r="G636" s="107" t="e">
        <f>VLOOKUP(B636,'Gebouwgegevens Allacker'!$J$5:$Q$83,7,0)</f>
        <v>#N/A</v>
      </c>
      <c r="H636" s="108" t="e">
        <f>VLOOKUP(B636,'Gebouwgegevens Allacker'!$J$5:$Q$83,8,0)</f>
        <v>#N/A</v>
      </c>
      <c r="I636" s="108">
        <v>1</v>
      </c>
      <c r="J636" s="98"/>
      <c r="K636" s="98"/>
      <c r="L636" s="98"/>
      <c r="M636" s="98"/>
      <c r="N636" s="98"/>
      <c r="O636" s="98"/>
      <c r="P636" s="96"/>
    </row>
    <row r="637" spans="1:16" ht="16.5" customHeight="1" thickTop="1" thickBot="1" x14ac:dyDescent="0.3">
      <c r="A637" s="95"/>
      <c r="B637" s="106" t="s">
        <v>252</v>
      </c>
      <c r="C637" s="107" t="e">
        <f>VLOOKUP(B637,'Gebouwgegevens Allacker'!$J$5:$Q$83,3,0)</f>
        <v>#N/A</v>
      </c>
      <c r="D637" s="107" t="e">
        <f>VLOOKUP(B637,'Gebouwgegevens Allacker'!$J$5:$Q$83,4,0)</f>
        <v>#N/A</v>
      </c>
      <c r="E637" s="107" t="e">
        <f>VLOOKUP(B637,'Gebouwgegevens Allacker'!$J$5:$Q$83,5,0)</f>
        <v>#N/A</v>
      </c>
      <c r="F637" s="107" t="e">
        <f>VLOOKUP(B637,'Gebouwgegevens Allacker'!$J$5:$Q$83,6,0)</f>
        <v>#N/A</v>
      </c>
      <c r="G637" s="107" t="e">
        <f>VLOOKUP(B637,'Gebouwgegevens Allacker'!$J$5:$Q$83,7,0)</f>
        <v>#N/A</v>
      </c>
      <c r="H637" s="108" t="e">
        <f>VLOOKUP(B637,'Gebouwgegevens Allacker'!$J$5:$Q$83,8,0)</f>
        <v>#N/A</v>
      </c>
      <c r="I637" s="108">
        <v>1</v>
      </c>
      <c r="J637" s="98"/>
      <c r="K637" s="98"/>
      <c r="L637" s="98"/>
      <c r="M637" s="98"/>
      <c r="N637" s="98"/>
      <c r="O637" s="98"/>
      <c r="P637" s="96"/>
    </row>
    <row r="638" spans="1:16" ht="16.5" customHeight="1" thickTop="1" thickBot="1" x14ac:dyDescent="0.3">
      <c r="A638" s="95"/>
      <c r="B638" s="106"/>
      <c r="C638" s="107"/>
      <c r="D638" s="107"/>
      <c r="E638" s="107"/>
      <c r="F638" s="107"/>
      <c r="G638" s="107"/>
      <c r="H638" s="108"/>
      <c r="I638" s="108"/>
      <c r="J638" s="98"/>
      <c r="K638" s="98"/>
      <c r="L638" s="98"/>
      <c r="M638" s="98"/>
      <c r="N638" s="98"/>
      <c r="O638" s="98"/>
      <c r="P638" s="96"/>
    </row>
    <row r="639" spans="1:16" ht="16.5" customHeight="1" thickTop="1" thickBot="1" x14ac:dyDescent="0.3">
      <c r="A639" s="95"/>
      <c r="B639" s="106"/>
      <c r="C639" s="107"/>
      <c r="D639" s="107"/>
      <c r="E639" s="107"/>
      <c r="F639" s="107"/>
      <c r="G639" s="107"/>
      <c r="H639" s="108"/>
      <c r="I639" s="108"/>
      <c r="J639" s="98"/>
      <c r="K639" s="98"/>
      <c r="L639" s="98"/>
      <c r="M639" s="98"/>
      <c r="N639" s="98"/>
      <c r="O639" s="98"/>
      <c r="P639" s="96"/>
    </row>
    <row r="640" spans="1:16" ht="16.5" customHeight="1" thickTop="1" thickBot="1" x14ac:dyDescent="0.3">
      <c r="A640" s="95"/>
      <c r="B640" s="106"/>
      <c r="C640" s="107"/>
      <c r="D640" s="107"/>
      <c r="E640" s="107"/>
      <c r="F640" s="107"/>
      <c r="G640" s="107"/>
      <c r="H640" s="108"/>
      <c r="I640" s="108"/>
      <c r="J640" s="98"/>
      <c r="K640" s="98"/>
      <c r="L640" s="98"/>
      <c r="M640" s="98"/>
      <c r="N640" s="98"/>
      <c r="O640" s="98"/>
      <c r="P640" s="96"/>
    </row>
    <row r="641" spans="1:16" ht="16.5" customHeight="1" thickTop="1" thickBot="1" x14ac:dyDescent="0.3">
      <c r="A641" s="95"/>
      <c r="B641" s="106"/>
      <c r="C641" s="107"/>
      <c r="D641" s="107"/>
      <c r="E641" s="107"/>
      <c r="F641" s="107"/>
      <c r="G641" s="107"/>
      <c r="H641" s="108"/>
      <c r="I641" s="108"/>
      <c r="J641" s="98"/>
      <c r="K641" s="98"/>
      <c r="L641" s="98"/>
      <c r="M641" s="98"/>
      <c r="N641" s="98"/>
      <c r="O641" s="98"/>
      <c r="P641" s="96"/>
    </row>
    <row r="642" spans="1:16" ht="16.5" customHeight="1" thickTop="1" thickBot="1" x14ac:dyDescent="0.3">
      <c r="A642" s="95"/>
      <c r="B642" s="106"/>
      <c r="C642" s="107"/>
      <c r="D642" s="107"/>
      <c r="E642" s="107"/>
      <c r="F642" s="107"/>
      <c r="G642" s="107"/>
      <c r="H642" s="108"/>
      <c r="I642" s="108"/>
      <c r="J642" s="98"/>
      <c r="K642" s="98"/>
      <c r="L642" s="98"/>
      <c r="M642" s="98"/>
      <c r="N642" s="98"/>
      <c r="O642" s="98"/>
      <c r="P642" s="96"/>
    </row>
    <row r="643" spans="1:16" ht="16.5" customHeight="1" thickTop="1" thickBot="1" x14ac:dyDescent="0.3">
      <c r="A643" s="95"/>
      <c r="B643" s="106"/>
      <c r="C643" s="107"/>
      <c r="D643" s="107"/>
      <c r="E643" s="107"/>
      <c r="F643" s="107"/>
      <c r="G643" s="107"/>
      <c r="H643" s="108"/>
      <c r="I643" s="108"/>
      <c r="J643" s="98"/>
      <c r="K643" s="98"/>
      <c r="L643" s="98"/>
      <c r="M643" s="98"/>
      <c r="N643" s="98"/>
      <c r="O643" s="98"/>
      <c r="P643" s="96"/>
    </row>
    <row r="644" spans="1:16" ht="16.5" customHeight="1" thickTop="1" thickBot="1" x14ac:dyDescent="0.3">
      <c r="A644" s="95"/>
      <c r="B644" s="106"/>
      <c r="C644" s="107"/>
      <c r="D644" s="107"/>
      <c r="E644" s="107"/>
      <c r="F644" s="107"/>
      <c r="G644" s="107"/>
      <c r="H644" s="108"/>
      <c r="I644" s="108"/>
      <c r="J644" s="98"/>
      <c r="K644" s="98"/>
      <c r="L644" s="98"/>
      <c r="M644" s="98"/>
      <c r="N644" s="98"/>
      <c r="O644" s="98"/>
      <c r="P644" s="96"/>
    </row>
    <row r="645" spans="1:16" ht="16.5" customHeight="1" thickTop="1" thickBot="1" x14ac:dyDescent="0.3">
      <c r="A645" s="95"/>
      <c r="B645" s="106"/>
      <c r="C645" s="107"/>
      <c r="D645" s="107"/>
      <c r="E645" s="107"/>
      <c r="F645" s="107"/>
      <c r="G645" s="107"/>
      <c r="H645" s="108"/>
      <c r="I645" s="108"/>
      <c r="J645" s="98"/>
      <c r="K645" s="98"/>
      <c r="L645" s="98"/>
      <c r="M645" s="98"/>
      <c r="N645" s="98"/>
      <c r="O645" s="98"/>
      <c r="P645" s="96"/>
    </row>
    <row r="646" spans="1:16" ht="16.5" customHeight="1" thickTop="1" thickBot="1" x14ac:dyDescent="0.3">
      <c r="A646" s="95"/>
      <c r="B646" s="106"/>
      <c r="C646" s="107"/>
      <c r="D646" s="107"/>
      <c r="E646" s="107"/>
      <c r="F646" s="107"/>
      <c r="G646" s="107"/>
      <c r="H646" s="108"/>
      <c r="I646" s="108"/>
      <c r="J646" s="98"/>
      <c r="K646" s="98"/>
      <c r="L646" s="98"/>
      <c r="M646" s="98"/>
      <c r="N646" s="98"/>
      <c r="O646" s="98"/>
      <c r="P646" s="96"/>
    </row>
    <row r="647" spans="1:16" ht="16.5" customHeight="1" thickTop="1" thickBot="1" x14ac:dyDescent="0.3">
      <c r="A647" s="95"/>
      <c r="B647" s="106"/>
      <c r="C647" s="107"/>
      <c r="D647" s="107"/>
      <c r="E647" s="107"/>
      <c r="F647" s="107"/>
      <c r="G647" s="107"/>
      <c r="H647" s="108"/>
      <c r="I647" s="108"/>
      <c r="J647" s="98"/>
      <c r="K647" s="98"/>
      <c r="L647" s="98"/>
      <c r="M647" s="98"/>
      <c r="N647" s="98"/>
      <c r="O647" s="98"/>
      <c r="P647" s="96"/>
    </row>
    <row r="648" spans="1:16" ht="15.75" customHeight="1" thickTop="1" x14ac:dyDescent="0.25">
      <c r="A648" s="95"/>
      <c r="B648" s="58"/>
      <c r="C648" s="58"/>
      <c r="D648" s="58"/>
      <c r="E648" s="58"/>
      <c r="F648" s="58"/>
      <c r="G648" s="114"/>
      <c r="H648" s="58"/>
      <c r="I648" s="58"/>
      <c r="J648" s="98"/>
      <c r="K648" s="98"/>
      <c r="L648" s="98"/>
      <c r="M648" s="98"/>
      <c r="N648" s="98"/>
      <c r="O648" s="98"/>
      <c r="P648" s="96"/>
    </row>
    <row r="649" spans="1:16" ht="15" customHeight="1" x14ac:dyDescent="0.25">
      <c r="A649" s="95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6"/>
    </row>
    <row r="650" spans="1:16" ht="15" customHeight="1" x14ac:dyDescent="0.25">
      <c r="A650" s="103" t="s">
        <v>177</v>
      </c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6"/>
    </row>
    <row r="651" spans="1:16" ht="15.75" customHeight="1" x14ac:dyDescent="0.25">
      <c r="A651" s="95"/>
      <c r="B651" s="58" t="s">
        <v>10</v>
      </c>
      <c r="C651" s="58" t="s">
        <v>178</v>
      </c>
      <c r="D651" s="58" t="s">
        <v>172</v>
      </c>
      <c r="E651" s="58" t="s">
        <v>179</v>
      </c>
      <c r="F651" s="58" t="s">
        <v>16</v>
      </c>
      <c r="G651" s="114" t="s">
        <v>17</v>
      </c>
      <c r="H651" s="114" t="s">
        <v>175</v>
      </c>
      <c r="I651" s="58" t="s">
        <v>180</v>
      </c>
      <c r="J651" s="58" t="s">
        <v>181</v>
      </c>
      <c r="K651" s="58" t="s">
        <v>182</v>
      </c>
      <c r="L651" s="115" t="s">
        <v>183</v>
      </c>
      <c r="M651" s="115" t="s">
        <v>184</v>
      </c>
      <c r="N651" s="115" t="s">
        <v>185</v>
      </c>
      <c r="O651" s="98"/>
      <c r="P651" s="96"/>
    </row>
    <row r="652" spans="1:16" ht="16.5" customHeight="1" thickBot="1" x14ac:dyDescent="0.3">
      <c r="A652" s="95"/>
      <c r="B652" s="116" t="s">
        <v>253</v>
      </c>
      <c r="C652" s="117" t="e">
        <f>VLOOKUP(B652,'Gebouwgegevens Allacker'!$J$5:$Q$83,3,0)</f>
        <v>#N/A</v>
      </c>
      <c r="D652" s="117" t="e">
        <f>VLOOKUP(B652,'Gebouwgegevens Allacker'!$J$5:$Q$83,4,0)</f>
        <v>#N/A</v>
      </c>
      <c r="E652" s="117" t="e">
        <f>VLOOKUP(B652,'Gebouwgegevens Allacker'!$J$5:$Q$83,5,0)</f>
        <v>#N/A</v>
      </c>
      <c r="F652" s="117" t="e">
        <f>VLOOKUP(B652,'Gebouwgegevens Allacker'!$J$5:$Q$83,7,0)</f>
        <v>#N/A</v>
      </c>
      <c r="G652" s="118" t="e">
        <f>VLOOKUP(B652,'Gebouwgegevens Allacker'!$J$5:$Q$83,8,0)</f>
        <v>#N/A</v>
      </c>
      <c r="H652" s="118" t="e">
        <f>N652/F652</f>
        <v>#N/A</v>
      </c>
      <c r="I652" s="117" t="e">
        <f>VLOOKUP(C652,'Gebouwgegevens Allacker'!$A$35:$F$46,6,0)</f>
        <v>#N/A</v>
      </c>
      <c r="J652" s="116">
        <v>6.52</v>
      </c>
      <c r="K652" s="116">
        <v>0.33</v>
      </c>
      <c r="L652" s="119" t="e">
        <f>I652/(0.5*J652)</f>
        <v>#N/A</v>
      </c>
      <c r="M652" s="119" t="e">
        <f>K652+2*(1/F652)</f>
        <v>#N/A</v>
      </c>
      <c r="N652" s="120" t="e">
        <f>IF(M652&lt;L652,2*2/(PI()*L652+M652)*LN(PI()*L652/M652+1),2/(0.457*L652+M652))</f>
        <v>#N/A</v>
      </c>
      <c r="O652" s="98"/>
      <c r="P652" s="96"/>
    </row>
    <row r="653" spans="1:16" ht="16.5" customHeight="1" thickTop="1" thickBot="1" x14ac:dyDescent="0.3">
      <c r="A653" s="95"/>
      <c r="B653" s="116"/>
      <c r="C653" s="117"/>
      <c r="D653" s="117"/>
      <c r="E653" s="117"/>
      <c r="F653" s="117"/>
      <c r="G653" s="118"/>
      <c r="H653" s="118"/>
      <c r="I653" s="117"/>
      <c r="J653" s="116"/>
      <c r="K653" s="116"/>
      <c r="L653" s="119"/>
      <c r="M653" s="119"/>
      <c r="N653" s="120"/>
      <c r="O653" s="98"/>
      <c r="P653" s="96"/>
    </row>
    <row r="654" spans="1:16" ht="16.5" customHeight="1" thickTop="1" thickBot="1" x14ac:dyDescent="0.3">
      <c r="A654" s="95"/>
      <c r="B654" s="116"/>
      <c r="C654" s="117"/>
      <c r="D654" s="117"/>
      <c r="E654" s="117"/>
      <c r="F654" s="117"/>
      <c r="G654" s="118"/>
      <c r="H654" s="118"/>
      <c r="I654" s="117"/>
      <c r="J654" s="116"/>
      <c r="K654" s="116"/>
      <c r="L654" s="119"/>
      <c r="M654" s="119"/>
      <c r="N654" s="120"/>
      <c r="O654" s="98"/>
      <c r="P654" s="96"/>
    </row>
    <row r="655" spans="1:16" ht="16.5" customHeight="1" thickTop="1" thickBot="1" x14ac:dyDescent="0.3">
      <c r="A655" s="95"/>
      <c r="B655" s="116"/>
      <c r="C655" s="117"/>
      <c r="D655" s="117"/>
      <c r="E655" s="117"/>
      <c r="F655" s="117"/>
      <c r="G655" s="118"/>
      <c r="H655" s="118"/>
      <c r="I655" s="117"/>
      <c r="J655" s="116"/>
      <c r="K655" s="116"/>
      <c r="L655" s="119"/>
      <c r="M655" s="119"/>
      <c r="N655" s="120"/>
      <c r="O655" s="98"/>
      <c r="P655" s="96"/>
    </row>
    <row r="656" spans="1:16" ht="16.5" customHeight="1" thickTop="1" thickBot="1" x14ac:dyDescent="0.3">
      <c r="A656" s="138"/>
      <c r="B656" s="116"/>
      <c r="C656" s="117"/>
      <c r="D656" s="117"/>
      <c r="E656" s="117"/>
      <c r="F656" s="117"/>
      <c r="G656" s="118"/>
      <c r="H656" s="118"/>
      <c r="I656" s="117"/>
      <c r="J656" s="116"/>
      <c r="K656" s="116"/>
      <c r="L656" s="119"/>
      <c r="M656" s="119"/>
      <c r="N656" s="120"/>
      <c r="O656" s="98"/>
      <c r="P656" s="96"/>
    </row>
    <row r="657" spans="1:16" ht="15.75" customHeight="1" thickTop="1" x14ac:dyDescent="0.25">
      <c r="A657" s="95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6"/>
    </row>
    <row r="658" spans="1:16" ht="15" customHeight="1" x14ac:dyDescent="0.25">
      <c r="A658" s="103" t="s">
        <v>186</v>
      </c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6"/>
    </row>
    <row r="659" spans="1:16" ht="15.75" customHeight="1" thickBot="1" x14ac:dyDescent="0.3">
      <c r="A659" s="95"/>
      <c r="B659" s="58" t="s">
        <v>10</v>
      </c>
      <c r="C659" s="58" t="s">
        <v>187</v>
      </c>
      <c r="D659" s="58" t="s">
        <v>188</v>
      </c>
      <c r="E659" s="58" t="s">
        <v>135</v>
      </c>
      <c r="F659" s="58" t="s">
        <v>189</v>
      </c>
      <c r="G659" s="58" t="s">
        <v>190</v>
      </c>
      <c r="H659" s="58" t="s">
        <v>191</v>
      </c>
      <c r="I659" s="58" t="s">
        <v>16</v>
      </c>
      <c r="J659" s="114" t="s">
        <v>17</v>
      </c>
      <c r="K659" s="114" t="s">
        <v>175</v>
      </c>
      <c r="L659" s="98"/>
      <c r="M659" s="98"/>
      <c r="N659" s="98"/>
      <c r="O659" s="98"/>
      <c r="P659" s="96"/>
    </row>
    <row r="660" spans="1:16" ht="16.5" customHeight="1" thickTop="1" thickBot="1" x14ac:dyDescent="0.3">
      <c r="A660" s="95"/>
      <c r="B660" s="116" t="s">
        <v>219</v>
      </c>
      <c r="C660" s="122" t="e">
        <f>IF(VLOOKUP(B660,'Gebouwgegevens Allacker'!$J$5:$Q$83,2,0)=$B$630,VLOOKUP(B660,'Gebouwgegevens Allacker'!$J$5:$Q$83,2,0),VLOOKUP(B660,'Gebouwgegevens Allacker'!$J$5:$Q$83,3,0))</f>
        <v>#N/A</v>
      </c>
      <c r="D660" s="122" t="e">
        <f>IF(VLOOKUP(B660,'Gebouwgegevens Allacker'!$J$5:$Q$83,2,0)=$B$630,VLOOKUP(B660,'Gebouwgegevens Allacker'!$J$5:$Q$83,3,0),VLOOKUP(B660,'Gebouwgegevens Allacker'!$J$5:$Q$83,2,0))</f>
        <v>#N/A</v>
      </c>
      <c r="E660" s="122" t="e">
        <f>VLOOKUP(B660,'Gebouwgegevens Allacker'!$J$5:$Q$83,4,0)</f>
        <v>#N/A</v>
      </c>
      <c r="F660" s="122" t="e">
        <f>VLOOKUP(B660,'Gebouwgegevens Allacker'!$J$5:$Q$83,5,0)</f>
        <v>#N/A</v>
      </c>
      <c r="G660" s="122" t="e">
        <f>VLOOKUP('Verwarming Tabula 2zone RefULG1'!C660,'Gebouwgegevens Allacker'!$A$35:$F$46,5,0)</f>
        <v>#N/A</v>
      </c>
      <c r="H660" s="122" t="e">
        <f>VLOOKUP('Verwarming Tabula 2zone RefULG1'!D660,'Gebouwgegevens Allacker'!$A$35:$F$46,5,0)</f>
        <v>#N/A</v>
      </c>
      <c r="I660" s="122" t="e">
        <f>VLOOKUP(B660,'Gebouwgegevens Allacker'!$J$5:$Q$83,7,0)</f>
        <v>#N/A</v>
      </c>
      <c r="J660" s="118" t="e">
        <f>VLOOKUP(B660,'Gebouwgegevens Allacker'!$J$5:$Q$83,8,0)</f>
        <v>#N/A</v>
      </c>
      <c r="K660" s="118" t="e">
        <f>(G660-H660)/(G660-$B$4)</f>
        <v>#N/A</v>
      </c>
      <c r="L660" s="98"/>
      <c r="M660" s="98"/>
      <c r="N660" s="98"/>
      <c r="O660" s="98"/>
      <c r="P660" s="96"/>
    </row>
    <row r="661" spans="1:16" ht="16.5" customHeight="1" thickTop="1" thickBot="1" x14ac:dyDescent="0.3">
      <c r="A661" s="95"/>
      <c r="B661" s="116" t="s">
        <v>254</v>
      </c>
      <c r="C661" s="122" t="e">
        <f>IF(VLOOKUP(B661,'Gebouwgegevens Allacker'!$J$5:$Q$83,2,0)=$B$630,VLOOKUP(B661,'Gebouwgegevens Allacker'!$J$5:$Q$83,2,0),VLOOKUP(B661,'Gebouwgegevens Allacker'!$J$5:$Q$83,3,0))</f>
        <v>#N/A</v>
      </c>
      <c r="D661" s="122" t="e">
        <f>IF(VLOOKUP(B661,'Gebouwgegevens Allacker'!$J$5:$Q$83,2,0)=$B$630,VLOOKUP(B661,'Gebouwgegevens Allacker'!$J$5:$Q$83,3,0),VLOOKUP(B661,'Gebouwgegevens Allacker'!$J$5:$Q$83,2,0))</f>
        <v>#N/A</v>
      </c>
      <c r="E661" s="122" t="e">
        <f>VLOOKUP(B661,'Gebouwgegevens Allacker'!$J$5:$Q$83,4,0)</f>
        <v>#N/A</v>
      </c>
      <c r="F661" s="122" t="e">
        <f>VLOOKUP(B661,'Gebouwgegevens Allacker'!$J$5:$Q$83,5,0)</f>
        <v>#N/A</v>
      </c>
      <c r="G661" s="122" t="e">
        <f>VLOOKUP('Verwarming Tabula 2zone RefULG1'!C661,'Gebouwgegevens Allacker'!$A$35:$F$46,5,0)</f>
        <v>#N/A</v>
      </c>
      <c r="H661" s="122" t="e">
        <f>VLOOKUP('Verwarming Tabula 2zone RefULG1'!D661,'Gebouwgegevens Allacker'!$A$35:$F$46,5,0)</f>
        <v>#N/A</v>
      </c>
      <c r="I661" s="122" t="e">
        <f>VLOOKUP(B661,'Gebouwgegevens Allacker'!$J$5:$Q$83,7,0)</f>
        <v>#N/A</v>
      </c>
      <c r="J661" s="118" t="e">
        <f>VLOOKUP(B661,'Gebouwgegevens Allacker'!$J$5:$Q$83,8,0)</f>
        <v>#N/A</v>
      </c>
      <c r="K661" s="118" t="e">
        <f>(G661-H661)/(G661-$B$4)</f>
        <v>#N/A</v>
      </c>
      <c r="L661" s="98"/>
      <c r="M661" s="98"/>
      <c r="N661" s="98"/>
      <c r="O661" s="98"/>
      <c r="P661" s="96"/>
    </row>
    <row r="662" spans="1:16" ht="16.5" customHeight="1" thickTop="1" thickBot="1" x14ac:dyDescent="0.3">
      <c r="A662" s="95"/>
      <c r="B662" s="116"/>
      <c r="C662" s="122"/>
      <c r="D662" s="122"/>
      <c r="E662" s="122"/>
      <c r="F662" s="122"/>
      <c r="G662" s="122"/>
      <c r="H662" s="122"/>
      <c r="I662" s="122"/>
      <c r="J662" s="118"/>
      <c r="K662" s="118"/>
      <c r="L662" s="98"/>
      <c r="M662" s="98"/>
      <c r="N662" s="98"/>
      <c r="O662" s="98"/>
      <c r="P662" s="96"/>
    </row>
    <row r="663" spans="1:16" ht="16.5" customHeight="1" thickTop="1" thickBot="1" x14ac:dyDescent="0.3">
      <c r="A663" s="95"/>
      <c r="B663" s="116"/>
      <c r="C663" s="122"/>
      <c r="D663" s="122"/>
      <c r="E663" s="122"/>
      <c r="F663" s="122"/>
      <c r="G663" s="122"/>
      <c r="H663" s="122"/>
      <c r="I663" s="122"/>
      <c r="J663" s="118"/>
      <c r="K663" s="118"/>
      <c r="L663" s="98"/>
      <c r="M663" s="98"/>
      <c r="N663" s="98"/>
      <c r="O663" s="98"/>
      <c r="P663" s="96"/>
    </row>
    <row r="664" spans="1:16" ht="16.5" customHeight="1" thickTop="1" thickBot="1" x14ac:dyDescent="0.3">
      <c r="A664" s="95"/>
      <c r="B664" s="145"/>
      <c r="C664" s="122"/>
      <c r="D664" s="122"/>
      <c r="E664" s="122"/>
      <c r="F664" s="122"/>
      <c r="G664" s="122"/>
      <c r="H664" s="122"/>
      <c r="I664" s="122"/>
      <c r="J664" s="118"/>
      <c r="K664" s="118"/>
      <c r="L664" s="98"/>
      <c r="M664" s="98"/>
      <c r="N664" s="98"/>
      <c r="O664" s="98"/>
      <c r="P664" s="96"/>
    </row>
    <row r="665" spans="1:16" ht="16.5" customHeight="1" thickTop="1" thickBot="1" x14ac:dyDescent="0.3">
      <c r="A665" s="95"/>
      <c r="B665" s="123"/>
      <c r="C665" s="139"/>
      <c r="D665" s="122"/>
      <c r="E665" s="122"/>
      <c r="F665" s="122"/>
      <c r="G665" s="122"/>
      <c r="H665" s="122"/>
      <c r="I665" s="122"/>
      <c r="J665" s="118"/>
      <c r="K665" s="118"/>
      <c r="L665" s="98"/>
      <c r="M665" s="98"/>
      <c r="N665" s="98"/>
      <c r="O665" s="98"/>
      <c r="P665" s="96"/>
    </row>
    <row r="666" spans="1:16" ht="16.5" customHeight="1" thickTop="1" thickBot="1" x14ac:dyDescent="0.3">
      <c r="A666" s="95"/>
      <c r="B666" s="123"/>
      <c r="C666" s="139"/>
      <c r="D666" s="122"/>
      <c r="E666" s="122"/>
      <c r="F666" s="122"/>
      <c r="G666" s="122"/>
      <c r="H666" s="122"/>
      <c r="I666" s="122"/>
      <c r="J666" s="118"/>
      <c r="K666" s="118"/>
      <c r="L666" s="98"/>
      <c r="M666" s="98"/>
      <c r="N666" s="98"/>
      <c r="O666" s="98"/>
      <c r="P666" s="96"/>
    </row>
    <row r="667" spans="1:16" ht="16.5" customHeight="1" thickTop="1" thickBot="1" x14ac:dyDescent="0.3">
      <c r="A667" s="95"/>
      <c r="B667" s="123"/>
      <c r="C667" s="139"/>
      <c r="D667" s="122"/>
      <c r="E667" s="122"/>
      <c r="F667" s="122"/>
      <c r="G667" s="122"/>
      <c r="H667" s="122"/>
      <c r="I667" s="122"/>
      <c r="J667" s="118"/>
      <c r="K667" s="118"/>
      <c r="L667" s="98"/>
      <c r="M667" s="98"/>
      <c r="N667" s="98"/>
      <c r="O667" s="98"/>
      <c r="P667" s="96"/>
    </row>
    <row r="668" spans="1:16" ht="16.5" customHeight="1" thickTop="1" thickBot="1" x14ac:dyDescent="0.3">
      <c r="A668" s="95"/>
      <c r="B668" s="123"/>
      <c r="C668" s="139"/>
      <c r="D668" s="122"/>
      <c r="E668" s="122"/>
      <c r="F668" s="122"/>
      <c r="G668" s="122"/>
      <c r="H668" s="122"/>
      <c r="I668" s="122"/>
      <c r="J668" s="118"/>
      <c r="K668" s="118"/>
      <c r="L668" s="98"/>
      <c r="M668" s="98"/>
      <c r="N668" s="98"/>
      <c r="O668" s="98"/>
      <c r="P668" s="96"/>
    </row>
    <row r="669" spans="1:16" ht="16.5" customHeight="1" thickTop="1" thickBot="1" x14ac:dyDescent="0.3">
      <c r="A669" s="95"/>
      <c r="B669" s="123"/>
      <c r="C669" s="139"/>
      <c r="D669" s="122"/>
      <c r="E669" s="122"/>
      <c r="F669" s="122"/>
      <c r="G669" s="122"/>
      <c r="H669" s="122"/>
      <c r="I669" s="122"/>
      <c r="J669" s="118"/>
      <c r="K669" s="118"/>
      <c r="L669" s="98"/>
      <c r="M669" s="98"/>
      <c r="N669" s="98"/>
      <c r="O669" s="98"/>
      <c r="P669" s="96"/>
    </row>
    <row r="670" spans="1:16" ht="15.75" customHeight="1" thickTop="1" x14ac:dyDescent="0.25">
      <c r="A670" s="95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8"/>
      <c r="M670" s="98"/>
      <c r="N670" s="98"/>
      <c r="O670" s="98"/>
      <c r="P670" s="96"/>
    </row>
    <row r="671" spans="1:16" ht="15" customHeight="1" x14ac:dyDescent="0.25">
      <c r="A671" s="95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6"/>
    </row>
    <row r="672" spans="1:16" ht="15.75" customHeight="1" x14ac:dyDescent="0.25">
      <c r="A672" s="103" t="s">
        <v>192</v>
      </c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6"/>
    </row>
    <row r="673" spans="1:16" ht="16.5" customHeight="1" x14ac:dyDescent="0.25">
      <c r="A673" s="124" t="s">
        <v>193</v>
      </c>
      <c r="B673" s="118" t="e">
        <f>SUMPRODUCT(H636:H647,I636:I647)+SUMPRODUCT(G652:G656,H652:H656)+SUMPRODUCT(J660:J669,K660:K669)</f>
        <v>#N/A</v>
      </c>
      <c r="C673" s="118" t="s">
        <v>107</v>
      </c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6"/>
    </row>
    <row r="674" spans="1:16" ht="16.5" customHeight="1" x14ac:dyDescent="0.25">
      <c r="A674" s="124" t="s">
        <v>167</v>
      </c>
      <c r="B674" s="118" t="e">
        <f>B673*(G660-$B$4)</f>
        <v>#N/A</v>
      </c>
      <c r="C674" s="118" t="s">
        <v>169</v>
      </c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6"/>
    </row>
    <row r="675" spans="1:16" ht="15.75" customHeight="1" thickBot="1" x14ac:dyDescent="0.3">
      <c r="A675" s="109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1"/>
    </row>
    <row r="676" spans="1:16" ht="15.75" customHeight="1" thickTop="1" x14ac:dyDescent="0.25">
      <c r="A676" s="343" t="s">
        <v>194</v>
      </c>
      <c r="B676" s="343"/>
      <c r="C676" s="343"/>
      <c r="D676" s="125" t="s">
        <v>222</v>
      </c>
      <c r="E676" s="328"/>
      <c r="F676" s="328"/>
      <c r="G676" s="328"/>
      <c r="H676" s="328"/>
      <c r="I676" s="328"/>
      <c r="J676" s="328"/>
      <c r="K676" s="328"/>
      <c r="L676" s="328"/>
      <c r="M676" s="328"/>
      <c r="N676" s="328"/>
      <c r="O676" s="328"/>
      <c r="P676" s="94"/>
    </row>
    <row r="677" spans="1:16" ht="15" customHeight="1" x14ac:dyDescent="0.25">
      <c r="A677" s="95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6"/>
    </row>
    <row r="678" spans="1:16" ht="15" customHeight="1" thickBot="1" x14ac:dyDescent="0.3">
      <c r="A678" s="126" t="s">
        <v>195</v>
      </c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6"/>
    </row>
    <row r="679" spans="1:16" ht="15" customHeight="1" thickTop="1" thickBot="1" x14ac:dyDescent="0.3">
      <c r="A679" s="127" t="s">
        <v>196</v>
      </c>
      <c r="B679" s="121">
        <v>8</v>
      </c>
      <c r="C679" s="120" t="s">
        <v>197</v>
      </c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6"/>
    </row>
    <row r="680" spans="1:16" ht="15" customHeight="1" thickTop="1" thickBot="1" x14ac:dyDescent="0.3">
      <c r="A680" s="127" t="s">
        <v>198</v>
      </c>
      <c r="B680" s="121">
        <v>0.03</v>
      </c>
      <c r="C680" s="120" t="s">
        <v>199</v>
      </c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6"/>
    </row>
    <row r="681" spans="1:16" ht="15.75" customHeight="1" thickTop="1" thickBot="1" x14ac:dyDescent="0.3">
      <c r="A681" s="127" t="s">
        <v>200</v>
      </c>
      <c r="B681" s="121">
        <v>1</v>
      </c>
      <c r="C681" s="120" t="s">
        <v>201</v>
      </c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6"/>
    </row>
    <row r="682" spans="1:16" ht="16.5" customHeight="1" thickTop="1" x14ac:dyDescent="0.25">
      <c r="A682" s="124" t="s">
        <v>202</v>
      </c>
      <c r="B682" s="118" t="e">
        <f>2*VLOOKUP(B630,'Gebouwgegevens Allacker'!$A$35:$F$46,6,0)*B679*B680*B681</f>
        <v>#N/A</v>
      </c>
      <c r="C682" s="118" t="s">
        <v>203</v>
      </c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6"/>
    </row>
    <row r="683" spans="1:16" ht="15.75" customHeight="1" x14ac:dyDescent="0.25">
      <c r="A683" s="138"/>
      <c r="B683" s="58"/>
      <c r="C683" s="5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6"/>
    </row>
    <row r="684" spans="1:16" ht="15" customHeight="1" x14ac:dyDescent="0.25">
      <c r="A684" s="146" t="s">
        <v>204</v>
      </c>
      <c r="B684" s="58"/>
      <c r="C684" s="5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6"/>
    </row>
    <row r="685" spans="1:16" ht="15.75" customHeight="1" x14ac:dyDescent="0.25">
      <c r="A685" s="138" t="s">
        <v>180</v>
      </c>
      <c r="B685" s="58" t="e">
        <f>VLOOKUP(B630,'Gebouwgegevens Allacker'!$A$35:$F$46,6,0)</f>
        <v>#N/A</v>
      </c>
      <c r="C685" s="5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6"/>
    </row>
    <row r="686" spans="1:16" ht="16.5" customHeight="1" x14ac:dyDescent="0.25">
      <c r="A686" s="124" t="s">
        <v>205</v>
      </c>
      <c r="B686" s="128">
        <v>50</v>
      </c>
      <c r="C686" s="118" t="s">
        <v>203</v>
      </c>
      <c r="D686" s="147" t="s">
        <v>255</v>
      </c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6"/>
    </row>
    <row r="687" spans="1:16" ht="15.75" customHeight="1" x14ac:dyDescent="0.25">
      <c r="A687" s="138"/>
      <c r="B687" s="58"/>
      <c r="C687" s="5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6"/>
    </row>
    <row r="688" spans="1:16" ht="15.75" customHeight="1" x14ac:dyDescent="0.25">
      <c r="A688" s="138"/>
      <c r="B688" s="58"/>
      <c r="C688" s="5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6"/>
    </row>
    <row r="689" spans="1:16" ht="16.5" customHeight="1" x14ac:dyDescent="0.25">
      <c r="A689" s="124" t="s">
        <v>207</v>
      </c>
      <c r="B689" s="118" t="e">
        <f>MAX(B682,B686)</f>
        <v>#N/A</v>
      </c>
      <c r="C689" s="118" t="s">
        <v>203</v>
      </c>
      <c r="D689" s="98"/>
      <c r="E689" s="98"/>
      <c r="F689" s="118" t="s">
        <v>208</v>
      </c>
      <c r="G689" s="118" t="e">
        <f>B689/VLOOKUP(B630,'Gebouwgegevens Allacker'!$A$35:$B$46,2,0)</f>
        <v>#N/A</v>
      </c>
      <c r="H689" s="98"/>
      <c r="I689" s="98"/>
      <c r="J689" s="98"/>
      <c r="K689" s="98"/>
      <c r="L689" s="98"/>
      <c r="M689" s="98"/>
      <c r="N689" s="98"/>
      <c r="O689" s="98"/>
      <c r="P689" s="96"/>
    </row>
    <row r="690" spans="1:16" ht="16.5" customHeight="1" x14ac:dyDescent="0.25">
      <c r="A690" s="138"/>
      <c r="B690" s="58"/>
      <c r="C690" s="5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6"/>
    </row>
    <row r="691" spans="1:16" ht="16.5" customHeight="1" x14ac:dyDescent="0.25">
      <c r="A691" s="124" t="s">
        <v>209</v>
      </c>
      <c r="B691" s="118" t="e">
        <f>0.34*B689</f>
        <v>#N/A</v>
      </c>
      <c r="C691" s="118" t="s">
        <v>107</v>
      </c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6"/>
    </row>
    <row r="692" spans="1:16" ht="16.5" customHeight="1" x14ac:dyDescent="0.25">
      <c r="A692" s="124" t="s">
        <v>167</v>
      </c>
      <c r="B692" s="118" t="e">
        <f>B691*('Gebouwgegevens Allacker'!E652-$B$4)</f>
        <v>#N/A</v>
      </c>
      <c r="C692" s="118" t="s">
        <v>169</v>
      </c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6"/>
    </row>
    <row r="693" spans="1:16" ht="15.75" customHeight="1" thickBot="1" x14ac:dyDescent="0.3">
      <c r="A693" s="140"/>
      <c r="B693" s="141"/>
      <c r="C693" s="141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1"/>
    </row>
    <row r="694" spans="1:16" ht="15.75" customHeight="1" thickTop="1" x14ac:dyDescent="0.25">
      <c r="A694" s="343" t="s">
        <v>210</v>
      </c>
      <c r="B694" s="343"/>
      <c r="C694" s="343"/>
      <c r="D694" s="343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6"/>
    </row>
    <row r="695" spans="1:16" ht="15" customHeight="1" thickBot="1" x14ac:dyDescent="0.3">
      <c r="A695" s="95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6"/>
    </row>
    <row r="696" spans="1:16" ht="15" customHeight="1" thickTop="1" thickBot="1" x14ac:dyDescent="0.3">
      <c r="A696" s="127" t="s">
        <v>211</v>
      </c>
      <c r="B696" s="121">
        <v>0</v>
      </c>
      <c r="C696" s="58" t="s">
        <v>232</v>
      </c>
      <c r="D696" s="5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6"/>
    </row>
    <row r="697" spans="1:16" ht="15.75" customHeight="1" thickTop="1" x14ac:dyDescent="0.25">
      <c r="A697" s="3" t="s">
        <v>113</v>
      </c>
      <c r="B697" s="58" t="e">
        <f>VLOOKUP(B630,'Gebouwgegevens Allacker'!$A$35:$F$46,6,0)</f>
        <v>#N/A</v>
      </c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6"/>
    </row>
    <row r="698" spans="1:16" ht="16.5" customHeight="1" x14ac:dyDescent="0.25">
      <c r="A698" s="124" t="s">
        <v>213</v>
      </c>
      <c r="B698" s="118" t="e">
        <f>B699/('Gebouwgegevens Allacker'!E652-'Verwarming Tabula 2zone RefULG1'!$B$4)</f>
        <v>#N/A</v>
      </c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6"/>
    </row>
    <row r="699" spans="1:16" ht="16.5" customHeight="1" x14ac:dyDescent="0.25">
      <c r="A699" s="124" t="s">
        <v>167</v>
      </c>
      <c r="B699" s="118" t="e">
        <f>B696*B697</f>
        <v>#N/A</v>
      </c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6"/>
    </row>
    <row r="700" spans="1:16" ht="15.75" customHeight="1" x14ac:dyDescent="0.25">
      <c r="A700" s="95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6"/>
    </row>
    <row r="701" spans="1:16" ht="15.75" customHeight="1" thickBot="1" x14ac:dyDescent="0.3">
      <c r="A701" s="95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6"/>
    </row>
    <row r="702" spans="1:16" ht="15.75" customHeight="1" thickTop="1" thickBot="1" x14ac:dyDescent="0.3">
      <c r="A702" s="129" t="s">
        <v>214</v>
      </c>
      <c r="B702" s="130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1"/>
    </row>
    <row r="703" spans="1:16" ht="16.5" customHeight="1" thickTop="1" x14ac:dyDescent="0.25">
      <c r="A703" s="124" t="s">
        <v>215</v>
      </c>
      <c r="B703" s="118" t="e">
        <f>SUM(B673,B691,B698)</f>
        <v>#N/A</v>
      </c>
      <c r="C703" s="118" t="s">
        <v>107</v>
      </c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3"/>
    </row>
    <row r="704" spans="1:16" ht="16.5" customHeight="1" x14ac:dyDescent="0.25">
      <c r="A704" s="124" t="s">
        <v>167</v>
      </c>
      <c r="B704" s="118" t="e">
        <f>SUM(B674,B692,B699)</f>
        <v>#N/A</v>
      </c>
      <c r="C704" s="118" t="s">
        <v>169</v>
      </c>
      <c r="D704" s="132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  <c r="O704" s="132"/>
      <c r="P704" s="133"/>
    </row>
    <row r="705" spans="1:16" ht="16.5" customHeight="1" thickBot="1" x14ac:dyDescent="0.3">
      <c r="A705" s="134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6"/>
    </row>
    <row r="706" spans="1:16" ht="15" customHeight="1" thickTop="1" x14ac:dyDescent="0.25">
      <c r="A706" s="137"/>
      <c r="B706" s="137"/>
      <c r="C706" s="137"/>
      <c r="D706" s="137"/>
      <c r="E706" s="137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</row>
    <row r="707" spans="1:16" ht="15.75" customHeight="1" thickBot="1" x14ac:dyDescent="0.3">
      <c r="A707" s="137"/>
      <c r="B707" s="137"/>
      <c r="C707" s="137"/>
      <c r="D707" s="137"/>
      <c r="E707" s="137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</row>
    <row r="708" spans="1:16" ht="15" customHeight="1" thickTop="1" thickBot="1" x14ac:dyDescent="0.3">
      <c r="A708" s="93"/>
      <c r="B708" s="328"/>
      <c r="C708" s="328"/>
      <c r="D708" s="328"/>
      <c r="E708" s="328"/>
      <c r="F708" s="328"/>
      <c r="G708" s="328"/>
      <c r="H708" s="328"/>
      <c r="I708" s="328"/>
      <c r="J708" s="328"/>
      <c r="K708" s="328"/>
      <c r="L708" s="328"/>
      <c r="M708" s="328"/>
      <c r="N708" s="328"/>
      <c r="O708" s="328"/>
      <c r="P708" s="94"/>
    </row>
    <row r="709" spans="1:16" ht="17.25" customHeight="1" thickTop="1" thickBot="1" x14ac:dyDescent="0.35">
      <c r="A709" s="97" t="s">
        <v>166</v>
      </c>
      <c r="B709" s="92">
        <v>10</v>
      </c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6"/>
    </row>
    <row r="710" spans="1:16" ht="15.75" customHeight="1" thickTop="1" x14ac:dyDescent="0.25">
      <c r="A710" s="343" t="s">
        <v>168</v>
      </c>
      <c r="B710" s="343"/>
      <c r="C710" s="343"/>
      <c r="D710" s="343"/>
      <c r="E710" s="328"/>
      <c r="F710" s="328"/>
      <c r="G710" s="328"/>
      <c r="H710" s="328"/>
      <c r="I710" s="328"/>
      <c r="J710" s="328"/>
      <c r="K710" s="328"/>
      <c r="L710" s="328"/>
      <c r="M710" s="328"/>
      <c r="N710" s="328"/>
      <c r="O710" s="328"/>
      <c r="P710" s="94"/>
    </row>
    <row r="711" spans="1:16" ht="15" customHeight="1" x14ac:dyDescent="0.25">
      <c r="A711" s="95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6"/>
    </row>
    <row r="712" spans="1:16" ht="15" customHeight="1" x14ac:dyDescent="0.25">
      <c r="A712" s="103" t="s">
        <v>170</v>
      </c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6"/>
    </row>
    <row r="713" spans="1:16" ht="15" customHeight="1" x14ac:dyDescent="0.25">
      <c r="A713" s="95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6"/>
    </row>
    <row r="714" spans="1:16" ht="15.75" customHeight="1" thickBot="1" x14ac:dyDescent="0.3">
      <c r="A714" s="95"/>
      <c r="B714" s="104" t="s">
        <v>10</v>
      </c>
      <c r="C714" s="104" t="s">
        <v>171</v>
      </c>
      <c r="D714" s="104" t="s">
        <v>172</v>
      </c>
      <c r="E714" s="104" t="s">
        <v>173</v>
      </c>
      <c r="F714" s="104" t="s">
        <v>174</v>
      </c>
      <c r="G714" s="104" t="s">
        <v>16</v>
      </c>
      <c r="H714" s="105" t="s">
        <v>17</v>
      </c>
      <c r="I714" s="105" t="s">
        <v>175</v>
      </c>
      <c r="J714" s="98"/>
      <c r="K714" s="98"/>
      <c r="L714" s="98"/>
      <c r="M714" s="98"/>
      <c r="N714" s="98"/>
      <c r="O714" s="98"/>
      <c r="P714" s="96"/>
    </row>
    <row r="715" spans="1:16" ht="16.5" customHeight="1" thickTop="1" thickBot="1" x14ac:dyDescent="0.3">
      <c r="A715" s="95"/>
      <c r="B715" s="106" t="s">
        <v>256</v>
      </c>
      <c r="C715" s="107" t="e">
        <f>VLOOKUP(B715,'Gebouwgegevens Allacker'!$J$5:$Q$83,3,0)</f>
        <v>#N/A</v>
      </c>
      <c r="D715" s="107" t="e">
        <f>VLOOKUP(B715,'Gebouwgegevens Allacker'!$J$5:$Q$83,4,0)</f>
        <v>#N/A</v>
      </c>
      <c r="E715" s="107" t="e">
        <f>VLOOKUP(B715,'Gebouwgegevens Allacker'!$J$5:$Q$83,5,0)</f>
        <v>#N/A</v>
      </c>
      <c r="F715" s="107" t="e">
        <f>VLOOKUP(B715,'Gebouwgegevens Allacker'!$J$5:$Q$83,6,0)</f>
        <v>#N/A</v>
      </c>
      <c r="G715" s="107" t="e">
        <f>VLOOKUP(B715,'Gebouwgegevens Allacker'!$J$5:$Q$83,7,0)</f>
        <v>#N/A</v>
      </c>
      <c r="H715" s="108" t="e">
        <f>VLOOKUP(B715,'Gebouwgegevens Allacker'!$J$5:$Q$83,8,0)</f>
        <v>#N/A</v>
      </c>
      <c r="I715" s="108">
        <v>1</v>
      </c>
      <c r="J715" s="98"/>
      <c r="K715" s="98"/>
      <c r="L715" s="98"/>
      <c r="M715" s="98"/>
      <c r="N715" s="98"/>
      <c r="O715" s="98"/>
      <c r="P715" s="96"/>
    </row>
    <row r="716" spans="1:16" ht="16.5" customHeight="1" thickTop="1" thickBot="1" x14ac:dyDescent="0.3">
      <c r="A716" s="95"/>
      <c r="B716" s="106" t="s">
        <v>257</v>
      </c>
      <c r="C716" s="107" t="e">
        <f>VLOOKUP(B716,'Gebouwgegevens Allacker'!$J$5:$Q$83,3,0)</f>
        <v>#N/A</v>
      </c>
      <c r="D716" s="107" t="e">
        <f>VLOOKUP(B716,'Gebouwgegevens Allacker'!$J$5:$Q$83,4,0)</f>
        <v>#N/A</v>
      </c>
      <c r="E716" s="107" t="e">
        <f>VLOOKUP(B716,'Gebouwgegevens Allacker'!$J$5:$Q$83,5,0)</f>
        <v>#N/A</v>
      </c>
      <c r="F716" s="107" t="e">
        <f>VLOOKUP(B716,'Gebouwgegevens Allacker'!$J$5:$Q$83,6,0)</f>
        <v>#N/A</v>
      </c>
      <c r="G716" s="107" t="e">
        <f>VLOOKUP(B716,'Gebouwgegevens Allacker'!$J$5:$Q$83,7,0)</f>
        <v>#N/A</v>
      </c>
      <c r="H716" s="108" t="e">
        <f>VLOOKUP(B716,'Gebouwgegevens Allacker'!$J$5:$Q$83,8,0)</f>
        <v>#N/A</v>
      </c>
      <c r="I716" s="108">
        <v>1</v>
      </c>
      <c r="J716" s="98"/>
      <c r="K716" s="98"/>
      <c r="L716" s="98"/>
      <c r="M716" s="98"/>
      <c r="N716" s="98"/>
      <c r="O716" s="98"/>
      <c r="P716" s="96"/>
    </row>
    <row r="717" spans="1:16" ht="16.5" customHeight="1" thickTop="1" thickBot="1" x14ac:dyDescent="0.3">
      <c r="A717" s="95"/>
      <c r="B717" s="106" t="s">
        <v>258</v>
      </c>
      <c r="C717" s="107" t="e">
        <f>VLOOKUP(B717,'Gebouwgegevens Allacker'!$J$5:$Q$83,3,0)</f>
        <v>#N/A</v>
      </c>
      <c r="D717" s="107" t="e">
        <f>VLOOKUP(B717,'Gebouwgegevens Allacker'!$J$5:$Q$83,4,0)</f>
        <v>#N/A</v>
      </c>
      <c r="E717" s="107" t="e">
        <f>VLOOKUP(B717,'Gebouwgegevens Allacker'!$J$5:$Q$83,5,0)</f>
        <v>#N/A</v>
      </c>
      <c r="F717" s="107" t="e">
        <f>VLOOKUP(B717,'Gebouwgegevens Allacker'!$J$5:$Q$83,6,0)</f>
        <v>#N/A</v>
      </c>
      <c r="G717" s="107" t="e">
        <f>VLOOKUP(B717,'Gebouwgegevens Allacker'!$J$5:$Q$83,7,0)</f>
        <v>#N/A</v>
      </c>
      <c r="H717" s="108" t="e">
        <f>VLOOKUP(B717,'Gebouwgegevens Allacker'!$J$5:$Q$83,8,0)</f>
        <v>#N/A</v>
      </c>
      <c r="I717" s="108">
        <v>1</v>
      </c>
      <c r="J717" s="98"/>
      <c r="K717" s="98"/>
      <c r="L717" s="98"/>
      <c r="M717" s="98"/>
      <c r="N717" s="98"/>
      <c r="O717" s="98"/>
      <c r="P717" s="96"/>
    </row>
    <row r="718" spans="1:16" ht="16.5" customHeight="1" thickTop="1" thickBot="1" x14ac:dyDescent="0.3">
      <c r="A718" s="95"/>
      <c r="B718" s="106"/>
      <c r="C718" s="107"/>
      <c r="D718" s="107"/>
      <c r="E718" s="107"/>
      <c r="F718" s="107"/>
      <c r="G718" s="107"/>
      <c r="H718" s="108"/>
      <c r="I718" s="108"/>
      <c r="J718" s="98"/>
      <c r="K718" s="98"/>
      <c r="L718" s="98"/>
      <c r="M718" s="98"/>
      <c r="N718" s="98"/>
      <c r="O718" s="98"/>
      <c r="P718" s="96"/>
    </row>
    <row r="719" spans="1:16" ht="16.5" customHeight="1" thickTop="1" thickBot="1" x14ac:dyDescent="0.3">
      <c r="A719" s="95"/>
      <c r="B719" s="106"/>
      <c r="C719" s="107"/>
      <c r="D719" s="107"/>
      <c r="E719" s="107"/>
      <c r="F719" s="107"/>
      <c r="G719" s="107"/>
      <c r="H719" s="108"/>
      <c r="I719" s="108"/>
      <c r="J719" s="98"/>
      <c r="K719" s="98"/>
      <c r="L719" s="98"/>
      <c r="M719" s="98"/>
      <c r="N719" s="98"/>
      <c r="O719" s="98"/>
      <c r="P719" s="96"/>
    </row>
    <row r="720" spans="1:16" ht="16.5" customHeight="1" thickTop="1" thickBot="1" x14ac:dyDescent="0.3">
      <c r="A720" s="95"/>
      <c r="B720" s="106"/>
      <c r="C720" s="107"/>
      <c r="D720" s="107"/>
      <c r="E720" s="107"/>
      <c r="F720" s="107"/>
      <c r="G720" s="107"/>
      <c r="H720" s="108"/>
      <c r="I720" s="108"/>
      <c r="J720" s="98"/>
      <c r="K720" s="98"/>
      <c r="L720" s="98"/>
      <c r="M720" s="98"/>
      <c r="N720" s="98"/>
      <c r="O720" s="98"/>
      <c r="P720" s="96"/>
    </row>
    <row r="721" spans="1:16" ht="16.5" customHeight="1" thickTop="1" thickBot="1" x14ac:dyDescent="0.3">
      <c r="A721" s="95"/>
      <c r="B721" s="106"/>
      <c r="C721" s="107"/>
      <c r="D721" s="107"/>
      <c r="E721" s="107"/>
      <c r="F721" s="107"/>
      <c r="G721" s="107"/>
      <c r="H721" s="108"/>
      <c r="I721" s="108"/>
      <c r="J721" s="98"/>
      <c r="K721" s="98"/>
      <c r="L721" s="98"/>
      <c r="M721" s="98"/>
      <c r="N721" s="98"/>
      <c r="O721" s="98"/>
      <c r="P721" s="96"/>
    </row>
    <row r="722" spans="1:16" ht="16.5" customHeight="1" thickTop="1" thickBot="1" x14ac:dyDescent="0.3">
      <c r="A722" s="95"/>
      <c r="B722" s="106"/>
      <c r="C722" s="107"/>
      <c r="D722" s="107"/>
      <c r="E722" s="107"/>
      <c r="F722" s="107"/>
      <c r="G722" s="107"/>
      <c r="H722" s="108"/>
      <c r="I722" s="108"/>
      <c r="J722" s="98"/>
      <c r="K722" s="98"/>
      <c r="L722" s="98"/>
      <c r="M722" s="98"/>
      <c r="N722" s="98"/>
      <c r="O722" s="98"/>
      <c r="P722" s="96"/>
    </row>
    <row r="723" spans="1:16" ht="16.5" customHeight="1" thickTop="1" thickBot="1" x14ac:dyDescent="0.3">
      <c r="A723" s="95"/>
      <c r="B723" s="106"/>
      <c r="C723" s="107"/>
      <c r="D723" s="107"/>
      <c r="E723" s="107"/>
      <c r="F723" s="107"/>
      <c r="G723" s="107"/>
      <c r="H723" s="108"/>
      <c r="I723" s="108"/>
      <c r="J723" s="98"/>
      <c r="K723" s="98"/>
      <c r="L723" s="98"/>
      <c r="M723" s="98"/>
      <c r="N723" s="98"/>
      <c r="O723" s="98"/>
      <c r="P723" s="96"/>
    </row>
    <row r="724" spans="1:16" ht="16.5" customHeight="1" thickTop="1" thickBot="1" x14ac:dyDescent="0.3">
      <c r="A724" s="95"/>
      <c r="B724" s="106"/>
      <c r="C724" s="107"/>
      <c r="D724" s="107"/>
      <c r="E724" s="107"/>
      <c r="F724" s="107"/>
      <c r="G724" s="107"/>
      <c r="H724" s="108"/>
      <c r="I724" s="108"/>
      <c r="J724" s="98"/>
      <c r="K724" s="98"/>
      <c r="L724" s="98"/>
      <c r="M724" s="98"/>
      <c r="N724" s="98"/>
      <c r="O724" s="98"/>
      <c r="P724" s="96"/>
    </row>
    <row r="725" spans="1:16" ht="16.5" customHeight="1" thickTop="1" thickBot="1" x14ac:dyDescent="0.3">
      <c r="A725" s="95"/>
      <c r="B725" s="106"/>
      <c r="C725" s="107"/>
      <c r="D725" s="107"/>
      <c r="E725" s="107"/>
      <c r="F725" s="107"/>
      <c r="G725" s="107"/>
      <c r="H725" s="108"/>
      <c r="I725" s="108"/>
      <c r="J725" s="98"/>
      <c r="K725" s="98"/>
      <c r="L725" s="98"/>
      <c r="M725" s="98"/>
      <c r="N725" s="98"/>
      <c r="O725" s="98"/>
      <c r="P725" s="96"/>
    </row>
    <row r="726" spans="1:16" ht="16.5" customHeight="1" thickTop="1" thickBot="1" x14ac:dyDescent="0.3">
      <c r="A726" s="95"/>
      <c r="B726" s="106"/>
      <c r="C726" s="107"/>
      <c r="D726" s="107"/>
      <c r="E726" s="107"/>
      <c r="F726" s="107"/>
      <c r="G726" s="107"/>
      <c r="H726" s="108"/>
      <c r="I726" s="108"/>
      <c r="J726" s="98"/>
      <c r="K726" s="98"/>
      <c r="L726" s="98"/>
      <c r="M726" s="98"/>
      <c r="N726" s="98"/>
      <c r="O726" s="98"/>
      <c r="P726" s="96"/>
    </row>
    <row r="727" spans="1:16" ht="15.75" customHeight="1" thickTop="1" x14ac:dyDescent="0.25">
      <c r="A727" s="95"/>
      <c r="B727" s="58"/>
      <c r="C727" s="58"/>
      <c r="D727" s="58"/>
      <c r="E727" s="58"/>
      <c r="F727" s="58"/>
      <c r="G727" s="114"/>
      <c r="H727" s="58"/>
      <c r="I727" s="58"/>
      <c r="J727" s="98"/>
      <c r="K727" s="98"/>
      <c r="L727" s="98"/>
      <c r="M727" s="98"/>
      <c r="N727" s="98"/>
      <c r="O727" s="98"/>
      <c r="P727" s="96"/>
    </row>
    <row r="728" spans="1:16" ht="15" customHeight="1" x14ac:dyDescent="0.25">
      <c r="A728" s="95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6"/>
    </row>
    <row r="729" spans="1:16" ht="15" customHeight="1" x14ac:dyDescent="0.25">
      <c r="A729" s="103" t="s">
        <v>177</v>
      </c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6"/>
    </row>
    <row r="730" spans="1:16" ht="15.75" customHeight="1" x14ac:dyDescent="0.25">
      <c r="A730" s="95"/>
      <c r="B730" s="58" t="s">
        <v>10</v>
      </c>
      <c r="C730" s="58" t="s">
        <v>178</v>
      </c>
      <c r="D730" s="58" t="s">
        <v>172</v>
      </c>
      <c r="E730" s="58" t="s">
        <v>179</v>
      </c>
      <c r="F730" s="58" t="s">
        <v>16</v>
      </c>
      <c r="G730" s="114" t="s">
        <v>17</v>
      </c>
      <c r="H730" s="114" t="s">
        <v>175</v>
      </c>
      <c r="I730" s="58" t="s">
        <v>180</v>
      </c>
      <c r="J730" s="58" t="s">
        <v>181</v>
      </c>
      <c r="K730" s="58" t="s">
        <v>182</v>
      </c>
      <c r="L730" s="115" t="s">
        <v>183</v>
      </c>
      <c r="M730" s="115" t="s">
        <v>184</v>
      </c>
      <c r="N730" s="115" t="s">
        <v>185</v>
      </c>
      <c r="O730" s="98"/>
      <c r="P730" s="96"/>
    </row>
    <row r="731" spans="1:16" ht="16.5" customHeight="1" thickBot="1" x14ac:dyDescent="0.3">
      <c r="A731" s="95"/>
      <c r="B731" s="116" t="s">
        <v>259</v>
      </c>
      <c r="C731" s="117" t="e">
        <f>VLOOKUP(B731,'Gebouwgegevens Allacker'!$J$5:$Q$83,3,0)</f>
        <v>#N/A</v>
      </c>
      <c r="D731" s="117" t="e">
        <f>VLOOKUP(B731,'Gebouwgegevens Allacker'!$J$5:$Q$83,4,0)</f>
        <v>#N/A</v>
      </c>
      <c r="E731" s="117" t="e">
        <f>VLOOKUP(B731,'Gebouwgegevens Allacker'!$J$5:$Q$83,5,0)</f>
        <v>#N/A</v>
      </c>
      <c r="F731" s="117" t="e">
        <f>VLOOKUP(B731,'Gebouwgegevens Allacker'!$J$5:$Q$83,7,0)</f>
        <v>#N/A</v>
      </c>
      <c r="G731" s="118" t="e">
        <f>VLOOKUP(B731,'Gebouwgegevens Allacker'!$J$5:$Q$83,8,0)</f>
        <v>#N/A</v>
      </c>
      <c r="H731" s="118" t="e">
        <f>N731/F731</f>
        <v>#N/A</v>
      </c>
      <c r="I731" s="117" t="e">
        <f>VLOOKUP(C731,'Gebouwgegevens Allacker'!$A$35:$F$46,6,0)</f>
        <v>#N/A</v>
      </c>
      <c r="J731" s="116">
        <v>4.68</v>
      </c>
      <c r="K731" s="116">
        <v>0.33</v>
      </c>
      <c r="L731" s="119" t="e">
        <f>I731/(0.5*J731)</f>
        <v>#N/A</v>
      </c>
      <c r="M731" s="119" t="e">
        <f>K731+2*(1/F731)</f>
        <v>#N/A</v>
      </c>
      <c r="N731" s="120" t="e">
        <f>IF(M731&lt;L731,2*2/(PI()*L731+M731)*LN(PI()*L731/M731+1),2/(0.457*L731+M731))</f>
        <v>#N/A</v>
      </c>
      <c r="O731" s="98"/>
      <c r="P731" s="96"/>
    </row>
    <row r="732" spans="1:16" ht="16.5" customHeight="1" thickTop="1" thickBot="1" x14ac:dyDescent="0.3">
      <c r="A732" s="95"/>
      <c r="B732" s="116"/>
      <c r="C732" s="117"/>
      <c r="D732" s="117"/>
      <c r="E732" s="117"/>
      <c r="F732" s="117"/>
      <c r="G732" s="118"/>
      <c r="H732" s="118"/>
      <c r="I732" s="117"/>
      <c r="J732" s="116"/>
      <c r="K732" s="116"/>
      <c r="L732" s="119"/>
      <c r="M732" s="119"/>
      <c r="N732" s="120"/>
      <c r="O732" s="98"/>
      <c r="P732" s="96"/>
    </row>
    <row r="733" spans="1:16" ht="16.5" customHeight="1" thickTop="1" thickBot="1" x14ac:dyDescent="0.3">
      <c r="A733" s="95"/>
      <c r="B733" s="116"/>
      <c r="C733" s="117"/>
      <c r="D733" s="117"/>
      <c r="E733" s="117"/>
      <c r="F733" s="117"/>
      <c r="G733" s="118"/>
      <c r="H733" s="118"/>
      <c r="I733" s="117"/>
      <c r="J733" s="116"/>
      <c r="K733" s="116"/>
      <c r="L733" s="119"/>
      <c r="M733" s="119"/>
      <c r="N733" s="120"/>
      <c r="O733" s="98"/>
      <c r="P733" s="96"/>
    </row>
    <row r="734" spans="1:16" ht="16.5" customHeight="1" thickTop="1" thickBot="1" x14ac:dyDescent="0.3">
      <c r="A734" s="95"/>
      <c r="B734" s="116"/>
      <c r="C734" s="117"/>
      <c r="D734" s="117"/>
      <c r="E734" s="117"/>
      <c r="F734" s="117"/>
      <c r="G734" s="118"/>
      <c r="H734" s="118"/>
      <c r="I734" s="117"/>
      <c r="J734" s="116"/>
      <c r="K734" s="116"/>
      <c r="L734" s="119"/>
      <c r="M734" s="119"/>
      <c r="N734" s="120"/>
      <c r="O734" s="98"/>
      <c r="P734" s="96"/>
    </row>
    <row r="735" spans="1:16" ht="16.5" customHeight="1" thickTop="1" thickBot="1" x14ac:dyDescent="0.3">
      <c r="A735" s="138"/>
      <c r="B735" s="116"/>
      <c r="C735" s="117"/>
      <c r="D735" s="117"/>
      <c r="E735" s="117"/>
      <c r="F735" s="117"/>
      <c r="G735" s="118"/>
      <c r="H735" s="118"/>
      <c r="I735" s="117"/>
      <c r="J735" s="116"/>
      <c r="K735" s="116"/>
      <c r="L735" s="119"/>
      <c r="M735" s="119"/>
      <c r="N735" s="120"/>
      <c r="O735" s="98"/>
      <c r="P735" s="96"/>
    </row>
    <row r="736" spans="1:16" ht="15.75" customHeight="1" thickTop="1" x14ac:dyDescent="0.25">
      <c r="A736" s="95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6"/>
    </row>
    <row r="737" spans="1:16" ht="15" customHeight="1" x14ac:dyDescent="0.25">
      <c r="A737" s="103" t="s">
        <v>186</v>
      </c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6"/>
    </row>
    <row r="738" spans="1:16" ht="15.75" customHeight="1" thickBot="1" x14ac:dyDescent="0.3">
      <c r="A738" s="95"/>
      <c r="B738" s="58" t="s">
        <v>10</v>
      </c>
      <c r="C738" s="58" t="s">
        <v>187</v>
      </c>
      <c r="D738" s="58" t="s">
        <v>188</v>
      </c>
      <c r="E738" s="58" t="s">
        <v>135</v>
      </c>
      <c r="F738" s="58" t="s">
        <v>189</v>
      </c>
      <c r="G738" s="58" t="s">
        <v>190</v>
      </c>
      <c r="H738" s="58" t="s">
        <v>191</v>
      </c>
      <c r="I738" s="58" t="s">
        <v>16</v>
      </c>
      <c r="J738" s="114" t="s">
        <v>17</v>
      </c>
      <c r="K738" s="114" t="s">
        <v>175</v>
      </c>
      <c r="L738" s="98"/>
      <c r="M738" s="98"/>
      <c r="N738" s="98"/>
      <c r="O738" s="98"/>
      <c r="P738" s="96"/>
    </row>
    <row r="739" spans="1:16" ht="16.5" customHeight="1" thickTop="1" thickBot="1" x14ac:dyDescent="0.3">
      <c r="A739" s="95"/>
      <c r="B739" s="116" t="s">
        <v>260</v>
      </c>
      <c r="C739" s="122" t="e">
        <f>IF(VLOOKUP(B739,'Gebouwgegevens Allacker'!$J$5:$Q$83,2,0)=$B$709,VLOOKUP(B739,'Gebouwgegevens Allacker'!$J$5:$Q$83,2,0),VLOOKUP(B739,'Gebouwgegevens Allacker'!$J$5:$Q$83,3,0))</f>
        <v>#N/A</v>
      </c>
      <c r="D739" s="122" t="e">
        <f>IF(VLOOKUP(B739,'Gebouwgegevens Allacker'!$J$5:$Q$83,2,0)=$B$709,VLOOKUP(B739,'Gebouwgegevens Allacker'!$J$5:$Q$83,3,0),VLOOKUP(B739,'Gebouwgegevens Allacker'!$J$5:$Q$83,2,0))</f>
        <v>#N/A</v>
      </c>
      <c r="E739" s="122" t="e">
        <f>VLOOKUP(B739,'Gebouwgegevens Allacker'!$J$5:$Q$83,4,0)</f>
        <v>#N/A</v>
      </c>
      <c r="F739" s="122" t="e">
        <f>VLOOKUP(B739,'Gebouwgegevens Allacker'!$J$5:$Q$83,5,0)</f>
        <v>#N/A</v>
      </c>
      <c r="G739" s="122" t="e">
        <f>VLOOKUP('Verwarming Tabula 2zone RefULG1'!C739,'Gebouwgegevens Allacker'!$A$35:$F$46,5,0)</f>
        <v>#N/A</v>
      </c>
      <c r="H739" s="122" t="e">
        <f>VLOOKUP('Verwarming Tabula 2zone RefULG1'!D739,'Gebouwgegevens Allacker'!$A$35:$F$46,5,0)</f>
        <v>#N/A</v>
      </c>
      <c r="I739" s="122" t="e">
        <f>VLOOKUP(B739,'Gebouwgegevens Allacker'!$J$5:$Q$83,7,0)</f>
        <v>#N/A</v>
      </c>
      <c r="J739" s="118" t="e">
        <f>VLOOKUP(B739,'Gebouwgegevens Allacker'!$J$5:$Q$83,8,0)</f>
        <v>#N/A</v>
      </c>
      <c r="K739" s="118" t="e">
        <f t="shared" ref="K739:K750" si="0">(G739-H739)/(G739-$B$4)</f>
        <v>#N/A</v>
      </c>
      <c r="L739" s="98"/>
      <c r="M739" s="98"/>
      <c r="N739" s="98"/>
      <c r="O739" s="98"/>
      <c r="P739" s="96"/>
    </row>
    <row r="740" spans="1:16" ht="16.5" customHeight="1" thickTop="1" thickBot="1" x14ac:dyDescent="0.3">
      <c r="A740" s="95"/>
      <c r="B740" s="116" t="s">
        <v>220</v>
      </c>
      <c r="C740" s="122" t="e">
        <f>IF(VLOOKUP(B740,'Gebouwgegevens Allacker'!$J$5:$Q$83,2,0)=$B$709,VLOOKUP(B740,'Gebouwgegevens Allacker'!$J$5:$Q$83,2,0),VLOOKUP(B740,'Gebouwgegevens Allacker'!$J$5:$Q$83,3,0))</f>
        <v>#N/A</v>
      </c>
      <c r="D740" s="122" t="e">
        <f>IF(VLOOKUP(B740,'Gebouwgegevens Allacker'!$J$5:$Q$83,2,0)=$B$709,VLOOKUP(B740,'Gebouwgegevens Allacker'!$J$5:$Q$83,3,0),VLOOKUP(B740,'Gebouwgegevens Allacker'!$J$5:$Q$83,2,0))</f>
        <v>#N/A</v>
      </c>
      <c r="E740" s="122" t="e">
        <f>VLOOKUP(B740,'Gebouwgegevens Allacker'!$J$5:$Q$83,4,0)</f>
        <v>#N/A</v>
      </c>
      <c r="F740" s="122" t="e">
        <f>VLOOKUP(B740,'Gebouwgegevens Allacker'!$J$5:$Q$83,5,0)</f>
        <v>#N/A</v>
      </c>
      <c r="G740" s="122" t="e">
        <f>VLOOKUP('Verwarming Tabula 2zone RefULG1'!C740,'Gebouwgegevens Allacker'!$A$35:$F$46,5,0)</f>
        <v>#N/A</v>
      </c>
      <c r="H740" s="122" t="e">
        <f>VLOOKUP('Verwarming Tabula 2zone RefULG1'!D740,'Gebouwgegevens Allacker'!$A$35:$F$46,5,0)</f>
        <v>#N/A</v>
      </c>
      <c r="I740" s="122" t="e">
        <f>VLOOKUP(B740,'Gebouwgegevens Allacker'!$J$5:$Q$83,7,0)</f>
        <v>#N/A</v>
      </c>
      <c r="J740" s="118" t="e">
        <f>VLOOKUP(B740,'Gebouwgegevens Allacker'!$J$5:$Q$83,8,0)</f>
        <v>#N/A</v>
      </c>
      <c r="K740" s="118" t="e">
        <f t="shared" si="0"/>
        <v>#N/A</v>
      </c>
      <c r="L740" s="98"/>
      <c r="M740" s="98"/>
      <c r="N740" s="98"/>
      <c r="O740" s="98"/>
      <c r="P740" s="96"/>
    </row>
    <row r="741" spans="1:16" ht="16.5" customHeight="1" thickTop="1" thickBot="1" x14ac:dyDescent="0.3">
      <c r="A741" s="95"/>
      <c r="B741" s="116" t="s">
        <v>225</v>
      </c>
      <c r="C741" s="122" t="e">
        <f>IF(VLOOKUP(B741,'Gebouwgegevens Allacker'!$J$5:$Q$83,2,0)=$B$709,VLOOKUP(B741,'Gebouwgegevens Allacker'!$J$5:$Q$83,2,0),VLOOKUP(B741,'Gebouwgegevens Allacker'!$J$5:$Q$83,3,0))</f>
        <v>#N/A</v>
      </c>
      <c r="D741" s="122" t="e">
        <f>IF(VLOOKUP(B741,'Gebouwgegevens Allacker'!$J$5:$Q$83,2,0)=$B$709,VLOOKUP(B741,'Gebouwgegevens Allacker'!$J$5:$Q$83,3,0),VLOOKUP(B741,'Gebouwgegevens Allacker'!$J$5:$Q$83,2,0))</f>
        <v>#N/A</v>
      </c>
      <c r="E741" s="122" t="e">
        <f>VLOOKUP(B741,'Gebouwgegevens Allacker'!$J$5:$Q$83,4,0)</f>
        <v>#N/A</v>
      </c>
      <c r="F741" s="122" t="e">
        <f>VLOOKUP(B741,'Gebouwgegevens Allacker'!$J$5:$Q$83,5,0)</f>
        <v>#N/A</v>
      </c>
      <c r="G741" s="122" t="e">
        <f>VLOOKUP('Verwarming Tabula 2zone RefULG1'!C741,'Gebouwgegevens Allacker'!$A$35:$F$46,5,0)</f>
        <v>#N/A</v>
      </c>
      <c r="H741" s="122" t="e">
        <f>VLOOKUP('Verwarming Tabula 2zone RefULG1'!D741,'Gebouwgegevens Allacker'!$A$35:$F$46,5,0)</f>
        <v>#N/A</v>
      </c>
      <c r="I741" s="122" t="e">
        <f>VLOOKUP(B741,'Gebouwgegevens Allacker'!$J$5:$Q$83,7,0)</f>
        <v>#N/A</v>
      </c>
      <c r="J741" s="118" t="e">
        <f>VLOOKUP(B741,'Gebouwgegevens Allacker'!$J$5:$Q$83,8,0)</f>
        <v>#N/A</v>
      </c>
      <c r="K741" s="118" t="e">
        <f t="shared" si="0"/>
        <v>#N/A</v>
      </c>
      <c r="L741" s="98"/>
      <c r="M741" s="98"/>
      <c r="N741" s="98"/>
      <c r="O741" s="98"/>
      <c r="P741" s="96"/>
    </row>
    <row r="742" spans="1:16" ht="16.5" customHeight="1" thickTop="1" thickBot="1" x14ac:dyDescent="0.3">
      <c r="A742" s="95"/>
      <c r="B742" s="116" t="s">
        <v>229</v>
      </c>
      <c r="C742" s="122" t="e">
        <f>IF(VLOOKUP(B742,'Gebouwgegevens Allacker'!$J$5:$Q$83,2,0)=$B$709,VLOOKUP(B742,'Gebouwgegevens Allacker'!$J$5:$Q$83,2,0),VLOOKUP(B742,'Gebouwgegevens Allacker'!$J$5:$Q$83,3,0))</f>
        <v>#N/A</v>
      </c>
      <c r="D742" s="122" t="e">
        <f>IF(VLOOKUP(B742,'Gebouwgegevens Allacker'!$J$5:$Q$83,2,0)=$B$709,VLOOKUP(B742,'Gebouwgegevens Allacker'!$J$5:$Q$83,3,0),VLOOKUP(B742,'Gebouwgegevens Allacker'!$J$5:$Q$83,2,0))</f>
        <v>#N/A</v>
      </c>
      <c r="E742" s="122" t="e">
        <f>VLOOKUP(B742,'Gebouwgegevens Allacker'!$J$5:$Q$83,4,0)</f>
        <v>#N/A</v>
      </c>
      <c r="F742" s="122" t="e">
        <f>VLOOKUP(B742,'Gebouwgegevens Allacker'!$J$5:$Q$83,5,0)</f>
        <v>#N/A</v>
      </c>
      <c r="G742" s="122" t="e">
        <f>VLOOKUP('Verwarming Tabula 2zone RefULG1'!C742,'Gebouwgegevens Allacker'!$A$35:$F$46,5,0)</f>
        <v>#N/A</v>
      </c>
      <c r="H742" s="122" t="e">
        <f>VLOOKUP('Verwarming Tabula 2zone RefULG1'!D742,'Gebouwgegevens Allacker'!$A$35:$F$46,5,0)</f>
        <v>#N/A</v>
      </c>
      <c r="I742" s="122" t="e">
        <f>VLOOKUP(B742,'Gebouwgegevens Allacker'!$J$5:$Q$83,7,0)</f>
        <v>#N/A</v>
      </c>
      <c r="J742" s="118" t="e">
        <f>VLOOKUP(B742,'Gebouwgegevens Allacker'!$J$5:$Q$83,8,0)</f>
        <v>#N/A</v>
      </c>
      <c r="K742" s="118" t="e">
        <f t="shared" si="0"/>
        <v>#N/A</v>
      </c>
      <c r="L742" s="98"/>
      <c r="M742" s="98"/>
      <c r="N742" s="98"/>
      <c r="O742" s="98"/>
      <c r="P742" s="96"/>
    </row>
    <row r="743" spans="1:16" ht="16.5" customHeight="1" thickTop="1" thickBot="1" x14ac:dyDescent="0.3">
      <c r="A743" s="95"/>
      <c r="B743" s="145" t="s">
        <v>234</v>
      </c>
      <c r="C743" s="122" t="e">
        <f>IF(VLOOKUP(B743,'Gebouwgegevens Allacker'!$J$5:$Q$83,2,0)=$B$709,VLOOKUP(B743,'Gebouwgegevens Allacker'!$J$5:$Q$83,2,0),VLOOKUP(B743,'Gebouwgegevens Allacker'!$J$5:$Q$83,3,0))</f>
        <v>#N/A</v>
      </c>
      <c r="D743" s="122" t="e">
        <f>IF(VLOOKUP(B743,'Gebouwgegevens Allacker'!$J$5:$Q$83,2,0)=$B$709,VLOOKUP(B743,'Gebouwgegevens Allacker'!$J$5:$Q$83,3,0),VLOOKUP(B743,'Gebouwgegevens Allacker'!$J$5:$Q$83,2,0))</f>
        <v>#N/A</v>
      </c>
      <c r="E743" s="122" t="e">
        <f>VLOOKUP(B743,'Gebouwgegevens Allacker'!$J$5:$Q$83,4,0)</f>
        <v>#N/A</v>
      </c>
      <c r="F743" s="122" t="e">
        <f>VLOOKUP(B743,'Gebouwgegevens Allacker'!$J$5:$Q$83,5,0)</f>
        <v>#N/A</v>
      </c>
      <c r="G743" s="122" t="e">
        <f>VLOOKUP('Verwarming Tabula 2zone RefULG1'!C743,'Gebouwgegevens Allacker'!$A$35:$F$46,5,0)</f>
        <v>#N/A</v>
      </c>
      <c r="H743" s="122" t="e">
        <f>VLOOKUP('Verwarming Tabula 2zone RefULG1'!D743,'Gebouwgegevens Allacker'!$A$35:$F$46,5,0)</f>
        <v>#N/A</v>
      </c>
      <c r="I743" s="122" t="e">
        <f>VLOOKUP(B743,'Gebouwgegevens Allacker'!$J$5:$Q$83,7,0)</f>
        <v>#N/A</v>
      </c>
      <c r="J743" s="118" t="e">
        <f>VLOOKUP(B743,'Gebouwgegevens Allacker'!$J$5:$Q$83,8,0)</f>
        <v>#N/A</v>
      </c>
      <c r="K743" s="118" t="e">
        <f t="shared" si="0"/>
        <v>#N/A</v>
      </c>
      <c r="L743" s="98"/>
      <c r="M743" s="98"/>
      <c r="N743" s="98"/>
      <c r="O743" s="98"/>
      <c r="P743" s="96"/>
    </row>
    <row r="744" spans="1:16" ht="16.5" customHeight="1" thickTop="1" thickBot="1" x14ac:dyDescent="0.3">
      <c r="A744" s="95"/>
      <c r="B744" s="123" t="s">
        <v>238</v>
      </c>
      <c r="C744" s="122" t="e">
        <f>IF(VLOOKUP(B744,'Gebouwgegevens Allacker'!$J$5:$Q$83,2,0)=$B$709,VLOOKUP(B744,'Gebouwgegevens Allacker'!$J$5:$Q$83,2,0),VLOOKUP(B744,'Gebouwgegevens Allacker'!$J$5:$Q$83,3,0))</f>
        <v>#N/A</v>
      </c>
      <c r="D744" s="122" t="e">
        <f>IF(VLOOKUP(B744,'Gebouwgegevens Allacker'!$J$5:$Q$83,2,0)=$B$709,VLOOKUP(B744,'Gebouwgegevens Allacker'!$J$5:$Q$83,3,0),VLOOKUP(B744,'Gebouwgegevens Allacker'!$J$5:$Q$83,2,0))</f>
        <v>#N/A</v>
      </c>
      <c r="E744" s="122" t="e">
        <f>VLOOKUP(B744,'Gebouwgegevens Allacker'!$J$5:$Q$83,4,0)</f>
        <v>#N/A</v>
      </c>
      <c r="F744" s="122" t="e">
        <f>VLOOKUP(B744,'Gebouwgegevens Allacker'!$J$5:$Q$83,5,0)</f>
        <v>#N/A</v>
      </c>
      <c r="G744" s="122" t="e">
        <f>VLOOKUP('Verwarming Tabula 2zone RefULG1'!C744,'Gebouwgegevens Allacker'!$A$35:$F$46,5,0)</f>
        <v>#N/A</v>
      </c>
      <c r="H744" s="122" t="e">
        <f>VLOOKUP('Verwarming Tabula 2zone RefULG1'!D744,'Gebouwgegevens Allacker'!$A$35:$F$46,5,0)</f>
        <v>#N/A</v>
      </c>
      <c r="I744" s="122" t="e">
        <f>VLOOKUP(B744,'Gebouwgegevens Allacker'!$J$5:$Q$83,7,0)</f>
        <v>#N/A</v>
      </c>
      <c r="J744" s="118" t="e">
        <f>VLOOKUP(B744,'Gebouwgegevens Allacker'!$J$5:$Q$83,8,0)</f>
        <v>#N/A</v>
      </c>
      <c r="K744" s="118" t="e">
        <f t="shared" si="0"/>
        <v>#N/A</v>
      </c>
      <c r="L744" s="98"/>
      <c r="M744" s="98"/>
      <c r="N744" s="98"/>
      <c r="O744" s="98"/>
      <c r="P744" s="96"/>
    </row>
    <row r="745" spans="1:16" ht="16.5" customHeight="1" thickTop="1" thickBot="1" x14ac:dyDescent="0.3">
      <c r="A745" s="95"/>
      <c r="B745" s="123" t="s">
        <v>261</v>
      </c>
      <c r="C745" s="122" t="e">
        <f>IF(VLOOKUP(B745,'Gebouwgegevens Allacker'!$J$5:$Q$83,2,0)=$B$709,VLOOKUP(B745,'Gebouwgegevens Allacker'!$J$5:$Q$83,2,0),VLOOKUP(B745,'Gebouwgegevens Allacker'!$J$5:$Q$83,3,0))</f>
        <v>#N/A</v>
      </c>
      <c r="D745" s="122" t="e">
        <f>IF(VLOOKUP(B745,'Gebouwgegevens Allacker'!$J$5:$Q$83,2,0)=$B$709,VLOOKUP(B745,'Gebouwgegevens Allacker'!$J$5:$Q$83,3,0),VLOOKUP(B745,'Gebouwgegevens Allacker'!$J$5:$Q$83,2,0))</f>
        <v>#N/A</v>
      </c>
      <c r="E745" s="122" t="e">
        <f>VLOOKUP(B745,'Gebouwgegevens Allacker'!$J$5:$Q$83,4,0)</f>
        <v>#N/A</v>
      </c>
      <c r="F745" s="122" t="e">
        <f>VLOOKUP(B745,'Gebouwgegevens Allacker'!$J$5:$Q$83,5,0)</f>
        <v>#N/A</v>
      </c>
      <c r="G745" s="122" t="e">
        <f>VLOOKUP('Verwarming Tabula 2zone RefULG1'!C745,'Gebouwgegevens Allacker'!$A$35:$F$46,5,0)</f>
        <v>#N/A</v>
      </c>
      <c r="H745" s="122" t="e">
        <f>VLOOKUP('Verwarming Tabula 2zone RefULG1'!D745,'Gebouwgegevens Allacker'!$A$35:$F$46,5,0)</f>
        <v>#N/A</v>
      </c>
      <c r="I745" s="122" t="e">
        <f>VLOOKUP(B745,'Gebouwgegevens Allacker'!$J$5:$Q$83,7,0)</f>
        <v>#N/A</v>
      </c>
      <c r="J745" s="118" t="e">
        <f>VLOOKUP(B745,'Gebouwgegevens Allacker'!$J$5:$Q$83,8,0)</f>
        <v>#N/A</v>
      </c>
      <c r="K745" s="118" t="e">
        <f t="shared" si="0"/>
        <v>#N/A</v>
      </c>
      <c r="L745" s="98"/>
      <c r="M745" s="98"/>
      <c r="N745" s="98"/>
      <c r="O745" s="98"/>
      <c r="P745" s="96"/>
    </row>
    <row r="746" spans="1:16" ht="16.5" customHeight="1" thickTop="1" thickBot="1" x14ac:dyDescent="0.3">
      <c r="A746" s="95"/>
      <c r="B746" s="123" t="s">
        <v>262</v>
      </c>
      <c r="C746" s="122" t="e">
        <f>IF(VLOOKUP(B746,'Gebouwgegevens Allacker'!$J$5:$Q$83,2,0)=$B$709,VLOOKUP(B746,'Gebouwgegevens Allacker'!$J$5:$Q$83,2,0),VLOOKUP(B746,'Gebouwgegevens Allacker'!$J$5:$Q$83,3,0))</f>
        <v>#N/A</v>
      </c>
      <c r="D746" s="122" t="e">
        <f>IF(VLOOKUP(B746,'Gebouwgegevens Allacker'!$J$5:$Q$83,2,0)=$B$709,VLOOKUP(B746,'Gebouwgegevens Allacker'!$J$5:$Q$83,3,0),VLOOKUP(B746,'Gebouwgegevens Allacker'!$J$5:$Q$83,2,0))</f>
        <v>#N/A</v>
      </c>
      <c r="E746" s="122" t="e">
        <f>VLOOKUP(B746,'Gebouwgegevens Allacker'!$J$5:$Q$83,4,0)</f>
        <v>#N/A</v>
      </c>
      <c r="F746" s="122" t="e">
        <f>VLOOKUP(B746,'Gebouwgegevens Allacker'!$J$5:$Q$83,5,0)</f>
        <v>#N/A</v>
      </c>
      <c r="G746" s="122" t="e">
        <f>VLOOKUP('Verwarming Tabula 2zone RefULG1'!C746,'Gebouwgegevens Allacker'!$A$35:$F$46,5,0)</f>
        <v>#N/A</v>
      </c>
      <c r="H746" s="122" t="e">
        <f>VLOOKUP('Verwarming Tabula 2zone RefULG1'!D746,'Gebouwgegevens Allacker'!$A$35:$F$46,5,0)</f>
        <v>#N/A</v>
      </c>
      <c r="I746" s="122" t="e">
        <f>VLOOKUP(B746,'Gebouwgegevens Allacker'!$J$5:$Q$83,7,0)</f>
        <v>#N/A</v>
      </c>
      <c r="J746" s="118" t="e">
        <f>VLOOKUP(B746,'Gebouwgegevens Allacker'!$J$5:$Q$83,8,0)</f>
        <v>#N/A</v>
      </c>
      <c r="K746" s="118" t="e">
        <f t="shared" si="0"/>
        <v>#N/A</v>
      </c>
      <c r="L746" s="98"/>
      <c r="M746" s="98"/>
      <c r="N746" s="98"/>
      <c r="O746" s="98"/>
      <c r="P746" s="96"/>
    </row>
    <row r="747" spans="1:16" ht="16.5" customHeight="1" thickTop="1" thickBot="1" x14ac:dyDescent="0.3">
      <c r="A747" s="95"/>
      <c r="B747" s="123" t="s">
        <v>263</v>
      </c>
      <c r="C747" s="122" t="e">
        <f>IF(VLOOKUP(B747,'Gebouwgegevens Allacker'!$J$5:$Q$83,2,0)=$B$709,VLOOKUP(B747,'Gebouwgegevens Allacker'!$J$5:$Q$83,2,0),VLOOKUP(B747,'Gebouwgegevens Allacker'!$J$5:$Q$83,3,0))</f>
        <v>#N/A</v>
      </c>
      <c r="D747" s="122" t="e">
        <f>IF(VLOOKUP(B747,'Gebouwgegevens Allacker'!$J$5:$Q$83,2,0)=$B$709,VLOOKUP(B747,'Gebouwgegevens Allacker'!$J$5:$Q$83,3,0),VLOOKUP(B747,'Gebouwgegevens Allacker'!$J$5:$Q$83,2,0))</f>
        <v>#N/A</v>
      </c>
      <c r="E747" s="122" t="e">
        <f>VLOOKUP(B747,'Gebouwgegevens Allacker'!$J$5:$Q$83,4,0)</f>
        <v>#N/A</v>
      </c>
      <c r="F747" s="122" t="e">
        <f>VLOOKUP(B747,'Gebouwgegevens Allacker'!$J$5:$Q$83,5,0)</f>
        <v>#N/A</v>
      </c>
      <c r="G747" s="122" t="e">
        <f>VLOOKUP('Verwarming Tabula 2zone RefULG1'!C747,'Gebouwgegevens Allacker'!$A$35:$F$46,5,0)</f>
        <v>#N/A</v>
      </c>
      <c r="H747" s="122" t="e">
        <f>VLOOKUP('Verwarming Tabula 2zone RefULG1'!D747,'Gebouwgegevens Allacker'!$A$35:$F$46,5,0)</f>
        <v>#N/A</v>
      </c>
      <c r="I747" s="122" t="e">
        <f>VLOOKUP(B747,'Gebouwgegevens Allacker'!$J$5:$Q$83,7,0)</f>
        <v>#N/A</v>
      </c>
      <c r="J747" s="118" t="e">
        <f>VLOOKUP(B747,'Gebouwgegevens Allacker'!$J$5:$Q$83,8,0)</f>
        <v>#N/A</v>
      </c>
      <c r="K747" s="118" t="e">
        <f t="shared" si="0"/>
        <v>#N/A</v>
      </c>
      <c r="L747" s="98"/>
      <c r="M747" s="98"/>
      <c r="N747" s="98"/>
      <c r="O747" s="98"/>
      <c r="P747" s="96"/>
    </row>
    <row r="748" spans="1:16" ht="16.5" customHeight="1" thickTop="1" thickBot="1" x14ac:dyDescent="0.3">
      <c r="A748" s="95"/>
      <c r="B748" s="123" t="s">
        <v>226</v>
      </c>
      <c r="C748" s="122" t="e">
        <f>IF(VLOOKUP(B748,'Gebouwgegevens Allacker'!$J$5:$Q$83,2,0)=$B$709,VLOOKUP(B748,'Gebouwgegevens Allacker'!$J$5:$Q$83,2,0),VLOOKUP(B748,'Gebouwgegevens Allacker'!$J$5:$Q$83,3,0))</f>
        <v>#N/A</v>
      </c>
      <c r="D748" s="122" t="e">
        <f>IF(VLOOKUP(B748,'Gebouwgegevens Allacker'!$J$5:$Q$83,2,0)=$B$709,VLOOKUP(B748,'Gebouwgegevens Allacker'!$J$5:$Q$83,3,0),VLOOKUP(B748,'Gebouwgegevens Allacker'!$J$5:$Q$83,2,0))</f>
        <v>#N/A</v>
      </c>
      <c r="E748" s="122" t="e">
        <f>VLOOKUP(B748,'Gebouwgegevens Allacker'!$J$5:$Q$83,4,0)</f>
        <v>#N/A</v>
      </c>
      <c r="F748" s="122" t="e">
        <f>VLOOKUP(B748,'Gebouwgegevens Allacker'!$J$5:$Q$83,5,0)</f>
        <v>#N/A</v>
      </c>
      <c r="G748" s="122" t="e">
        <f>VLOOKUP('Verwarming Tabula 2zone RefULG1'!C748,'Gebouwgegevens Allacker'!$A$35:$F$46,5,0)</f>
        <v>#N/A</v>
      </c>
      <c r="H748" s="122" t="e">
        <f>VLOOKUP('Verwarming Tabula 2zone RefULG1'!D748,'Gebouwgegevens Allacker'!$A$35:$F$46,5,0)</f>
        <v>#N/A</v>
      </c>
      <c r="I748" s="122" t="e">
        <f>VLOOKUP(B748,'Gebouwgegevens Allacker'!$J$5:$Q$83,7,0)</f>
        <v>#N/A</v>
      </c>
      <c r="J748" s="118" t="e">
        <f>VLOOKUP(B748,'Gebouwgegevens Allacker'!$J$5:$Q$83,8,0)</f>
        <v>#N/A</v>
      </c>
      <c r="K748" s="118" t="e">
        <f t="shared" si="0"/>
        <v>#N/A</v>
      </c>
      <c r="L748" s="98"/>
      <c r="M748" s="98"/>
      <c r="N748" s="98"/>
      <c r="O748" s="98"/>
      <c r="P748" s="96"/>
    </row>
    <row r="749" spans="1:16" ht="16.5" customHeight="1" thickTop="1" thickBot="1" x14ac:dyDescent="0.3">
      <c r="A749" s="95"/>
      <c r="B749" s="123" t="s">
        <v>264</v>
      </c>
      <c r="C749" s="122" t="e">
        <f>IF(VLOOKUP(B749,'Gebouwgegevens Allacker'!$J$5:$Q$83,2,0)=$B$709,VLOOKUP(B749,'Gebouwgegevens Allacker'!$J$5:$Q$83,2,0),VLOOKUP(B749,'Gebouwgegevens Allacker'!$J$5:$Q$83,3,0))</f>
        <v>#N/A</v>
      </c>
      <c r="D749" s="122" t="e">
        <f>IF(VLOOKUP(B749,'Gebouwgegevens Allacker'!$J$5:$Q$83,2,0)=$B$709,VLOOKUP(B749,'Gebouwgegevens Allacker'!$J$5:$Q$83,3,0),VLOOKUP(B749,'Gebouwgegevens Allacker'!$J$5:$Q$83,2,0))</f>
        <v>#N/A</v>
      </c>
      <c r="E749" s="122" t="e">
        <f>VLOOKUP(B749,'Gebouwgegevens Allacker'!$J$5:$Q$83,4,0)</f>
        <v>#N/A</v>
      </c>
      <c r="F749" s="122" t="e">
        <f>VLOOKUP(B749,'Gebouwgegevens Allacker'!$J$5:$Q$83,5,0)</f>
        <v>#N/A</v>
      </c>
      <c r="G749" s="122" t="e">
        <f>VLOOKUP('Verwarming Tabula 2zone RefULG1'!C749,'Gebouwgegevens Allacker'!$A$35:$F$46,5,0)</f>
        <v>#N/A</v>
      </c>
      <c r="H749" s="122" t="e">
        <f>VLOOKUP('Verwarming Tabula 2zone RefULG1'!D749,'Gebouwgegevens Allacker'!$A$35:$F$46,5,0)</f>
        <v>#N/A</v>
      </c>
      <c r="I749" s="122" t="e">
        <f>VLOOKUP(B749,'Gebouwgegevens Allacker'!$J$5:$Q$83,7,0)</f>
        <v>#N/A</v>
      </c>
      <c r="J749" s="118" t="e">
        <f>VLOOKUP(B749,'Gebouwgegevens Allacker'!$J$5:$Q$83,8,0)</f>
        <v>#N/A</v>
      </c>
      <c r="K749" s="118" t="e">
        <f t="shared" si="0"/>
        <v>#N/A</v>
      </c>
      <c r="L749" s="98"/>
      <c r="M749" s="98"/>
      <c r="N749" s="98"/>
      <c r="O749" s="98"/>
      <c r="P749" s="96"/>
    </row>
    <row r="750" spans="1:16" ht="16.5" customHeight="1" thickTop="1" thickBot="1" x14ac:dyDescent="0.3">
      <c r="A750" s="95"/>
      <c r="B750" s="123" t="s">
        <v>265</v>
      </c>
      <c r="C750" s="122" t="e">
        <f>IF(VLOOKUP(B750,'Gebouwgegevens Allacker'!$J$5:$Q$83,2,0)=$B$709,VLOOKUP(B750,'Gebouwgegevens Allacker'!$J$5:$Q$83,2,0),VLOOKUP(B750,'Gebouwgegevens Allacker'!$J$5:$Q$83,3,0))</f>
        <v>#N/A</v>
      </c>
      <c r="D750" s="122" t="e">
        <f>IF(VLOOKUP(B750,'Gebouwgegevens Allacker'!$J$5:$Q$83,2,0)=$B$709,VLOOKUP(B750,'Gebouwgegevens Allacker'!$J$5:$Q$83,3,0),VLOOKUP(B750,'Gebouwgegevens Allacker'!$J$5:$Q$83,2,0))</f>
        <v>#N/A</v>
      </c>
      <c r="E750" s="122" t="e">
        <f>VLOOKUP(B750,'Gebouwgegevens Allacker'!$J$5:$Q$83,4,0)</f>
        <v>#N/A</v>
      </c>
      <c r="F750" s="122" t="e">
        <f>VLOOKUP(B750,'Gebouwgegevens Allacker'!$J$5:$Q$83,5,0)</f>
        <v>#N/A</v>
      </c>
      <c r="G750" s="122" t="e">
        <f>VLOOKUP('Verwarming Tabula 2zone RefULG1'!C750,'Gebouwgegevens Allacker'!$A$35:$F$46,5,0)</f>
        <v>#N/A</v>
      </c>
      <c r="H750" s="122" t="e">
        <f>VLOOKUP('Verwarming Tabula 2zone RefULG1'!D750,'Gebouwgegevens Allacker'!$A$35:$F$46,5,0)</f>
        <v>#N/A</v>
      </c>
      <c r="I750" s="122" t="e">
        <f>VLOOKUP(B750,'Gebouwgegevens Allacker'!$J$5:$Q$83,7,0)</f>
        <v>#N/A</v>
      </c>
      <c r="J750" s="118" t="e">
        <f>VLOOKUP(B750,'Gebouwgegevens Allacker'!$J$5:$Q$83,8,0)</f>
        <v>#N/A</v>
      </c>
      <c r="K750" s="118" t="e">
        <f t="shared" si="0"/>
        <v>#N/A</v>
      </c>
      <c r="L750" s="98"/>
      <c r="M750" s="98"/>
      <c r="N750" s="98"/>
      <c r="O750" s="98"/>
      <c r="P750" s="96"/>
    </row>
    <row r="751" spans="1:16" ht="16.5" customHeight="1" thickTop="1" x14ac:dyDescent="0.25">
      <c r="A751" s="103" t="s">
        <v>192</v>
      </c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6"/>
    </row>
    <row r="752" spans="1:16" ht="16.5" customHeight="1" x14ac:dyDescent="0.25">
      <c r="A752" s="124" t="s">
        <v>193</v>
      </c>
      <c r="B752" s="118" t="e">
        <f>SUMPRODUCT(H715:H726,I715:I726)+SUMPRODUCT(G731:G735,H731:H735)+SUMPRODUCT(J739:J750,K739:K750)</f>
        <v>#N/A</v>
      </c>
      <c r="C752" s="118" t="s">
        <v>107</v>
      </c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6"/>
    </row>
    <row r="753" spans="1:16" ht="16.5" customHeight="1" x14ac:dyDescent="0.25">
      <c r="A753" s="124" t="s">
        <v>167</v>
      </c>
      <c r="B753" s="118" t="e">
        <f>B752*(G739-$B$4)</f>
        <v>#N/A</v>
      </c>
      <c r="C753" s="118" t="s">
        <v>169</v>
      </c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6"/>
    </row>
    <row r="754" spans="1:16" ht="15.75" customHeight="1" thickBot="1" x14ac:dyDescent="0.3">
      <c r="A754" s="109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1"/>
    </row>
    <row r="755" spans="1:16" ht="15.75" customHeight="1" thickTop="1" x14ac:dyDescent="0.25">
      <c r="A755" s="343" t="s">
        <v>194</v>
      </c>
      <c r="B755" s="343"/>
      <c r="C755" s="343"/>
      <c r="D755" s="125" t="s">
        <v>222</v>
      </c>
      <c r="E755" s="328"/>
      <c r="F755" s="328"/>
      <c r="G755" s="328"/>
      <c r="H755" s="328"/>
      <c r="I755" s="328"/>
      <c r="J755" s="328"/>
      <c r="K755" s="328"/>
      <c r="L755" s="328"/>
      <c r="M755" s="328"/>
      <c r="N755" s="328"/>
      <c r="O755" s="328"/>
      <c r="P755" s="94"/>
    </row>
    <row r="756" spans="1:16" ht="15" customHeight="1" x14ac:dyDescent="0.25">
      <c r="A756" s="95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6"/>
    </row>
    <row r="757" spans="1:16" ht="15" customHeight="1" thickBot="1" x14ac:dyDescent="0.3">
      <c r="A757" s="126" t="s">
        <v>195</v>
      </c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6"/>
    </row>
    <row r="758" spans="1:16" ht="15" customHeight="1" thickTop="1" thickBot="1" x14ac:dyDescent="0.3">
      <c r="A758" s="127" t="s">
        <v>196</v>
      </c>
      <c r="B758" s="121">
        <v>8</v>
      </c>
      <c r="C758" s="120" t="s">
        <v>197</v>
      </c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6"/>
    </row>
    <row r="759" spans="1:16" ht="15" customHeight="1" thickTop="1" thickBot="1" x14ac:dyDescent="0.3">
      <c r="A759" s="127" t="s">
        <v>198</v>
      </c>
      <c r="B759" s="121">
        <v>0.03</v>
      </c>
      <c r="C759" s="120" t="s">
        <v>199</v>
      </c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6"/>
    </row>
    <row r="760" spans="1:16" ht="15.75" customHeight="1" thickTop="1" thickBot="1" x14ac:dyDescent="0.3">
      <c r="A760" s="127" t="s">
        <v>200</v>
      </c>
      <c r="B760" s="121">
        <v>1</v>
      </c>
      <c r="C760" s="120" t="s">
        <v>201</v>
      </c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6"/>
    </row>
    <row r="761" spans="1:16" ht="16.5" customHeight="1" thickTop="1" x14ac:dyDescent="0.25">
      <c r="A761" s="124" t="s">
        <v>202</v>
      </c>
      <c r="B761" s="118" t="e">
        <f>2*VLOOKUP(B709,'Gebouwgegevens Allacker'!$A$35:$F$46,6,0)*B758*B759*B760</f>
        <v>#N/A</v>
      </c>
      <c r="C761" s="118" t="s">
        <v>203</v>
      </c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6"/>
    </row>
    <row r="762" spans="1:16" ht="15.75" customHeight="1" x14ac:dyDescent="0.25">
      <c r="A762" s="138"/>
      <c r="B762" s="58"/>
      <c r="C762" s="5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6"/>
    </row>
    <row r="763" spans="1:16" ht="15" customHeight="1" x14ac:dyDescent="0.25">
      <c r="A763" s="146" t="s">
        <v>204</v>
      </c>
      <c r="B763" s="58"/>
      <c r="C763" s="5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6"/>
    </row>
    <row r="764" spans="1:16" ht="15.75" customHeight="1" x14ac:dyDescent="0.25">
      <c r="A764" s="138" t="s">
        <v>180</v>
      </c>
      <c r="B764" s="58" t="e">
        <f>VLOOKUP(B709,'Gebouwgegevens Allacker'!$A$35:$F$46,6,0)</f>
        <v>#N/A</v>
      </c>
      <c r="C764" s="5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6"/>
    </row>
    <row r="765" spans="1:16" ht="16.5" customHeight="1" x14ac:dyDescent="0.25">
      <c r="A765" s="124" t="s">
        <v>205</v>
      </c>
      <c r="B765" s="118">
        <v>0</v>
      </c>
      <c r="C765" s="118" t="s">
        <v>203</v>
      </c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6"/>
    </row>
    <row r="766" spans="1:16" ht="15.75" customHeight="1" x14ac:dyDescent="0.25">
      <c r="A766" s="138"/>
      <c r="B766" s="58"/>
      <c r="C766" s="5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6"/>
    </row>
    <row r="767" spans="1:16" ht="15.75" customHeight="1" x14ac:dyDescent="0.25">
      <c r="A767" s="138"/>
      <c r="B767" s="58"/>
      <c r="C767" s="5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6"/>
    </row>
    <row r="768" spans="1:16" ht="16.5" customHeight="1" x14ac:dyDescent="0.25">
      <c r="A768" s="124" t="s">
        <v>207</v>
      </c>
      <c r="B768" s="118" t="e">
        <f>MAX(B761,B765)</f>
        <v>#N/A</v>
      </c>
      <c r="C768" s="118" t="s">
        <v>203</v>
      </c>
      <c r="D768" s="98"/>
      <c r="E768" s="98"/>
      <c r="F768" s="118" t="s">
        <v>208</v>
      </c>
      <c r="G768" s="118" t="e">
        <f>B768/VLOOKUP(B709,'Gebouwgegevens Allacker'!$A$35:$B$46,2,0)</f>
        <v>#N/A</v>
      </c>
      <c r="H768" s="98"/>
      <c r="I768" s="98"/>
      <c r="J768" s="98"/>
      <c r="K768" s="98"/>
      <c r="L768" s="98"/>
      <c r="M768" s="98"/>
      <c r="N768" s="98"/>
      <c r="O768" s="98"/>
      <c r="P768" s="96"/>
    </row>
    <row r="769" spans="1:16" ht="16.5" customHeight="1" x14ac:dyDescent="0.25">
      <c r="A769" s="138"/>
      <c r="B769" s="58"/>
      <c r="C769" s="5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6"/>
    </row>
    <row r="770" spans="1:16" ht="16.5" customHeight="1" x14ac:dyDescent="0.25">
      <c r="A770" s="124" t="s">
        <v>209</v>
      </c>
      <c r="B770" s="118" t="e">
        <f>0.34*B768</f>
        <v>#N/A</v>
      </c>
      <c r="C770" s="118" t="s">
        <v>107</v>
      </c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6"/>
    </row>
    <row r="771" spans="1:16" ht="16.5" customHeight="1" x14ac:dyDescent="0.25">
      <c r="A771" s="124" t="s">
        <v>167</v>
      </c>
      <c r="B771" s="118" t="e">
        <f>B770*('Gebouwgegevens Allacker'!E731-$B$4)</f>
        <v>#N/A</v>
      </c>
      <c r="C771" s="118" t="s">
        <v>169</v>
      </c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6"/>
    </row>
    <row r="772" spans="1:16" ht="15.75" customHeight="1" thickBot="1" x14ac:dyDescent="0.3">
      <c r="A772" s="140"/>
      <c r="B772" s="141"/>
      <c r="C772" s="141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1"/>
    </row>
    <row r="773" spans="1:16" ht="15.75" customHeight="1" thickTop="1" x14ac:dyDescent="0.25">
      <c r="A773" s="343" t="s">
        <v>210</v>
      </c>
      <c r="B773" s="343"/>
      <c r="C773" s="343"/>
      <c r="D773" s="343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6"/>
    </row>
    <row r="774" spans="1:16" ht="15" customHeight="1" thickBot="1" x14ac:dyDescent="0.3">
      <c r="A774" s="95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6"/>
    </row>
    <row r="775" spans="1:16" ht="15" customHeight="1" thickTop="1" thickBot="1" x14ac:dyDescent="0.3">
      <c r="A775" s="127" t="s">
        <v>211</v>
      </c>
      <c r="B775" s="121">
        <v>0</v>
      </c>
      <c r="C775" s="58" t="s">
        <v>232</v>
      </c>
      <c r="D775" s="5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6"/>
    </row>
    <row r="776" spans="1:16" ht="15.75" customHeight="1" thickTop="1" x14ac:dyDescent="0.25">
      <c r="A776" s="3" t="s">
        <v>113</v>
      </c>
      <c r="B776" s="58" t="e">
        <f>VLOOKUP(B709,'Gebouwgegevens Allacker'!$A$35:$F$46,6,0)</f>
        <v>#N/A</v>
      </c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6"/>
    </row>
    <row r="777" spans="1:16" ht="16.5" customHeight="1" x14ac:dyDescent="0.25">
      <c r="A777" s="124" t="s">
        <v>213</v>
      </c>
      <c r="B777" s="118" t="e">
        <f>B778/('Gebouwgegevens Allacker'!E731-'Verwarming Tabula 2zone RefULG1'!$B$4)</f>
        <v>#N/A</v>
      </c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6"/>
    </row>
    <row r="778" spans="1:16" ht="16.5" customHeight="1" x14ac:dyDescent="0.25">
      <c r="A778" s="124" t="s">
        <v>167</v>
      </c>
      <c r="B778" s="118" t="e">
        <f>B775*B776</f>
        <v>#N/A</v>
      </c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6"/>
    </row>
    <row r="779" spans="1:16" ht="15.75" customHeight="1" x14ac:dyDescent="0.25">
      <c r="A779" s="95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6"/>
    </row>
    <row r="780" spans="1:16" ht="15.75" customHeight="1" thickBot="1" x14ac:dyDescent="0.3">
      <c r="A780" s="95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6"/>
    </row>
    <row r="781" spans="1:16" ht="15.75" customHeight="1" thickTop="1" thickBot="1" x14ac:dyDescent="0.3">
      <c r="A781" s="129" t="s">
        <v>214</v>
      </c>
      <c r="B781" s="130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1"/>
    </row>
    <row r="782" spans="1:16" ht="16.5" customHeight="1" thickTop="1" x14ac:dyDescent="0.25">
      <c r="A782" s="124" t="s">
        <v>215</v>
      </c>
      <c r="B782" s="118" t="e">
        <f>SUM(B752,B770,B777)</f>
        <v>#N/A</v>
      </c>
      <c r="C782" s="118" t="s">
        <v>107</v>
      </c>
      <c r="D782" s="132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P782" s="133"/>
    </row>
    <row r="783" spans="1:16" ht="16.5" customHeight="1" x14ac:dyDescent="0.25">
      <c r="A783" s="124" t="s">
        <v>167</v>
      </c>
      <c r="B783" s="118" t="e">
        <f>SUM(B753,B771,B778)</f>
        <v>#N/A</v>
      </c>
      <c r="C783" s="118" t="s">
        <v>169</v>
      </c>
      <c r="D783" s="132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  <c r="O783" s="132"/>
      <c r="P783" s="133"/>
    </row>
    <row r="784" spans="1:16" ht="16.5" customHeight="1" thickBot="1" x14ac:dyDescent="0.3">
      <c r="A784" s="134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6"/>
    </row>
  </sheetData>
  <mergeCells count="32">
    <mergeCell ref="A755:C755"/>
    <mergeCell ref="A773:D773"/>
    <mergeCell ref="A597:C597"/>
    <mergeCell ref="A615:D615"/>
    <mergeCell ref="A631:D631"/>
    <mergeCell ref="A676:C676"/>
    <mergeCell ref="A694:D694"/>
    <mergeCell ref="A710:D710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zoomScaleNormal="100" workbookViewId="0">
      <selection activeCell="E12" sqref="E12"/>
    </sheetView>
  </sheetViews>
  <sheetFormatPr defaultRowHeight="15" x14ac:dyDescent="0.25"/>
  <cols>
    <col min="1" max="1025" width="9.140625" style="3"/>
    <col min="1026" max="16384" width="9.140625" style="81"/>
  </cols>
  <sheetData>
    <row r="1" spans="1:26" ht="20.25" customHeight="1" x14ac:dyDescent="0.25">
      <c r="A1" s="341" t="s">
        <v>161</v>
      </c>
      <c r="B1" s="341"/>
      <c r="C1" s="341"/>
      <c r="D1" s="341"/>
      <c r="E1" s="341"/>
      <c r="F1" s="341"/>
      <c r="G1" s="341"/>
      <c r="H1" s="341"/>
      <c r="I1" s="341"/>
      <c r="J1" s="91"/>
      <c r="K1" s="91"/>
      <c r="L1" s="91"/>
      <c r="M1" s="91"/>
      <c r="N1" s="91"/>
      <c r="O1" s="91"/>
      <c r="P1" s="91"/>
    </row>
    <row r="2" spans="1:26" ht="15.75" customHeight="1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26" ht="15.75" customHeight="1" thickBot="1" x14ac:dyDescent="0.3">
      <c r="A3" s="91" t="s">
        <v>162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26" ht="15.75" customHeight="1" thickTop="1" thickBot="1" x14ac:dyDescent="0.3">
      <c r="A4" s="92" t="s">
        <v>163</v>
      </c>
      <c r="B4" s="92">
        <v>-8</v>
      </c>
      <c r="C4" s="92" t="s">
        <v>164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U4" s="93"/>
      <c r="V4" s="328"/>
      <c r="W4" s="328"/>
      <c r="X4" s="328"/>
      <c r="Y4" s="94"/>
    </row>
    <row r="5" spans="1:26" ht="18" customHeight="1" thickTop="1" thickBot="1" x14ac:dyDescent="0.3">
      <c r="A5" s="93"/>
      <c r="B5" s="328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94"/>
      <c r="U5" s="95"/>
      <c r="V5" s="338" t="s">
        <v>165</v>
      </c>
      <c r="W5" s="338"/>
      <c r="X5" s="338"/>
      <c r="Y5" s="96"/>
    </row>
    <row r="6" spans="1:26" ht="18.75" customHeight="1" thickTop="1" thickBot="1" x14ac:dyDescent="0.35">
      <c r="A6" s="97" t="s">
        <v>166</v>
      </c>
      <c r="B6" s="92">
        <v>1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6"/>
      <c r="U6" s="95"/>
      <c r="V6" s="99" t="s">
        <v>166</v>
      </c>
      <c r="W6" s="100" t="s">
        <v>167</v>
      </c>
      <c r="X6" s="328"/>
      <c r="Y6" s="96"/>
    </row>
    <row r="7" spans="1:26" ht="16.5" customHeight="1" thickTop="1" x14ac:dyDescent="0.25">
      <c r="A7" s="343" t="s">
        <v>168</v>
      </c>
      <c r="B7" s="343"/>
      <c r="C7" s="343"/>
      <c r="D7" s="343"/>
      <c r="E7" s="328"/>
      <c r="F7" s="328"/>
      <c r="G7" s="328"/>
      <c r="H7" s="328"/>
      <c r="I7" s="328"/>
      <c r="J7" s="328"/>
      <c r="K7" s="328"/>
      <c r="L7" s="328"/>
      <c r="M7" s="328"/>
      <c r="N7" s="328"/>
      <c r="O7" s="328"/>
      <c r="P7" s="94"/>
      <c r="U7" s="95"/>
      <c r="V7" s="101">
        <f>B6</f>
        <v>1</v>
      </c>
      <c r="W7" s="102">
        <f>B73</f>
        <v>5065.4293017475557</v>
      </c>
      <c r="X7" s="98" t="s">
        <v>169</v>
      </c>
      <c r="Y7" s="96"/>
      <c r="Z7" s="3">
        <f>0.7*W7</f>
        <v>3545.8005112232886</v>
      </c>
    </row>
    <row r="8" spans="1:26" ht="15" customHeight="1" x14ac:dyDescent="0.25">
      <c r="A8" s="95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6"/>
      <c r="U8" s="95"/>
      <c r="V8" s="101">
        <f>B78</f>
        <v>2</v>
      </c>
      <c r="W8" s="102">
        <f>B152</f>
        <v>4323.5434667304398</v>
      </c>
      <c r="X8" s="98" t="s">
        <v>169</v>
      </c>
      <c r="Y8" s="96"/>
      <c r="Z8" s="3">
        <f>0.7*W8</f>
        <v>3026.4804267113077</v>
      </c>
    </row>
    <row r="9" spans="1:26" ht="15" customHeight="1" x14ac:dyDescent="0.25">
      <c r="A9" s="103" t="s">
        <v>170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6"/>
      <c r="U9" s="95"/>
      <c r="V9" s="101">
        <f>B158</f>
        <v>3</v>
      </c>
      <c r="W9" s="102"/>
      <c r="X9" s="98" t="s">
        <v>169</v>
      </c>
      <c r="Y9" s="96"/>
    </row>
    <row r="10" spans="1:26" ht="15" customHeight="1" x14ac:dyDescent="0.25">
      <c r="A10" s="95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6"/>
      <c r="U10" s="95"/>
      <c r="V10" s="101">
        <f>B237</f>
        <v>4</v>
      </c>
      <c r="W10" s="102"/>
      <c r="X10" s="98" t="s">
        <v>169</v>
      </c>
      <c r="Y10" s="96"/>
    </row>
    <row r="11" spans="1:26" ht="15.75" customHeight="1" thickBot="1" x14ac:dyDescent="0.3">
      <c r="A11" s="95"/>
      <c r="B11" s="104" t="s">
        <v>10</v>
      </c>
      <c r="C11" s="104" t="s">
        <v>171</v>
      </c>
      <c r="D11" s="104" t="s">
        <v>172</v>
      </c>
      <c r="E11" s="104" t="s">
        <v>173</v>
      </c>
      <c r="F11" s="104" t="s">
        <v>174</v>
      </c>
      <c r="G11" s="104" t="s">
        <v>16</v>
      </c>
      <c r="H11" s="105" t="s">
        <v>17</v>
      </c>
      <c r="I11" s="105" t="s">
        <v>175</v>
      </c>
      <c r="J11" s="98"/>
      <c r="K11" s="98"/>
      <c r="L11" s="98"/>
      <c r="M11" s="98"/>
      <c r="N11" s="98"/>
      <c r="O11" s="98"/>
      <c r="P11" s="96"/>
      <c r="U11" s="95"/>
      <c r="V11" s="101">
        <f>B316</f>
        <v>5</v>
      </c>
      <c r="W11" s="102"/>
      <c r="X11" s="98" t="s">
        <v>169</v>
      </c>
      <c r="Y11" s="96"/>
    </row>
    <row r="12" spans="1:26" ht="16.5" customHeight="1" thickTop="1" thickBot="1" x14ac:dyDescent="0.3">
      <c r="A12" s="95"/>
      <c r="B12" s="106" t="str">
        <f>'Tabula RefULG 2'!K6</f>
        <v>W1</v>
      </c>
      <c r="C12" s="107">
        <f>VLOOKUP(B12,'Tabula RefULG 2'!$K$5:$R$83,3,0)</f>
        <v>1</v>
      </c>
      <c r="D12" s="107" t="str">
        <f>VLOOKUP(B12,'Tabula RefULG 2'!$K$5:$R$83,4,0)</f>
        <v>Wall External</v>
      </c>
      <c r="E12" s="107">
        <f>VLOOKUP(B12,'Tabula RefULG 2'!$K$5:$R$83,5,0)</f>
        <v>17.590457494591035</v>
      </c>
      <c r="F12" s="107" t="str">
        <f>VLOOKUP(B12,'Tabula RefULG 2'!$K$5:$R$83,6,0)</f>
        <v>front</v>
      </c>
      <c r="G12" s="107">
        <f>VLOOKUP(B12,'Tabula RefULG 2'!$K$5:$R$83,7,0)</f>
        <v>0.36462385321100915</v>
      </c>
      <c r="H12" s="108">
        <f>VLOOKUP(B12,'Tabula RefULG 2'!$K$5:$R$83,8,0)</f>
        <v>6.4139003914222572</v>
      </c>
      <c r="I12" s="108">
        <v>1</v>
      </c>
      <c r="J12" s="98"/>
      <c r="K12" s="98"/>
      <c r="L12" s="98"/>
      <c r="M12" s="98"/>
      <c r="N12" s="98"/>
      <c r="O12" s="98"/>
      <c r="P12" s="96"/>
      <c r="U12" s="95"/>
      <c r="V12" s="101">
        <f>6</f>
        <v>6</v>
      </c>
      <c r="W12" s="102"/>
      <c r="X12" s="98" t="s">
        <v>169</v>
      </c>
      <c r="Y12" s="96"/>
    </row>
    <row r="13" spans="1:26" ht="16.5" customHeight="1" thickTop="1" thickBot="1" x14ac:dyDescent="0.3">
      <c r="A13" s="95"/>
      <c r="B13" s="106" t="str">
        <f>'Tabula RefULG 2'!K7</f>
        <v>W2</v>
      </c>
      <c r="C13" s="107">
        <f>VLOOKUP(B13,'Tabula RefULG 2'!$K$5:$R$83,3,0)</f>
        <v>1</v>
      </c>
      <c r="D13" s="107" t="str">
        <f>VLOOKUP(B13,'Tabula RefULG 2'!$K$5:$R$83,4,0)</f>
        <v>Wall External</v>
      </c>
      <c r="E13" s="107">
        <f>VLOOKUP(B13,'Tabula RefULG 2'!$K$5:$R$83,5,0)</f>
        <v>30.921227867960802</v>
      </c>
      <c r="F13" s="107" t="str">
        <f>VLOOKUP(B13,'Tabula RefULG 2'!$K$5:$R$83,6,0)</f>
        <v>right</v>
      </c>
      <c r="G13" s="107">
        <f>VLOOKUP(B13,'Tabula RefULG 2'!$K$5:$R$83,7,0)</f>
        <v>0.36462385321100915</v>
      </c>
      <c r="H13" s="108">
        <f>VLOOKUP(B13,'Tabula RefULG 2'!$K$5:$R$83,8,0)</f>
        <v>11.274617251231504</v>
      </c>
      <c r="I13" s="108">
        <v>1</v>
      </c>
      <c r="J13" s="98"/>
      <c r="K13" s="98"/>
      <c r="L13" s="98"/>
      <c r="M13" s="98"/>
      <c r="N13" s="98"/>
      <c r="O13" s="98"/>
      <c r="P13" s="96"/>
      <c r="U13" s="95"/>
      <c r="V13" s="101">
        <v>7</v>
      </c>
      <c r="W13" s="102"/>
      <c r="X13" s="98" t="s">
        <v>169</v>
      </c>
      <c r="Y13" s="96"/>
    </row>
    <row r="14" spans="1:26" ht="16.5" customHeight="1" thickTop="1" thickBot="1" x14ac:dyDescent="0.3">
      <c r="A14" s="95"/>
      <c r="B14" s="106" t="str">
        <f>'Tabula RefULG 2'!K8</f>
        <v>W3</v>
      </c>
      <c r="C14" s="107">
        <f>VLOOKUP(B14,'Tabula RefULG 2'!$K$5:$R$83,3,0)</f>
        <v>1</v>
      </c>
      <c r="D14" s="107" t="str">
        <f>VLOOKUP(B14,'Tabula RefULG 2'!$K$5:$R$83,4,0)</f>
        <v>Wall External</v>
      </c>
      <c r="E14" s="107">
        <f>VLOOKUP(B14,'Tabula RefULG 2'!$K$5:$R$83,5,0)</f>
        <v>17.590457494591035</v>
      </c>
      <c r="F14" s="107" t="str">
        <f>VLOOKUP(B14,'Tabula RefULG 2'!$K$5:$R$83,6,0)</f>
        <v>back</v>
      </c>
      <c r="G14" s="107">
        <f>VLOOKUP(B14,'Tabula RefULG 2'!$K$5:$R$83,7,0)</f>
        <v>0.36462385321100915</v>
      </c>
      <c r="H14" s="108">
        <f>VLOOKUP(B14,'Tabula RefULG 2'!$K$5:$R$83,8,0)</f>
        <v>6.4139003914222572</v>
      </c>
      <c r="I14" s="108">
        <v>1</v>
      </c>
      <c r="J14" s="98"/>
      <c r="K14" s="98"/>
      <c r="L14" s="98"/>
      <c r="M14" s="98"/>
      <c r="N14" s="98"/>
      <c r="O14" s="98"/>
      <c r="P14" s="96"/>
      <c r="U14" s="95"/>
      <c r="V14" s="101">
        <v>8</v>
      </c>
      <c r="W14" s="102"/>
      <c r="X14" s="98" t="s">
        <v>169</v>
      </c>
      <c r="Y14" s="96"/>
    </row>
    <row r="15" spans="1:26" ht="16.5" customHeight="1" thickTop="1" thickBot="1" x14ac:dyDescent="0.3">
      <c r="A15" s="95"/>
      <c r="B15" s="106" t="str">
        <f>'Tabula RefULG 2'!K9</f>
        <v>W4</v>
      </c>
      <c r="C15" s="107">
        <f>VLOOKUP(B15,'Tabula RefULG 2'!$K$5:$R$83,3,0)</f>
        <v>1</v>
      </c>
      <c r="D15" s="107" t="str">
        <f>VLOOKUP(B15,'Tabula RefULG 2'!$K$5:$R$83,4,0)</f>
        <v>Wall External</v>
      </c>
      <c r="E15" s="107">
        <f>VLOOKUP(B15,'Tabula RefULG 2'!$K$5:$R$83,5,0)</f>
        <v>0</v>
      </c>
      <c r="F15" s="107" t="str">
        <f>VLOOKUP(B15,'Tabula RefULG 2'!$K$5:$R$83,6,0)</f>
        <v>left</v>
      </c>
      <c r="G15" s="107">
        <f>VLOOKUP(B15,'Tabula RefULG 2'!$K$5:$R$83,7,0)</f>
        <v>0.36462385321100915</v>
      </c>
      <c r="H15" s="108">
        <f>VLOOKUP(B15,'Tabula RefULG 2'!$K$5:$R$83,8,0)</f>
        <v>0</v>
      </c>
      <c r="I15" s="108">
        <v>1</v>
      </c>
      <c r="J15" s="98"/>
      <c r="K15" s="98"/>
      <c r="L15" s="98"/>
      <c r="M15" s="98"/>
      <c r="N15" s="98"/>
      <c r="O15" s="98"/>
      <c r="P15" s="96"/>
      <c r="U15" s="95"/>
      <c r="V15" s="101">
        <v>9</v>
      </c>
      <c r="W15" s="102"/>
      <c r="X15" s="98" t="s">
        <v>169</v>
      </c>
      <c r="Y15" s="96"/>
    </row>
    <row r="16" spans="1:26" ht="16.5" customHeight="1" thickTop="1" thickBot="1" x14ac:dyDescent="0.3">
      <c r="A16" s="95"/>
      <c r="B16" s="106" t="str">
        <f>'Tabula RefULG 2'!K10</f>
        <v>W5</v>
      </c>
      <c r="C16" s="107">
        <f>VLOOKUP(B16,'Tabula RefULG 2'!$K$5:$R$83,3,0)</f>
        <v>1</v>
      </c>
      <c r="D16" s="107" t="str">
        <f>VLOOKUP(B16,'Tabula RefULG 2'!$K$5:$R$83,4,0)</f>
        <v>Window</v>
      </c>
      <c r="E16" s="107">
        <f>VLOOKUP(B16,'Tabula RefULG 2'!$K$5:$R$83,5,0)</f>
        <v>4.05</v>
      </c>
      <c r="F16" s="107" t="str">
        <f>VLOOKUP(B16,'Tabula RefULG 2'!$K$5:$R$83,6,0)</f>
        <v>front</v>
      </c>
      <c r="G16" s="107">
        <f>VLOOKUP(B16,'Tabula RefULG 2'!$K$5:$R$83,7,0)</f>
        <v>2</v>
      </c>
      <c r="H16" s="108">
        <f>VLOOKUP(B16,'Tabula RefULG 2'!$K$5:$R$83,8,0)</f>
        <v>8.1</v>
      </c>
      <c r="I16" s="108">
        <v>1</v>
      </c>
      <c r="J16" s="98"/>
      <c r="K16" s="98"/>
      <c r="L16" s="98"/>
      <c r="M16" s="98"/>
      <c r="N16" s="98"/>
      <c r="O16" s="98"/>
      <c r="P16" s="96"/>
      <c r="U16" s="95"/>
      <c r="V16" s="101">
        <v>10</v>
      </c>
      <c r="W16" s="102"/>
      <c r="X16" s="98" t="s">
        <v>169</v>
      </c>
      <c r="Y16" s="96"/>
    </row>
    <row r="17" spans="1:25" ht="16.5" customHeight="1" thickTop="1" thickBot="1" x14ac:dyDescent="0.3">
      <c r="A17" s="95"/>
      <c r="B17" s="106" t="str">
        <f>'Tabula RefULG 2'!K11</f>
        <v>W6</v>
      </c>
      <c r="C17" s="107">
        <f>VLOOKUP(B17,'Tabula RefULG 2'!$K$5:$R$83,3,0)</f>
        <v>1</v>
      </c>
      <c r="D17" s="107" t="str">
        <f>VLOOKUP(B17,'Tabula RefULG 2'!$K$5:$R$83,4,0)</f>
        <v>Window</v>
      </c>
      <c r="E17" s="107">
        <f>VLOOKUP(B17,'Tabula RefULG 2'!$K$5:$R$83,5,0)</f>
        <v>3.45</v>
      </c>
      <c r="F17" s="107" t="str">
        <f>VLOOKUP(B17,'Tabula RefULG 2'!$K$5:$R$83,6,0)</f>
        <v>right</v>
      </c>
      <c r="G17" s="107">
        <f>VLOOKUP(B17,'Tabula RefULG 2'!$K$5:$R$83,7,0)</f>
        <v>2</v>
      </c>
      <c r="H17" s="108">
        <f>VLOOKUP(B17,'Tabula RefULG 2'!$K$5:$R$83,8,0)</f>
        <v>6.9</v>
      </c>
      <c r="I17" s="108">
        <v>1</v>
      </c>
      <c r="J17" s="98"/>
      <c r="K17" s="98"/>
      <c r="L17" s="98"/>
      <c r="M17" s="98"/>
      <c r="N17" s="98"/>
      <c r="O17" s="98"/>
      <c r="P17" s="96"/>
      <c r="U17" s="95"/>
      <c r="V17" s="101"/>
      <c r="W17" s="102"/>
      <c r="X17" s="98"/>
      <c r="Y17" s="96"/>
    </row>
    <row r="18" spans="1:25" ht="16.5" customHeight="1" thickTop="1" thickBot="1" x14ac:dyDescent="0.3">
      <c r="A18" s="95"/>
      <c r="B18" s="106" t="str">
        <f>'Tabula RefULG 2'!K12</f>
        <v>W7</v>
      </c>
      <c r="C18" s="107">
        <f>VLOOKUP(B18,'Tabula RefULG 2'!$K$5:$R$83,3,0)</f>
        <v>1</v>
      </c>
      <c r="D18" s="107" t="str">
        <f>VLOOKUP(B18,'Tabula RefULG 2'!$K$5:$R$83,4,0)</f>
        <v>Window</v>
      </c>
      <c r="E18" s="107">
        <f>VLOOKUP(B18,'Tabula RefULG 2'!$K$5:$R$83,5,0)</f>
        <v>4.5</v>
      </c>
      <c r="F18" s="107" t="str">
        <f>VLOOKUP(B18,'Tabula RefULG 2'!$K$5:$R$83,6,0)</f>
        <v>back</v>
      </c>
      <c r="G18" s="107">
        <f>VLOOKUP(B18,'Tabula RefULG 2'!$K$5:$R$83,7,0)</f>
        <v>2</v>
      </c>
      <c r="H18" s="108">
        <f>VLOOKUP(B18,'Tabula RefULG 2'!$K$5:$R$83,8,0)</f>
        <v>9</v>
      </c>
      <c r="I18" s="108">
        <v>1</v>
      </c>
      <c r="J18" s="98"/>
      <c r="K18" s="98"/>
      <c r="L18" s="98"/>
      <c r="M18" s="98"/>
      <c r="N18" s="98"/>
      <c r="O18" s="98"/>
      <c r="P18" s="96"/>
      <c r="U18" s="95"/>
      <c r="V18" s="99" t="s">
        <v>176</v>
      </c>
      <c r="W18" s="100">
        <f>SUM(W7:W16)</f>
        <v>9388.9727684779955</v>
      </c>
      <c r="X18" s="328" t="s">
        <v>169</v>
      </c>
      <c r="Y18" s="96"/>
    </row>
    <row r="19" spans="1:25" ht="16.5" customHeight="1" thickTop="1" thickBot="1" x14ac:dyDescent="0.3">
      <c r="A19" s="95"/>
      <c r="B19" s="106" t="str">
        <f>'Tabula RefULG 2'!K13</f>
        <v>W8</v>
      </c>
      <c r="C19" s="107">
        <f>VLOOKUP(B19,'Tabula RefULG 2'!$K$5:$R$83,3,0)</f>
        <v>1</v>
      </c>
      <c r="D19" s="107" t="str">
        <f>VLOOKUP(B19,'Tabula RefULG 2'!$K$5:$R$83,4,0)</f>
        <v>Window</v>
      </c>
      <c r="E19" s="107">
        <f>VLOOKUP(B19,'Tabula RefULG 2'!$K$5:$R$83,5,0)</f>
        <v>5.05</v>
      </c>
      <c r="F19" s="107" t="str">
        <f>VLOOKUP(B19,'Tabula RefULG 2'!$K$5:$R$83,6,0)</f>
        <v>left</v>
      </c>
      <c r="G19" s="107">
        <f>VLOOKUP(B19,'Tabula RefULG 2'!$K$5:$R$83,7,0)</f>
        <v>2</v>
      </c>
      <c r="H19" s="108">
        <f>VLOOKUP(B19,'Tabula RefULG 2'!$K$5:$R$83,8,0)</f>
        <v>10.1</v>
      </c>
      <c r="I19" s="108">
        <v>1</v>
      </c>
      <c r="J19" s="98"/>
      <c r="K19" s="98"/>
      <c r="L19" s="98"/>
      <c r="M19" s="98"/>
      <c r="N19" s="98"/>
      <c r="O19" s="98"/>
      <c r="P19" s="96"/>
      <c r="U19" s="109"/>
      <c r="V19" s="110"/>
      <c r="W19" s="110"/>
      <c r="X19" s="110"/>
      <c r="Y19" s="111"/>
    </row>
    <row r="20" spans="1:25" ht="16.5" customHeight="1" thickTop="1" thickBot="1" x14ac:dyDescent="0.3">
      <c r="A20" s="95"/>
      <c r="B20" s="106"/>
      <c r="C20" s="107"/>
      <c r="D20" s="107"/>
      <c r="E20" s="107"/>
      <c r="F20" s="107"/>
      <c r="G20" s="107"/>
      <c r="H20" s="108"/>
      <c r="I20" s="108"/>
      <c r="J20" s="98"/>
      <c r="K20" s="98"/>
      <c r="L20" s="98"/>
      <c r="M20" s="98"/>
      <c r="N20" s="98"/>
      <c r="O20" s="98"/>
      <c r="P20" s="96"/>
      <c r="U20" s="98"/>
      <c r="V20" s="98"/>
      <c r="W20" s="98"/>
      <c r="X20" s="98"/>
      <c r="Y20" s="98"/>
    </row>
    <row r="21" spans="1:25" ht="16.5" customHeight="1" thickTop="1" thickBot="1" x14ac:dyDescent="0.3">
      <c r="A21" s="95"/>
      <c r="B21" s="106" t="str">
        <f>'Gebouwgegevens Allacker'!J15</f>
        <v>W10</v>
      </c>
      <c r="C21" s="107">
        <f>VLOOKUP(B21,'Tabula RefULG 2'!$K$5:$R$83,3,0)</f>
        <v>1</v>
      </c>
      <c r="D21" s="107" t="str">
        <f>VLOOKUP(B21,'Tabula RefULG 2'!$K$5:$R$83,4,0)</f>
        <v>Roof</v>
      </c>
      <c r="E21" s="107">
        <f>VLOOKUP(B21,'Tabula RefULG 2'!$K$5:$R$83,5,0)</f>
        <v>0</v>
      </c>
      <c r="F21" s="107">
        <f>VLOOKUP(B21,'Tabula RefULG 2'!$K$5:$R$83,6,0)</f>
        <v>0</v>
      </c>
      <c r="G21" s="107">
        <f>VLOOKUP(B21,'Tabula RefULG 2'!$K$5:$R$83,7,0)</f>
        <v>0.27062537995411134</v>
      </c>
      <c r="H21" s="108">
        <f>VLOOKUP(B21,'Tabula RefULG 2'!$K$5:$R$83,8,0)</f>
        <v>0</v>
      </c>
      <c r="I21" s="108">
        <v>1</v>
      </c>
      <c r="J21" s="98"/>
      <c r="K21" s="98"/>
      <c r="L21" s="98"/>
      <c r="M21" s="98"/>
      <c r="N21" s="98"/>
      <c r="O21" s="98"/>
      <c r="P21" s="96"/>
      <c r="U21" s="98"/>
      <c r="V21" s="98" t="s">
        <v>266</v>
      </c>
      <c r="W21" s="98">
        <f>1.1*W7</f>
        <v>5571.9722319223119</v>
      </c>
      <c r="X21" s="98"/>
      <c r="Y21" s="98"/>
    </row>
    <row r="22" spans="1:25" ht="16.5" customHeight="1" thickTop="1" thickBot="1" x14ac:dyDescent="0.3">
      <c r="A22" s="95"/>
      <c r="B22" s="106" t="s">
        <v>67</v>
      </c>
      <c r="C22" s="107">
        <f>VLOOKUP(B22,'Tabula RefULG 2'!$K$5:$R$83,3,0)</f>
        <v>1</v>
      </c>
      <c r="D22" s="107" t="str">
        <f>VLOOKUP(B22,'Tabula RefULG 2'!$K$5:$R$83,4,0)</f>
        <v>Door</v>
      </c>
      <c r="E22" s="107">
        <f>VLOOKUP(B22,'Tabula RefULG 2'!$K$5:$R$83,5,0)</f>
        <v>9.5</v>
      </c>
      <c r="F22" s="107">
        <f>VLOOKUP(B22,'Tabula RefULG 2'!$K$5:$R$83,6,0)</f>
        <v>0</v>
      </c>
      <c r="G22" s="107">
        <f>VLOOKUP(B22,'Tabula RefULG 2'!$K$5:$R$83,7,0)</f>
        <v>3.5</v>
      </c>
      <c r="H22" s="108">
        <f>VLOOKUP(B22,'Tabula RefULG 2'!$K$5:$R$83,8,0)</f>
        <v>33.25</v>
      </c>
      <c r="I22" s="108">
        <v>1</v>
      </c>
      <c r="J22" s="98"/>
      <c r="K22" s="98"/>
      <c r="L22" s="98"/>
      <c r="M22" s="98"/>
      <c r="N22" s="98"/>
      <c r="O22" s="98"/>
      <c r="P22" s="96"/>
      <c r="U22" s="98"/>
      <c r="V22" s="98"/>
      <c r="W22" s="98"/>
      <c r="X22" s="98"/>
      <c r="Y22" s="98"/>
    </row>
    <row r="23" spans="1:25" ht="16.5" customHeight="1" thickTop="1" thickBot="1" x14ac:dyDescent="0.3">
      <c r="A23" s="95"/>
      <c r="B23" s="106"/>
      <c r="C23" s="107"/>
      <c r="D23" s="107"/>
      <c r="E23" s="107"/>
      <c r="F23" s="107"/>
      <c r="G23" s="107"/>
      <c r="H23" s="108"/>
      <c r="I23" s="108"/>
      <c r="J23" s="98"/>
      <c r="K23" s="98"/>
      <c r="L23" s="98"/>
      <c r="M23" s="98"/>
      <c r="N23" s="98"/>
      <c r="O23" s="98"/>
      <c r="P23" s="96"/>
      <c r="U23" s="98"/>
      <c r="V23" s="98"/>
      <c r="W23" s="98"/>
      <c r="X23" s="98"/>
      <c r="Y23" s="98"/>
    </row>
    <row r="24" spans="1:25" ht="15.75" customHeight="1" thickTop="1" x14ac:dyDescent="0.25">
      <c r="A24" s="95"/>
      <c r="B24" s="112"/>
      <c r="C24" s="113"/>
      <c r="D24" s="113"/>
      <c r="E24" s="113"/>
      <c r="F24" s="113"/>
      <c r="G24" s="113"/>
      <c r="H24" s="108"/>
      <c r="I24" s="108"/>
      <c r="J24" s="98"/>
      <c r="K24" s="98"/>
      <c r="L24" s="98"/>
      <c r="M24" s="98"/>
      <c r="N24" s="98"/>
      <c r="O24" s="98"/>
      <c r="P24" s="96"/>
      <c r="U24" s="98"/>
      <c r="V24" s="98"/>
      <c r="W24" s="98"/>
      <c r="X24" s="98"/>
      <c r="Y24" s="98"/>
    </row>
    <row r="25" spans="1:25" ht="15" customHeight="1" x14ac:dyDescent="0.25">
      <c r="A25" s="95"/>
      <c r="B25" s="112"/>
      <c r="C25" s="113"/>
      <c r="D25" s="113"/>
      <c r="E25" s="113"/>
      <c r="F25" s="113"/>
      <c r="G25" s="113"/>
      <c r="H25" s="108"/>
      <c r="I25" s="108"/>
      <c r="J25" s="98"/>
      <c r="K25" s="98"/>
      <c r="L25" s="98"/>
      <c r="M25" s="98"/>
      <c r="N25" s="98"/>
      <c r="O25" s="98"/>
      <c r="P25" s="96"/>
      <c r="U25" s="98"/>
      <c r="V25" s="98"/>
      <c r="W25" s="98"/>
      <c r="X25" s="98"/>
      <c r="Y25" s="98"/>
    </row>
    <row r="26" spans="1:25" ht="15" customHeight="1" x14ac:dyDescent="0.25">
      <c r="A26" s="103" t="s">
        <v>177</v>
      </c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6"/>
    </row>
    <row r="27" spans="1:25" ht="15.75" customHeight="1" x14ac:dyDescent="0.25">
      <c r="A27" s="95"/>
      <c r="B27" s="58" t="s">
        <v>10</v>
      </c>
      <c r="C27" s="58" t="s">
        <v>178</v>
      </c>
      <c r="D27" s="58" t="s">
        <v>172</v>
      </c>
      <c r="E27" s="58" t="s">
        <v>179</v>
      </c>
      <c r="F27" s="58" t="s">
        <v>16</v>
      </c>
      <c r="G27" s="114" t="s">
        <v>17</v>
      </c>
      <c r="H27" s="114" t="s">
        <v>175</v>
      </c>
      <c r="I27" s="58" t="s">
        <v>180</v>
      </c>
      <c r="J27" s="58" t="s">
        <v>181</v>
      </c>
      <c r="K27" s="58" t="s">
        <v>182</v>
      </c>
      <c r="L27" s="115" t="s">
        <v>183</v>
      </c>
      <c r="M27" s="115" t="s">
        <v>184</v>
      </c>
      <c r="N27" s="115" t="s">
        <v>185</v>
      </c>
      <c r="O27" s="98"/>
      <c r="P27" s="96"/>
    </row>
    <row r="28" spans="1:25" ht="16.5" customHeight="1" thickBot="1" x14ac:dyDescent="0.3">
      <c r="A28" s="95"/>
      <c r="B28" s="116" t="s">
        <v>61</v>
      </c>
      <c r="C28" s="117">
        <f>VLOOKUP(B28,'Tabula RefULG 2'!$K$5:$R$83,3,0)</f>
        <v>1</v>
      </c>
      <c r="D28" s="117" t="str">
        <f>VLOOKUP(B28,'Tabula RefULG 2'!$K$5:$R$83,4,0)</f>
        <v>Floor</v>
      </c>
      <c r="E28" s="117">
        <f>VLOOKUP(B28,'Tabula RefULG 2'!$K$5:$R$83,5,0)</f>
        <v>103.4</v>
      </c>
      <c r="F28" s="117">
        <f>VLOOKUP(B28,'Tabula RefULG 2'!$K$5:$R$83,7,0)</f>
        <v>0.28445648493057907</v>
      </c>
      <c r="G28" s="118">
        <f>VLOOKUP(B28,'Tabula RefULG 2'!$K$5:$R$83,8,0)</f>
        <v>29.412800541821877</v>
      </c>
      <c r="H28" s="118">
        <f>N28/F28*1.45*(G34-12)/(G34+8)</f>
        <v>0.33114633035368635</v>
      </c>
      <c r="I28" s="117">
        <f>'Tabula RefULG 2'!O14</f>
        <v>103.4</v>
      </c>
      <c r="J28" s="116">
        <f>SQRT(I28)*4</f>
        <v>40.67431622043572</v>
      </c>
      <c r="K28" s="116">
        <f>SUM('Tabula RefULG 2'!Z17:Z19)</f>
        <v>0.19999999999999998</v>
      </c>
      <c r="L28" s="119">
        <f>I28/(0.5*J28)</f>
        <v>5.0842895275544642</v>
      </c>
      <c r="M28" s="119">
        <f>K28+2*(1/F28)</f>
        <v>7.230952380952381</v>
      </c>
      <c r="N28" s="120">
        <f>IF(M28&lt;L28,2*2/(PI()*L28+M28)*LN(PI()*L28/M28+1),2/(0.457*L28+M28))</f>
        <v>0.20932604695571097</v>
      </c>
      <c r="O28" s="98"/>
      <c r="P28" s="96"/>
    </row>
    <row r="29" spans="1:25" ht="15.75" customHeight="1" thickTop="1" x14ac:dyDescent="0.25">
      <c r="A29" s="95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8"/>
      <c r="P29" s="96"/>
    </row>
    <row r="30" spans="1:25" ht="15" customHeight="1" x14ac:dyDescent="0.25">
      <c r="A30" s="95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6"/>
    </row>
    <row r="31" spans="1:25" ht="15" customHeight="1" x14ac:dyDescent="0.25">
      <c r="A31" s="103" t="s">
        <v>186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6"/>
      <c r="V31" s="3">
        <f>1.1*W18</f>
        <v>10327.870045325795</v>
      </c>
    </row>
    <row r="32" spans="1:25" ht="15.75" customHeight="1" thickBot="1" x14ac:dyDescent="0.3">
      <c r="A32" s="95"/>
      <c r="B32" s="58" t="s">
        <v>10</v>
      </c>
      <c r="C32" s="58" t="s">
        <v>187</v>
      </c>
      <c r="D32" s="58" t="s">
        <v>188</v>
      </c>
      <c r="E32" s="58" t="s">
        <v>135</v>
      </c>
      <c r="F32" s="58" t="s">
        <v>189</v>
      </c>
      <c r="G32" s="58" t="s">
        <v>190</v>
      </c>
      <c r="H32" s="58" t="s">
        <v>191</v>
      </c>
      <c r="I32" s="58" t="s">
        <v>16</v>
      </c>
      <c r="J32" s="114" t="s">
        <v>17</v>
      </c>
      <c r="K32" s="114" t="s">
        <v>175</v>
      </c>
      <c r="L32" s="98"/>
      <c r="M32" s="98"/>
      <c r="N32" s="98"/>
      <c r="O32" s="98"/>
      <c r="P32" s="96"/>
    </row>
    <row r="33" spans="1:16" ht="16.5" customHeight="1" thickTop="1" thickBot="1" x14ac:dyDescent="0.3">
      <c r="A33" s="95"/>
      <c r="B33" s="121" t="s">
        <v>98</v>
      </c>
      <c r="C33" s="122">
        <f>IF(VLOOKUP(B33,'Tabula RefULG 2'!$K$5:$R$83,2,0)=B$6,VLOOKUP(B33,'Tabula RefULG 2'!$K$5:$R$83,2,0),VLOOKUP(B33,'Tabula RefULG 2'!$K$5:$R$83,3,0))</f>
        <v>1</v>
      </c>
      <c r="D33" s="122">
        <f>IF(VLOOKUP(B33,'Tabula RefULG 2'!$K$5:$R$83,2,0)=B$6,VLOOKUP(B33,'Tabula RefULG 2'!$K$5:$R$83,3,0),VLOOKUP(B33,'Tabula RefULG 2'!$K$5:$R$83,2,0))</f>
        <v>2</v>
      </c>
      <c r="E33" s="122" t="str">
        <f>VLOOKUP(B33,'Tabula RefULG 2'!$K$5:$R$83,4,0)</f>
        <v>Floor internal</v>
      </c>
      <c r="F33" s="122">
        <f>VLOOKUP(B33,'Tabula RefULG 2'!$K$5:$R$83,5,0)</f>
        <v>89.300000000000011</v>
      </c>
      <c r="G33" s="122">
        <f>VLOOKUP('Verwarming Tabula 2zone RefULG2'!C33,'Tabula RefULG 2'!$A$34:$F$45,5,0)</f>
        <v>21</v>
      </c>
      <c r="H33" s="122">
        <f>VLOOKUP('Verwarming Tabula 2zone RefULG2'!D33,'Tabula RefULG 2'!$A$34:$F$45,5,0)</f>
        <v>18</v>
      </c>
      <c r="I33" s="122">
        <f>VLOOKUP(B33,'Tabula RefULG 2'!$K$5:$R$83,7,0)</f>
        <v>1.0482529118136439</v>
      </c>
      <c r="J33" s="118">
        <f>VLOOKUP(B33,'Tabula RefULG 2'!$K$5:$R$83,8,0)</f>
        <v>93.608985024958415</v>
      </c>
      <c r="K33" s="118">
        <f>(G33-H33)/(G33-$B$4)</f>
        <v>0.10344827586206896</v>
      </c>
      <c r="L33" s="98"/>
      <c r="M33" s="98"/>
      <c r="N33" s="98"/>
      <c r="O33" s="98"/>
      <c r="P33" s="96"/>
    </row>
    <row r="34" spans="1:16" ht="16.5" customHeight="1" thickTop="1" thickBot="1" x14ac:dyDescent="0.3">
      <c r="A34" s="95"/>
      <c r="B34" s="121" t="s">
        <v>101</v>
      </c>
      <c r="C34" s="122">
        <f>IF(VLOOKUP(B34,'Tabula RefULG 2'!$K$5:$R$83,2,0)=B$6,VLOOKUP(B34,'Tabula RefULG 2'!$K$5:$R$83,2,0),VLOOKUP(B34,'Tabula RefULG 2'!$K$5:$R$83,3,0))</f>
        <v>1</v>
      </c>
      <c r="D34" s="122">
        <f>IF(VLOOKUP(B34,'Tabula RefULG 2'!$K$5:$R$83,2,0)=B$6,VLOOKUP(B34,'Tabula RefULG 2'!$K$5:$R$83,3,0),VLOOKUP(B34,'Tabula RefULG 2'!$K$5:$R$83,2,0))</f>
        <v>1</v>
      </c>
      <c r="E34" s="122" t="str">
        <f>VLOOKUP(B34,'Tabula RefULG 2'!$K$5:$R$83,4,0)</f>
        <v>Wall internal</v>
      </c>
      <c r="F34" s="122">
        <f>VLOOKUP(B34,'Tabula RefULG 2'!$K$5:$R$83,5,0)</f>
        <v>66.102142857142866</v>
      </c>
      <c r="G34" s="122">
        <f>VLOOKUP('Verwarming Tabula 2zone RefULG2'!C34,'Tabula RefULG 2'!$A$34:$F$45,5,0)</f>
        <v>21</v>
      </c>
      <c r="H34" s="122">
        <f>VLOOKUP('Verwarming Tabula 2zone RefULG2'!D34,'Tabula RefULG 2'!$A$34:$F$45,5,0)</f>
        <v>21</v>
      </c>
      <c r="I34" s="122">
        <f>VLOOKUP(B34,'Tabula RefULG 2'!$K$5:$R$83,7,0)</f>
        <v>1.210762331838565</v>
      </c>
      <c r="J34" s="118">
        <f>VLOOKUP(B34,'Tabula RefULG 2'!$K$5:$R$83,8,0)</f>
        <v>80.033984625240237</v>
      </c>
      <c r="K34" s="118">
        <f>(G34-H34)/(G34-$B$4)</f>
        <v>0</v>
      </c>
      <c r="L34" s="98"/>
      <c r="M34" s="98"/>
      <c r="N34" s="98"/>
      <c r="O34" s="98"/>
      <c r="P34" s="96"/>
    </row>
    <row r="35" spans="1:16" ht="16.5" customHeight="1" thickTop="1" thickBot="1" x14ac:dyDescent="0.3">
      <c r="A35" s="95"/>
      <c r="B35" s="121"/>
      <c r="C35" s="122"/>
      <c r="D35" s="122"/>
      <c r="E35" s="122"/>
      <c r="F35" s="122"/>
      <c r="G35" s="122"/>
      <c r="H35" s="122"/>
      <c r="I35" s="122"/>
      <c r="J35" s="118"/>
      <c r="K35" s="118"/>
      <c r="L35" s="98"/>
      <c r="M35" s="98"/>
      <c r="N35" s="98"/>
      <c r="O35" s="98"/>
      <c r="P35" s="96"/>
    </row>
    <row r="36" spans="1:16" ht="16.5" customHeight="1" thickTop="1" thickBot="1" x14ac:dyDescent="0.3">
      <c r="A36" s="95"/>
      <c r="B36" s="92"/>
      <c r="C36" s="122"/>
      <c r="D36" s="122"/>
      <c r="E36" s="122"/>
      <c r="F36" s="122"/>
      <c r="G36" s="122"/>
      <c r="H36" s="122"/>
      <c r="I36" s="122"/>
      <c r="J36" s="118"/>
      <c r="K36" s="118"/>
      <c r="L36" s="98"/>
      <c r="M36" s="98"/>
      <c r="N36" s="98"/>
      <c r="O36" s="98"/>
      <c r="P36" s="96"/>
    </row>
    <row r="37" spans="1:16" ht="16.5" customHeight="1" thickTop="1" thickBot="1" x14ac:dyDescent="0.3">
      <c r="A37" s="95"/>
      <c r="B37" s="123"/>
      <c r="C37" s="122"/>
      <c r="D37" s="122"/>
      <c r="E37" s="122"/>
      <c r="F37" s="122"/>
      <c r="G37" s="122"/>
      <c r="H37" s="122"/>
      <c r="I37" s="122"/>
      <c r="J37" s="118"/>
      <c r="K37" s="118"/>
      <c r="L37" s="98"/>
      <c r="M37" s="98"/>
      <c r="N37" s="98"/>
      <c r="O37" s="98"/>
      <c r="P37" s="96"/>
    </row>
    <row r="38" spans="1:16" ht="16.5" customHeight="1" thickTop="1" thickBot="1" x14ac:dyDescent="0.3">
      <c r="A38" s="95"/>
      <c r="B38" s="123"/>
      <c r="C38" s="122"/>
      <c r="D38" s="122"/>
      <c r="E38" s="122"/>
      <c r="F38" s="122"/>
      <c r="G38" s="122"/>
      <c r="H38" s="122"/>
      <c r="I38" s="122"/>
      <c r="J38" s="118"/>
      <c r="K38" s="118"/>
      <c r="L38" s="98"/>
      <c r="M38" s="98"/>
      <c r="N38" s="98"/>
      <c r="O38" s="98"/>
      <c r="P38" s="96"/>
    </row>
    <row r="39" spans="1:16" ht="15.75" customHeight="1" thickTop="1" x14ac:dyDescent="0.25">
      <c r="A39" s="95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8"/>
      <c r="M39" s="98"/>
      <c r="N39" s="98"/>
      <c r="O39" s="98"/>
      <c r="P39" s="96"/>
    </row>
    <row r="40" spans="1:16" ht="15" customHeight="1" x14ac:dyDescent="0.25">
      <c r="A40" s="95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6"/>
    </row>
    <row r="41" spans="1:16" ht="15.75" customHeight="1" x14ac:dyDescent="0.25">
      <c r="A41" s="103" t="s">
        <v>192</v>
      </c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6"/>
    </row>
    <row r="42" spans="1:16" ht="16.5" customHeight="1" x14ac:dyDescent="0.25">
      <c r="A42" s="124" t="s">
        <v>193</v>
      </c>
      <c r="B42" s="118">
        <f>SUMPRODUCT(H12:H22,I12:I22)+SUMPRODUCT(G28,H28)+SUMPRODUCT(J33:J38,K33:K38)</f>
        <v>110.87604710495542</v>
      </c>
      <c r="C42" s="118" t="s">
        <v>107</v>
      </c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6"/>
    </row>
    <row r="43" spans="1:16" ht="16.5" customHeight="1" x14ac:dyDescent="0.25">
      <c r="A43" s="124" t="s">
        <v>167</v>
      </c>
      <c r="B43" s="118">
        <f>B42*(G33-$B$4)</f>
        <v>3215.4053660437071</v>
      </c>
      <c r="C43" s="118" t="s">
        <v>169</v>
      </c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6"/>
    </row>
    <row r="44" spans="1:16" ht="15.75" customHeight="1" thickBot="1" x14ac:dyDescent="0.3">
      <c r="A44" s="109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1"/>
    </row>
    <row r="45" spans="1:16" ht="15.75" customHeight="1" thickTop="1" x14ac:dyDescent="0.25">
      <c r="A45" s="343" t="s">
        <v>194</v>
      </c>
      <c r="B45" s="343"/>
      <c r="C45" s="343"/>
      <c r="D45" s="125"/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94"/>
    </row>
    <row r="46" spans="1:16" ht="15" customHeight="1" x14ac:dyDescent="0.25">
      <c r="A46" s="95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6"/>
    </row>
    <row r="47" spans="1:16" ht="15" customHeight="1" thickBot="1" x14ac:dyDescent="0.3">
      <c r="A47" s="126" t="s">
        <v>195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6"/>
    </row>
    <row r="48" spans="1:16" ht="15" customHeight="1" thickTop="1" thickBot="1" x14ac:dyDescent="0.3">
      <c r="A48" s="127" t="s">
        <v>196</v>
      </c>
      <c r="B48" s="121">
        <f>'Tabula data'!E34</f>
        <v>3.9941548952752073</v>
      </c>
      <c r="C48" s="120" t="s">
        <v>197</v>
      </c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6"/>
    </row>
    <row r="49" spans="1:16" ht="15" customHeight="1" thickTop="1" thickBot="1" x14ac:dyDescent="0.3">
      <c r="A49" s="127" t="s">
        <v>198</v>
      </c>
      <c r="B49" s="121">
        <v>0.03</v>
      </c>
      <c r="C49" s="120" t="s">
        <v>199</v>
      </c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6"/>
    </row>
    <row r="50" spans="1:16" ht="15.75" customHeight="1" thickTop="1" thickBot="1" x14ac:dyDescent="0.3">
      <c r="A50" s="127" t="s">
        <v>200</v>
      </c>
      <c r="B50" s="121">
        <v>1</v>
      </c>
      <c r="C50" s="120" t="s">
        <v>201</v>
      </c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6"/>
    </row>
    <row r="51" spans="1:16" ht="16.5" customHeight="1" thickTop="1" x14ac:dyDescent="0.25">
      <c r="A51" s="124" t="s">
        <v>202</v>
      </c>
      <c r="B51" s="118">
        <f>VLOOKUP(B6,'Tabula RefULG 2'!$A$34:$F$45,2,0)*B48/20</f>
        <v>72.274232830004877</v>
      </c>
      <c r="C51" s="118" t="s">
        <v>203</v>
      </c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6"/>
    </row>
    <row r="52" spans="1:16" ht="15.75" customHeight="1" x14ac:dyDescent="0.25">
      <c r="A52" s="95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6"/>
    </row>
    <row r="53" spans="1:16" ht="15" customHeight="1" x14ac:dyDescent="0.25">
      <c r="A53" s="126" t="s">
        <v>204</v>
      </c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6"/>
    </row>
    <row r="54" spans="1:16" ht="15.75" customHeight="1" x14ac:dyDescent="0.25">
      <c r="A54" s="95" t="s">
        <v>180</v>
      </c>
      <c r="B54" s="98">
        <f>'Tabula RefULG 2'!G34</f>
        <v>103.4</v>
      </c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6"/>
    </row>
    <row r="55" spans="1:16" ht="16.5" customHeight="1" x14ac:dyDescent="0.25">
      <c r="A55" s="124" t="s">
        <v>205</v>
      </c>
      <c r="B55" s="128">
        <v>0</v>
      </c>
      <c r="C55" s="118" t="s">
        <v>203</v>
      </c>
      <c r="D55" s="98"/>
      <c r="E55" s="98" t="s">
        <v>206</v>
      </c>
      <c r="F55" s="98">
        <v>0</v>
      </c>
      <c r="G55" s="98"/>
      <c r="H55" s="98"/>
      <c r="I55" s="98"/>
      <c r="J55" s="98"/>
      <c r="K55" s="98"/>
      <c r="L55" s="98"/>
      <c r="M55" s="98"/>
      <c r="N55" s="98"/>
      <c r="O55" s="98"/>
      <c r="P55" s="96"/>
    </row>
    <row r="56" spans="1:16" ht="15.75" customHeight="1" x14ac:dyDescent="0.25">
      <c r="A56" s="95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6"/>
    </row>
    <row r="57" spans="1:16" ht="15.75" customHeight="1" x14ac:dyDescent="0.25">
      <c r="A57" s="95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6"/>
    </row>
    <row r="58" spans="1:16" ht="16.5" customHeight="1" x14ac:dyDescent="0.25">
      <c r="A58" s="124" t="s">
        <v>207</v>
      </c>
      <c r="B58" s="118">
        <f>B51+B55</f>
        <v>72.274232830004877</v>
      </c>
      <c r="C58" s="118" t="s">
        <v>203</v>
      </c>
      <c r="D58" s="98"/>
      <c r="E58" s="98"/>
      <c r="F58" s="118" t="s">
        <v>208</v>
      </c>
      <c r="G58" s="118">
        <f>B58/VLOOKUP(B6,'Gebouwgegevens Allacker'!$A$35:$B$46,2,0)</f>
        <v>0.34827263051630614</v>
      </c>
      <c r="H58" s="98"/>
      <c r="I58" s="98"/>
      <c r="J58" s="98"/>
      <c r="K58" s="98"/>
      <c r="L58" s="98"/>
      <c r="M58" s="98"/>
      <c r="N58" s="98"/>
      <c r="O58" s="98"/>
      <c r="P58" s="96"/>
    </row>
    <row r="59" spans="1:16" ht="16.5" customHeight="1" x14ac:dyDescent="0.25">
      <c r="A59" s="95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6"/>
    </row>
    <row r="60" spans="1:16" ht="16.5" customHeight="1" x14ac:dyDescent="0.25">
      <c r="A60" s="124" t="s">
        <v>209</v>
      </c>
      <c r="B60" s="118">
        <f>0.34*B58</f>
        <v>24.573239162201659</v>
      </c>
      <c r="C60" s="118" t="s">
        <v>107</v>
      </c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6"/>
    </row>
    <row r="61" spans="1:16" ht="16.5" customHeight="1" x14ac:dyDescent="0.25">
      <c r="A61" s="124" t="s">
        <v>167</v>
      </c>
      <c r="B61" s="118">
        <f>B60*('Gebouwgegevens Tabula'!E35-$B$4)</f>
        <v>712.62393570384813</v>
      </c>
      <c r="C61" s="118" t="s">
        <v>169</v>
      </c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6"/>
    </row>
    <row r="62" spans="1:16" ht="15.75" customHeight="1" thickBot="1" x14ac:dyDescent="0.3">
      <c r="A62" s="109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6" ht="15.75" customHeight="1" thickTop="1" x14ac:dyDescent="0.25">
      <c r="A63" s="343" t="s">
        <v>210</v>
      </c>
      <c r="B63" s="343"/>
      <c r="C63" s="343"/>
      <c r="D63" s="343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6"/>
    </row>
    <row r="64" spans="1:16" ht="15" customHeight="1" thickBot="1" x14ac:dyDescent="0.3">
      <c r="A64" s="95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6"/>
    </row>
    <row r="65" spans="1:16" ht="15" customHeight="1" thickTop="1" thickBot="1" x14ac:dyDescent="0.3">
      <c r="A65" s="127" t="s">
        <v>211</v>
      </c>
      <c r="B65" s="121">
        <v>11</v>
      </c>
      <c r="C65" s="58" t="s">
        <v>212</v>
      </c>
      <c r="D65" s="5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6"/>
    </row>
    <row r="66" spans="1:16" ht="15.75" customHeight="1" thickTop="1" thickBot="1" x14ac:dyDescent="0.3">
      <c r="A66" s="127" t="s">
        <v>113</v>
      </c>
      <c r="B66" s="121">
        <f>'Tabula RefULG 2'!B7</f>
        <v>103.4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6"/>
    </row>
    <row r="67" spans="1:16" ht="16.5" customHeight="1" thickTop="1" x14ac:dyDescent="0.25">
      <c r="A67" s="124" t="s">
        <v>213</v>
      </c>
      <c r="B67" s="118">
        <f>B68/('Gebouwgegevens Tabula'!E35-'Verwarming Tabula 2zone RefULG2'!$B$4)</f>
        <v>39.220689655172414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6"/>
    </row>
    <row r="68" spans="1:16" ht="16.5" customHeight="1" x14ac:dyDescent="0.25">
      <c r="A68" s="124" t="s">
        <v>167</v>
      </c>
      <c r="B68" s="118">
        <f>B65*B66</f>
        <v>1137.4000000000001</v>
      </c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6"/>
    </row>
    <row r="69" spans="1:16" ht="15.75" customHeight="1" x14ac:dyDescent="0.25">
      <c r="A69" s="95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6"/>
    </row>
    <row r="70" spans="1:16" ht="15.75" customHeight="1" thickBot="1" x14ac:dyDescent="0.3">
      <c r="A70" s="95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6"/>
    </row>
    <row r="71" spans="1:16" ht="15.75" customHeight="1" thickTop="1" thickBot="1" x14ac:dyDescent="0.3">
      <c r="A71" s="129" t="s">
        <v>214</v>
      </c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1"/>
    </row>
    <row r="72" spans="1:16" ht="16.5" customHeight="1" thickTop="1" x14ac:dyDescent="0.25">
      <c r="A72" s="124" t="s">
        <v>215</v>
      </c>
      <c r="B72" s="118">
        <f>SUM(B42,B60,B67)</f>
        <v>174.66997592232948</v>
      </c>
      <c r="C72" s="118" t="s">
        <v>107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3"/>
    </row>
    <row r="73" spans="1:16" ht="16.5" customHeight="1" x14ac:dyDescent="0.25">
      <c r="A73" s="124" t="s">
        <v>167</v>
      </c>
      <c r="B73" s="118">
        <f>SUM(B43,B61,B68)</f>
        <v>5065.4293017475557</v>
      </c>
      <c r="C73" s="118" t="s">
        <v>169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3"/>
    </row>
    <row r="74" spans="1:16" ht="16.5" customHeight="1" thickBot="1" x14ac:dyDescent="0.3">
      <c r="A74" s="134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6"/>
    </row>
    <row r="75" spans="1:16" ht="15" customHeight="1" thickTop="1" x14ac:dyDescent="0.25">
      <c r="A75" s="137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</row>
    <row r="76" spans="1:16" ht="15.75" customHeight="1" thickBot="1" x14ac:dyDescent="0.3">
      <c r="A76" s="137"/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</row>
    <row r="77" spans="1:16" ht="15" customHeight="1" thickTop="1" thickBot="1" x14ac:dyDescent="0.3">
      <c r="A77" s="93"/>
      <c r="B77" s="328"/>
      <c r="C77" s="328"/>
      <c r="D77" s="328"/>
      <c r="E77" s="328"/>
      <c r="F77" s="328"/>
      <c r="G77" s="328"/>
      <c r="H77" s="328"/>
      <c r="I77" s="328"/>
      <c r="J77" s="328"/>
      <c r="K77" s="328"/>
      <c r="L77" s="328"/>
      <c r="M77" s="328"/>
      <c r="N77" s="328"/>
      <c r="O77" s="328"/>
      <c r="P77" s="94"/>
    </row>
    <row r="78" spans="1:16" ht="17.25" customHeight="1" thickTop="1" thickBot="1" x14ac:dyDescent="0.35">
      <c r="A78" s="97" t="s">
        <v>166</v>
      </c>
      <c r="B78" s="92">
        <v>2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6"/>
    </row>
    <row r="79" spans="1:16" ht="15.75" customHeight="1" thickTop="1" x14ac:dyDescent="0.25">
      <c r="A79" s="343" t="s">
        <v>168</v>
      </c>
      <c r="B79" s="343"/>
      <c r="C79" s="343"/>
      <c r="D79" s="343"/>
      <c r="E79" s="328"/>
      <c r="F79" s="328"/>
      <c r="G79" s="328"/>
      <c r="H79" s="328"/>
      <c r="I79" s="328"/>
      <c r="J79" s="328"/>
      <c r="K79" s="328"/>
      <c r="L79" s="328"/>
      <c r="M79" s="328"/>
      <c r="N79" s="328"/>
      <c r="O79" s="328"/>
      <c r="P79" s="94"/>
    </row>
    <row r="80" spans="1:16" ht="15" customHeight="1" x14ac:dyDescent="0.25">
      <c r="A80" s="95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6"/>
    </row>
    <row r="81" spans="1:16" ht="15" customHeight="1" x14ac:dyDescent="0.25">
      <c r="A81" s="103" t="s">
        <v>170</v>
      </c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6"/>
    </row>
    <row r="82" spans="1:16" ht="15" customHeight="1" x14ac:dyDescent="0.25">
      <c r="A82" s="95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6"/>
    </row>
    <row r="83" spans="1:16" ht="15.75" customHeight="1" thickBot="1" x14ac:dyDescent="0.3">
      <c r="A83" s="95"/>
      <c r="B83" s="104" t="s">
        <v>10</v>
      </c>
      <c r="C83" s="104" t="s">
        <v>171</v>
      </c>
      <c r="D83" s="104" t="s">
        <v>172</v>
      </c>
      <c r="E83" s="104" t="s">
        <v>173</v>
      </c>
      <c r="F83" s="104" t="s">
        <v>174</v>
      </c>
      <c r="G83" s="104" t="s">
        <v>16</v>
      </c>
      <c r="H83" s="105" t="s">
        <v>17</v>
      </c>
      <c r="I83" s="105" t="s">
        <v>175</v>
      </c>
      <c r="J83" s="98"/>
      <c r="K83" s="98"/>
      <c r="L83" s="98"/>
      <c r="M83" s="98"/>
      <c r="N83" s="98"/>
      <c r="O83" s="98"/>
      <c r="P83" s="96"/>
    </row>
    <row r="84" spans="1:16" ht="16.5" customHeight="1" thickTop="1" thickBot="1" x14ac:dyDescent="0.3">
      <c r="A84" s="95"/>
      <c r="B84" s="106" t="s">
        <v>71</v>
      </c>
      <c r="C84" s="107">
        <f>VLOOKUP(B84,'Tabula RefULG 2'!$K$5:$R$83,3,0)</f>
        <v>2</v>
      </c>
      <c r="D84" s="107" t="str">
        <f>VLOOKUP(B84,'Tabula RefULG 2'!$K$5:$R$83,4,0)</f>
        <v>Wall External</v>
      </c>
      <c r="E84" s="107">
        <f>VLOOKUP(B84,'Tabula RefULG 2'!$K$5:$R$83,5,0)</f>
        <v>20.516529727733833</v>
      </c>
      <c r="F84" s="107" t="str">
        <f>VLOOKUP(B84,'Tabula RefULG 2'!$K$5:$R$83,6,0)</f>
        <v>front</v>
      </c>
      <c r="G84" s="107">
        <f>VLOOKUP(B84,'Tabula RefULG 2'!$K$5:$R$83,7,0)</f>
        <v>0.36462385321100915</v>
      </c>
      <c r="H84" s="108">
        <f>VLOOKUP(B84,'Tabula RefULG 2'!$K$5:$R$83,8,0)</f>
        <v>7.4808161238445265</v>
      </c>
      <c r="I84" s="108">
        <v>1</v>
      </c>
      <c r="J84" s="98"/>
      <c r="K84" s="98"/>
      <c r="L84" s="98"/>
      <c r="M84" s="98"/>
      <c r="N84" s="98"/>
      <c r="O84" s="98"/>
      <c r="P84" s="96"/>
    </row>
    <row r="85" spans="1:16" ht="16.5" customHeight="1" thickTop="1" thickBot="1" x14ac:dyDescent="0.3">
      <c r="A85" s="95"/>
      <c r="B85" s="106" t="s">
        <v>75</v>
      </c>
      <c r="C85" s="107">
        <f>VLOOKUP(B85,'Tabula RefULG 2'!$K$5:$R$83,3,0)</f>
        <v>2</v>
      </c>
      <c r="D85" s="107" t="str">
        <f>VLOOKUP(B85,'Tabula RefULG 2'!$K$5:$R$83,4,0)</f>
        <v>Wall External</v>
      </c>
      <c r="E85" s="107">
        <f>VLOOKUP(B85,'Tabula RefULG 2'!$K$5:$R$83,5,0)</f>
        <v>36.064797687389479</v>
      </c>
      <c r="F85" s="107" t="str">
        <f>VLOOKUP(B85,'Tabula RefULG 2'!$K$5:$R$83,6,0)</f>
        <v>right</v>
      </c>
      <c r="G85" s="107">
        <f>VLOOKUP(B85,'Tabula RefULG 2'!$K$5:$R$83,7,0)</f>
        <v>0.36462385321100915</v>
      </c>
      <c r="H85" s="108">
        <f>VLOOKUP(B85,'Tabula RefULG 2'!$K$5:$R$83,8,0)</f>
        <v>13.150085498051444</v>
      </c>
      <c r="I85" s="108">
        <v>1</v>
      </c>
      <c r="J85" s="98"/>
      <c r="K85" s="98"/>
      <c r="L85" s="98"/>
      <c r="M85" s="98"/>
      <c r="N85" s="98"/>
      <c r="O85" s="98"/>
      <c r="P85" s="96"/>
    </row>
    <row r="86" spans="1:16" ht="16.5" customHeight="1" thickTop="1" thickBot="1" x14ac:dyDescent="0.3">
      <c r="A86" s="95"/>
      <c r="B86" s="106" t="s">
        <v>79</v>
      </c>
      <c r="C86" s="107">
        <f>VLOOKUP(B86,'Tabula RefULG 2'!$K$5:$R$83,3,0)</f>
        <v>2</v>
      </c>
      <c r="D86" s="107" t="str">
        <f>VLOOKUP(B86,'Tabula RefULG 2'!$K$5:$R$83,4,0)</f>
        <v>Wall External</v>
      </c>
      <c r="E86" s="107">
        <f>VLOOKUP(B86,'Tabula RefULG 2'!$K$5:$R$83,5,0)</f>
        <v>20.516529727733833</v>
      </c>
      <c r="F86" s="107" t="str">
        <f>VLOOKUP(B86,'Tabula RefULG 2'!$K$5:$R$83,6,0)</f>
        <v>back</v>
      </c>
      <c r="G86" s="107">
        <f>VLOOKUP(B86,'Tabula RefULG 2'!$K$5:$R$83,7,0)</f>
        <v>0.36462385321100915</v>
      </c>
      <c r="H86" s="108">
        <f>VLOOKUP(B86,'Tabula RefULG 2'!$K$5:$R$83,8,0)</f>
        <v>7.4808161238445265</v>
      </c>
      <c r="I86" s="108">
        <v>1</v>
      </c>
      <c r="J86" s="98"/>
      <c r="K86" s="98"/>
      <c r="L86" s="98"/>
      <c r="M86" s="98"/>
      <c r="N86" s="98"/>
      <c r="O86" s="98"/>
      <c r="P86" s="96"/>
    </row>
    <row r="87" spans="1:16" ht="16.5" customHeight="1" thickTop="1" thickBot="1" x14ac:dyDescent="0.3">
      <c r="A87" s="95"/>
      <c r="B87" s="106" t="s">
        <v>82</v>
      </c>
      <c r="C87" s="107">
        <f>VLOOKUP(B87,'Tabula RefULG 2'!$K$5:$R$83,3,0)</f>
        <v>2</v>
      </c>
      <c r="D87" s="107" t="str">
        <f>VLOOKUP(B87,'Tabula RefULG 2'!$K$5:$R$83,4,0)</f>
        <v>Wall External</v>
      </c>
      <c r="E87" s="107">
        <f>VLOOKUP(B87,'Tabula RefULG 2'!$K$5:$R$83,5,0)</f>
        <v>0</v>
      </c>
      <c r="F87" s="107" t="str">
        <f>VLOOKUP(B87,'Tabula RefULG 2'!$K$5:$R$83,6,0)</f>
        <v>left</v>
      </c>
      <c r="G87" s="107">
        <f>VLOOKUP(B87,'Tabula RefULG 2'!$K$5:$R$83,7,0)</f>
        <v>0.36462385321100915</v>
      </c>
      <c r="H87" s="108">
        <f>VLOOKUP(B87,'Tabula RefULG 2'!$K$5:$R$83,8,0)</f>
        <v>0</v>
      </c>
      <c r="I87" s="108">
        <v>1</v>
      </c>
      <c r="J87" s="98"/>
      <c r="K87" s="98"/>
      <c r="L87" s="98"/>
      <c r="M87" s="98"/>
      <c r="N87" s="98"/>
      <c r="O87" s="98"/>
      <c r="P87" s="96"/>
    </row>
    <row r="88" spans="1:16" ht="16.5" customHeight="1" thickTop="1" thickBot="1" x14ac:dyDescent="0.3">
      <c r="A88" s="95"/>
      <c r="B88" s="106" t="s">
        <v>84</v>
      </c>
      <c r="C88" s="107">
        <f>VLOOKUP(B88,'Tabula RefULG 2'!$K$5:$R$83,3,0)</f>
        <v>2</v>
      </c>
      <c r="D88" s="107" t="str">
        <f>VLOOKUP(B88,'Tabula RefULG 2'!$K$5:$R$83,4,0)</f>
        <v>Window</v>
      </c>
      <c r="E88" s="107">
        <f>VLOOKUP(B88,'Tabula RefULG 2'!$K$5:$R$83,5,0)</f>
        <v>4.05</v>
      </c>
      <c r="F88" s="107" t="str">
        <f>VLOOKUP(B88,'Tabula RefULG 2'!$K$5:$R$83,6,0)</f>
        <v>front</v>
      </c>
      <c r="G88" s="107">
        <f>VLOOKUP(B88,'Tabula RefULG 2'!$K$5:$R$83,7,0)</f>
        <v>2</v>
      </c>
      <c r="H88" s="108">
        <f>VLOOKUP(B88,'Tabula RefULG 2'!$K$5:$R$83,8,0)</f>
        <v>8.1</v>
      </c>
      <c r="I88" s="108">
        <v>1</v>
      </c>
      <c r="J88" s="98"/>
      <c r="K88" s="98"/>
      <c r="L88" s="98"/>
      <c r="M88" s="98"/>
      <c r="N88" s="98"/>
      <c r="O88" s="98"/>
      <c r="P88" s="96"/>
    </row>
    <row r="89" spans="1:16" ht="16.5" customHeight="1" thickTop="1" thickBot="1" x14ac:dyDescent="0.3">
      <c r="A89" s="95"/>
      <c r="B89" s="106" t="s">
        <v>87</v>
      </c>
      <c r="C89" s="107">
        <f>VLOOKUP(B89,'Tabula RefULG 2'!$K$5:$R$83,3,0)</f>
        <v>2</v>
      </c>
      <c r="D89" s="107" t="str">
        <f>VLOOKUP(B89,'Tabula RefULG 2'!$K$5:$R$83,4,0)</f>
        <v>Window</v>
      </c>
      <c r="E89" s="107">
        <f>VLOOKUP(B89,'Tabula RefULG 2'!$K$5:$R$83,5,0)</f>
        <v>3.45</v>
      </c>
      <c r="F89" s="107" t="str">
        <f>VLOOKUP(B89,'Tabula RefULG 2'!$K$5:$R$83,6,0)</f>
        <v>right</v>
      </c>
      <c r="G89" s="107">
        <f>VLOOKUP(B89,'Tabula RefULG 2'!$K$5:$R$83,7,0)</f>
        <v>2</v>
      </c>
      <c r="H89" s="108">
        <f>VLOOKUP(B89,'Tabula RefULG 2'!$K$5:$R$83,8,0)</f>
        <v>6.9</v>
      </c>
      <c r="I89" s="108">
        <v>1</v>
      </c>
      <c r="J89" s="98"/>
      <c r="K89" s="98"/>
      <c r="L89" s="98"/>
      <c r="M89" s="98"/>
      <c r="N89" s="98"/>
      <c r="O89" s="98"/>
      <c r="P89" s="96"/>
    </row>
    <row r="90" spans="1:16" ht="16.5" customHeight="1" thickTop="1" thickBot="1" x14ac:dyDescent="0.3">
      <c r="A90" s="95"/>
      <c r="B90" s="106" t="s">
        <v>89</v>
      </c>
      <c r="C90" s="107">
        <f>VLOOKUP(B90,'Tabula RefULG 2'!$K$5:$R$83,3,0)</f>
        <v>2</v>
      </c>
      <c r="D90" s="107" t="str">
        <f>VLOOKUP(B90,'Tabula RefULG 2'!$K$5:$R$83,4,0)</f>
        <v>Window</v>
      </c>
      <c r="E90" s="107">
        <f>VLOOKUP(B90,'Tabula RefULG 2'!$K$5:$R$83,5,0)</f>
        <v>4.5</v>
      </c>
      <c r="F90" s="107" t="str">
        <f>VLOOKUP(B90,'Tabula RefULG 2'!$K$5:$R$83,6,0)</f>
        <v>back</v>
      </c>
      <c r="G90" s="107">
        <f>VLOOKUP(B90,'Tabula RefULG 2'!$K$5:$R$83,7,0)</f>
        <v>2</v>
      </c>
      <c r="H90" s="108">
        <f>VLOOKUP(B90,'Tabula RefULG 2'!$K$5:$R$83,8,0)</f>
        <v>9</v>
      </c>
      <c r="I90" s="108">
        <v>1</v>
      </c>
      <c r="J90" s="98"/>
      <c r="K90" s="98"/>
      <c r="L90" s="98"/>
      <c r="M90" s="98"/>
      <c r="N90" s="98"/>
      <c r="O90" s="98"/>
      <c r="P90" s="96"/>
    </row>
    <row r="91" spans="1:16" ht="16.5" customHeight="1" thickTop="1" thickBot="1" x14ac:dyDescent="0.3">
      <c r="A91" s="95"/>
      <c r="B91" s="106" t="s">
        <v>92</v>
      </c>
      <c r="C91" s="107">
        <f>VLOOKUP(B91,'Tabula RefULG 2'!$K$5:$R$83,3,0)</f>
        <v>2</v>
      </c>
      <c r="D91" s="107" t="str">
        <f>VLOOKUP(B91,'Tabula RefULG 2'!$K$5:$R$83,4,0)</f>
        <v>Window</v>
      </c>
      <c r="E91" s="107">
        <f>VLOOKUP(B91,'Tabula RefULG 2'!$K$5:$R$83,5,0)</f>
        <v>5.05</v>
      </c>
      <c r="F91" s="107" t="str">
        <f>VLOOKUP(B91,'Tabula RefULG 2'!$K$5:$R$83,6,0)</f>
        <v>left</v>
      </c>
      <c r="G91" s="107">
        <f>VLOOKUP(B91,'Tabula RefULG 2'!$K$5:$R$83,7,0)</f>
        <v>2</v>
      </c>
      <c r="H91" s="108">
        <f>VLOOKUP(B91,'Tabula RefULG 2'!$K$5:$R$83,8,0)</f>
        <v>10.1</v>
      </c>
      <c r="I91" s="108">
        <v>1</v>
      </c>
      <c r="J91" s="98"/>
      <c r="K91" s="98"/>
      <c r="L91" s="98"/>
      <c r="M91" s="98"/>
      <c r="N91" s="98"/>
      <c r="O91" s="98"/>
      <c r="P91" s="96"/>
    </row>
    <row r="92" spans="1:16" ht="16.5" customHeight="1" thickTop="1" thickBot="1" x14ac:dyDescent="0.3">
      <c r="A92" s="95"/>
      <c r="B92" s="106" t="s">
        <v>96</v>
      </c>
      <c r="C92" s="107">
        <f>VLOOKUP(B92,'Tabula RefULG 2'!$K$5:$R$83,3,0)</f>
        <v>2</v>
      </c>
      <c r="D92" s="107" t="str">
        <f>VLOOKUP(B92,'Tabula RefULG 2'!$K$5:$R$83,4,0)</f>
        <v>Roof</v>
      </c>
      <c r="E92" s="107">
        <f>VLOOKUP(B92,'Tabula RefULG 2'!$K$5:$R$83,5,0)</f>
        <v>108.5</v>
      </c>
      <c r="F92" s="107" t="str">
        <f>VLOOKUP(B92,'Tabula RefULG 2'!$K$5:$R$83,6,0)</f>
        <v>front/back</v>
      </c>
      <c r="G92" s="107">
        <f>VLOOKUP(B92,'Tabula RefULG 2'!$K$5:$R$83,7,0)</f>
        <v>0.27062537995411134</v>
      </c>
      <c r="H92" s="108">
        <f>VLOOKUP(B92,'Tabula RefULG 2'!$K$5:$R$83,8,0)</f>
        <v>29.362853725021083</v>
      </c>
      <c r="I92" s="108">
        <v>1</v>
      </c>
      <c r="J92" s="98"/>
      <c r="K92" s="98"/>
      <c r="L92" s="98"/>
      <c r="M92" s="98"/>
      <c r="N92" s="98"/>
      <c r="O92" s="98"/>
      <c r="P92" s="96"/>
    </row>
    <row r="93" spans="1:16" ht="16.5" customHeight="1" thickTop="1" thickBot="1" x14ac:dyDescent="0.3">
      <c r="A93" s="95"/>
      <c r="B93" s="106"/>
      <c r="C93" s="107"/>
      <c r="D93" s="107"/>
      <c r="E93" s="107"/>
      <c r="F93" s="107"/>
      <c r="G93" s="107"/>
      <c r="H93" s="108"/>
      <c r="I93" s="108"/>
      <c r="J93" s="98"/>
      <c r="K93" s="98"/>
      <c r="L93" s="98"/>
      <c r="M93" s="98"/>
      <c r="N93" s="98"/>
      <c r="O93" s="98"/>
      <c r="P93" s="96"/>
    </row>
    <row r="94" spans="1:16" ht="16.5" customHeight="1" thickTop="1" thickBot="1" x14ac:dyDescent="0.3">
      <c r="A94" s="95"/>
      <c r="B94" s="106"/>
      <c r="C94" s="107"/>
      <c r="D94" s="107"/>
      <c r="E94" s="107"/>
      <c r="F94" s="107"/>
      <c r="G94" s="107"/>
      <c r="H94" s="108"/>
      <c r="I94" s="108"/>
      <c r="J94" s="98"/>
      <c r="K94" s="98"/>
      <c r="L94" s="98"/>
      <c r="M94" s="98"/>
      <c r="N94" s="98"/>
      <c r="O94" s="98"/>
      <c r="P94" s="96"/>
    </row>
    <row r="95" spans="1:16" ht="16.5" customHeight="1" thickTop="1" thickBot="1" x14ac:dyDescent="0.3">
      <c r="A95" s="95"/>
      <c r="B95" s="106"/>
      <c r="C95" s="107"/>
      <c r="D95" s="107"/>
      <c r="E95" s="107"/>
      <c r="F95" s="107"/>
      <c r="G95" s="107"/>
      <c r="H95" s="108"/>
      <c r="I95" s="108"/>
      <c r="J95" s="98"/>
      <c r="K95" s="98"/>
      <c r="L95" s="98"/>
      <c r="M95" s="98"/>
      <c r="N95" s="98"/>
      <c r="O95" s="98"/>
      <c r="P95" s="96"/>
    </row>
    <row r="96" spans="1:16" ht="15.75" customHeight="1" thickTop="1" x14ac:dyDescent="0.25">
      <c r="A96" s="95"/>
      <c r="B96" s="58"/>
      <c r="C96" s="58"/>
      <c r="D96" s="58"/>
      <c r="E96" s="58"/>
      <c r="F96" s="58"/>
      <c r="G96" s="114"/>
      <c r="H96" s="58"/>
      <c r="I96" s="58"/>
      <c r="J96" s="98"/>
      <c r="K96" s="98"/>
      <c r="L96" s="98"/>
      <c r="M96" s="98"/>
      <c r="N96" s="98"/>
      <c r="O96" s="98"/>
      <c r="P96" s="96"/>
    </row>
    <row r="97" spans="1:16" ht="15" customHeight="1" x14ac:dyDescent="0.25">
      <c r="A97" s="95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6"/>
    </row>
    <row r="98" spans="1:16" ht="15" customHeight="1" x14ac:dyDescent="0.25">
      <c r="A98" s="103" t="s">
        <v>177</v>
      </c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6"/>
    </row>
    <row r="99" spans="1:16" ht="15.75" customHeight="1" x14ac:dyDescent="0.25">
      <c r="A99" s="95"/>
      <c r="B99" s="58" t="s">
        <v>10</v>
      </c>
      <c r="C99" s="58" t="s">
        <v>178</v>
      </c>
      <c r="D99" s="58" t="s">
        <v>172</v>
      </c>
      <c r="E99" s="58" t="s">
        <v>179</v>
      </c>
      <c r="F99" s="58" t="s">
        <v>16</v>
      </c>
      <c r="G99" s="114" t="s">
        <v>17</v>
      </c>
      <c r="H99" s="114" t="s">
        <v>175</v>
      </c>
      <c r="I99" s="58" t="s">
        <v>180</v>
      </c>
      <c r="J99" s="58" t="s">
        <v>181</v>
      </c>
      <c r="K99" s="58" t="s">
        <v>182</v>
      </c>
      <c r="L99" s="115" t="s">
        <v>183</v>
      </c>
      <c r="M99" s="115" t="s">
        <v>184</v>
      </c>
      <c r="N99" s="115" t="s">
        <v>185</v>
      </c>
      <c r="O99" s="98"/>
      <c r="P99" s="96"/>
    </row>
    <row r="100" spans="1:16" ht="18.75" customHeight="1" thickBot="1" x14ac:dyDescent="0.3">
      <c r="A100" s="95"/>
      <c r="B100" s="116"/>
      <c r="C100" s="117"/>
      <c r="D100" s="117"/>
      <c r="E100" s="117"/>
      <c r="F100" s="117"/>
      <c r="G100" s="118"/>
      <c r="H100" s="118"/>
      <c r="I100" s="117"/>
      <c r="J100" s="116"/>
      <c r="K100" s="116"/>
      <c r="L100" s="119"/>
      <c r="M100" s="119"/>
      <c r="N100" s="120"/>
      <c r="O100" s="98"/>
      <c r="P100" s="96"/>
    </row>
    <row r="101" spans="1:16" ht="18.75" customHeight="1" thickTop="1" thickBot="1" x14ac:dyDescent="0.3">
      <c r="A101" s="95"/>
      <c r="B101" s="116"/>
      <c r="C101" s="117"/>
      <c r="D101" s="117"/>
      <c r="E101" s="117"/>
      <c r="F101" s="117"/>
      <c r="G101" s="118"/>
      <c r="H101" s="118"/>
      <c r="I101" s="117"/>
      <c r="J101" s="116"/>
      <c r="K101" s="116"/>
      <c r="L101" s="119"/>
      <c r="M101" s="119"/>
      <c r="N101" s="120"/>
      <c r="O101" s="98"/>
      <c r="P101" s="96"/>
    </row>
    <row r="102" spans="1:16" ht="18.75" customHeight="1" thickTop="1" thickBot="1" x14ac:dyDescent="0.3">
      <c r="A102" s="95"/>
      <c r="B102" s="116"/>
      <c r="C102" s="117"/>
      <c r="D102" s="117"/>
      <c r="E102" s="117"/>
      <c r="F102" s="117"/>
      <c r="G102" s="118"/>
      <c r="H102" s="118"/>
      <c r="I102" s="117"/>
      <c r="J102" s="116"/>
      <c r="K102" s="116"/>
      <c r="L102" s="119"/>
      <c r="M102" s="119"/>
      <c r="N102" s="120"/>
      <c r="O102" s="98"/>
      <c r="P102" s="96"/>
    </row>
    <row r="103" spans="1:16" ht="18.75" customHeight="1" thickTop="1" thickBot="1" x14ac:dyDescent="0.3">
      <c r="A103" s="95"/>
      <c r="B103" s="116"/>
      <c r="C103" s="117"/>
      <c r="D103" s="117"/>
      <c r="E103" s="117"/>
      <c r="F103" s="117"/>
      <c r="G103" s="118"/>
      <c r="H103" s="118"/>
      <c r="I103" s="117"/>
      <c r="J103" s="116"/>
      <c r="K103" s="116"/>
      <c r="L103" s="119"/>
      <c r="M103" s="119"/>
      <c r="N103" s="120"/>
      <c r="O103" s="98"/>
      <c r="P103" s="96"/>
    </row>
    <row r="104" spans="1:16" ht="16.5" customHeight="1" thickTop="1" thickBot="1" x14ac:dyDescent="0.3">
      <c r="A104" s="138"/>
      <c r="B104" s="116"/>
      <c r="C104" s="117"/>
      <c r="D104" s="117"/>
      <c r="E104" s="117"/>
      <c r="F104" s="117"/>
      <c r="G104" s="118"/>
      <c r="H104" s="118"/>
      <c r="I104" s="117"/>
      <c r="J104" s="116"/>
      <c r="K104" s="116"/>
      <c r="L104" s="119"/>
      <c r="M104" s="119"/>
      <c r="N104" s="120"/>
      <c r="O104" s="98"/>
      <c r="P104" s="96"/>
    </row>
    <row r="105" spans="1:16" ht="15.75" customHeight="1" thickTop="1" x14ac:dyDescent="0.25">
      <c r="A105" s="95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6"/>
    </row>
    <row r="106" spans="1:16" ht="15" customHeight="1" x14ac:dyDescent="0.25">
      <c r="A106" s="103" t="s">
        <v>186</v>
      </c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6"/>
    </row>
    <row r="107" spans="1:16" ht="15.75" customHeight="1" thickBot="1" x14ac:dyDescent="0.3">
      <c r="A107" s="95"/>
      <c r="B107" s="58" t="s">
        <v>10</v>
      </c>
      <c r="C107" s="58" t="s">
        <v>187</v>
      </c>
      <c r="D107" s="58" t="s">
        <v>188</v>
      </c>
      <c r="E107" s="58" t="s">
        <v>135</v>
      </c>
      <c r="F107" s="58" t="s">
        <v>189</v>
      </c>
      <c r="G107" s="58" t="s">
        <v>190</v>
      </c>
      <c r="H107" s="58" t="s">
        <v>191</v>
      </c>
      <c r="I107" s="58" t="s">
        <v>16</v>
      </c>
      <c r="J107" s="114" t="s">
        <v>17</v>
      </c>
      <c r="K107" s="114" t="s">
        <v>175</v>
      </c>
      <c r="L107" s="98"/>
      <c r="M107" s="98"/>
      <c r="N107" s="98"/>
      <c r="O107" s="98"/>
      <c r="P107" s="96"/>
    </row>
    <row r="108" spans="1:16" ht="16.5" customHeight="1" thickTop="1" thickBot="1" x14ac:dyDescent="0.3">
      <c r="A108" s="95"/>
      <c r="B108" s="121" t="s">
        <v>98</v>
      </c>
      <c r="C108" s="122">
        <f>IF(VLOOKUP(B108,'Tabula RefULG 2'!$K$5:$R$83,2,0)=$B$78,VLOOKUP(B108,'Tabula RefULG 2'!$K$5:$R$83,2,0),VLOOKUP(B108,'Tabula RefULG 2'!$K$5:$R$83,3,0))</f>
        <v>2</v>
      </c>
      <c r="D108" s="122">
        <f>IF(VLOOKUP(B108,'Tabula RefULG 2'!$K$5:$R$83,2,0)=$B$78,VLOOKUP(B108,'Tabula RefULG 2'!$K$5:$R$83,3,0),VLOOKUP(B108,'Tabula RefULG 2'!$K$5:$R$83,2,0))</f>
        <v>1</v>
      </c>
      <c r="E108" s="122" t="str">
        <f>VLOOKUP(B108,'Tabula RefULG 2'!$K$5:$R$83,4,0)</f>
        <v>Floor internal</v>
      </c>
      <c r="F108" s="122">
        <f>VLOOKUP(B108,'Tabula RefULG 2'!$K$5:$R$83,5,0)</f>
        <v>89.300000000000011</v>
      </c>
      <c r="G108" s="122">
        <f>VLOOKUP('Verwarming Tabula 2zone RefULG2'!C108,'Tabula RefULG 2'!$A$34:$F$45,5,0)</f>
        <v>18</v>
      </c>
      <c r="H108" s="122">
        <f>VLOOKUP('Verwarming Tabula 2zone RefULG2'!D108,'Tabula RefULG 2'!$A$34:$F$45,5,0)</f>
        <v>21</v>
      </c>
      <c r="I108" s="122">
        <f>VLOOKUP(B108,'Tabula RefULG 2'!$K$5:$R$83,7,0)</f>
        <v>1.0482529118136439</v>
      </c>
      <c r="J108" s="118">
        <f>VLOOKUP(B108,'Tabula RefULG 2'!$K$5:$R$83,8,0)</f>
        <v>93.608985024958415</v>
      </c>
      <c r="K108" s="118">
        <f>(G108-H108)/(G108-$B$4)</f>
        <v>-0.11538461538461539</v>
      </c>
      <c r="L108" s="98"/>
      <c r="M108" s="98"/>
      <c r="N108" s="98"/>
      <c r="O108" s="98"/>
      <c r="P108" s="96"/>
    </row>
    <row r="109" spans="1:16" ht="16.5" customHeight="1" thickTop="1" thickBot="1" x14ac:dyDescent="0.3">
      <c r="A109" s="95"/>
      <c r="B109" s="121" t="s">
        <v>102</v>
      </c>
      <c r="C109" s="122">
        <f>IF(VLOOKUP(B109,'Tabula RefULG 2'!$K$5:$R$83,2,0)=$B$78,VLOOKUP(B109,'Tabula RefULG 2'!$K$5:$R$83,2,0),VLOOKUP(B109,'Tabula RefULG 2'!$K$5:$R$83,3,0))</f>
        <v>2</v>
      </c>
      <c r="D109" s="122">
        <f>IF(VLOOKUP(B109,'Tabula RefULG 2'!$K$5:$R$83,2,0)=$B$78,VLOOKUP(B109,'Tabula RefULG 2'!$K$5:$R$83,3,0),VLOOKUP(B109,'Tabula RefULG 2'!$K$5:$R$83,2,0))</f>
        <v>2</v>
      </c>
      <c r="E109" s="122" t="str">
        <f>VLOOKUP(B109,'Tabula RefULG 2'!$K$5:$R$83,4,0)</f>
        <v>Wall internal</v>
      </c>
      <c r="F109" s="122">
        <f>VLOOKUP(B109,'Tabula RefULG 2'!$K$5:$R$83,5,0)</f>
        <v>77.097857142857151</v>
      </c>
      <c r="G109" s="122">
        <f>VLOOKUP('Verwarming Tabula 2zone RefULG2'!C109,'Tabula RefULG 2'!$A$34:$F$45,5,0)</f>
        <v>18</v>
      </c>
      <c r="H109" s="122">
        <f>VLOOKUP('Verwarming Tabula 2zone RefULG2'!D109,'Tabula RefULG 2'!$A$34:$F$45,5,0)</f>
        <v>18</v>
      </c>
      <c r="I109" s="122">
        <f>VLOOKUP(B109,'Tabula RefULG 2'!$K$5:$R$83,7,0)</f>
        <v>1.210762331838565</v>
      </c>
      <c r="J109" s="118">
        <f>VLOOKUP(B109,'Tabula RefULG 2'!$K$5:$R$83,8,0)</f>
        <v>93.347181294042286</v>
      </c>
      <c r="K109" s="118">
        <f>(G109-H109)/(G109-$B$4)</f>
        <v>0</v>
      </c>
      <c r="L109" s="98"/>
      <c r="M109" s="98"/>
      <c r="N109" s="98"/>
      <c r="O109" s="98"/>
      <c r="P109" s="96"/>
    </row>
    <row r="110" spans="1:16" ht="16.5" customHeight="1" thickTop="1" thickBot="1" x14ac:dyDescent="0.3">
      <c r="A110" s="95"/>
      <c r="B110" s="121"/>
      <c r="C110" s="122"/>
      <c r="D110" s="122"/>
      <c r="E110" s="122"/>
      <c r="F110" s="122"/>
      <c r="G110" s="122"/>
      <c r="H110" s="122"/>
      <c r="I110" s="122"/>
      <c r="J110" s="118"/>
      <c r="K110" s="118"/>
      <c r="L110" s="98"/>
      <c r="M110" s="98"/>
      <c r="N110" s="98"/>
      <c r="O110" s="98"/>
      <c r="P110" s="96"/>
    </row>
    <row r="111" spans="1:16" ht="16.5" customHeight="1" thickTop="1" thickBot="1" x14ac:dyDescent="0.3">
      <c r="A111" s="95"/>
      <c r="B111" s="92"/>
      <c r="C111" s="122"/>
      <c r="D111" s="122"/>
      <c r="E111" s="122"/>
      <c r="F111" s="122"/>
      <c r="G111" s="122"/>
      <c r="H111" s="122"/>
      <c r="I111" s="122"/>
      <c r="J111" s="118"/>
      <c r="K111" s="118"/>
      <c r="L111" s="98"/>
      <c r="M111" s="98"/>
      <c r="N111" s="98"/>
      <c r="O111" s="98"/>
      <c r="P111" s="96"/>
    </row>
    <row r="112" spans="1:16" ht="16.5" customHeight="1" thickTop="1" thickBot="1" x14ac:dyDescent="0.3">
      <c r="A112" s="95"/>
      <c r="B112" s="123"/>
      <c r="C112" s="139"/>
      <c r="D112" s="122"/>
      <c r="E112" s="122"/>
      <c r="F112" s="122"/>
      <c r="G112" s="122"/>
      <c r="H112" s="122"/>
      <c r="I112" s="122"/>
      <c r="J112" s="118"/>
      <c r="K112" s="118"/>
      <c r="L112" s="98"/>
      <c r="M112" s="98"/>
      <c r="N112" s="98"/>
      <c r="O112" s="98"/>
      <c r="P112" s="96"/>
    </row>
    <row r="113" spans="1:16" ht="16.5" customHeight="1" thickTop="1" thickBot="1" x14ac:dyDescent="0.3">
      <c r="A113" s="95"/>
      <c r="B113" s="123"/>
      <c r="C113" s="139"/>
      <c r="D113" s="122"/>
      <c r="E113" s="122"/>
      <c r="F113" s="122"/>
      <c r="G113" s="122"/>
      <c r="H113" s="122"/>
      <c r="I113" s="122"/>
      <c r="J113" s="118"/>
      <c r="K113" s="118"/>
      <c r="L113" s="98"/>
      <c r="M113" s="98"/>
      <c r="N113" s="98"/>
      <c r="O113" s="98"/>
      <c r="P113" s="96"/>
    </row>
    <row r="114" spans="1:16" ht="16.5" customHeight="1" thickTop="1" thickBot="1" x14ac:dyDescent="0.3">
      <c r="A114" s="95"/>
      <c r="B114" s="123"/>
      <c r="C114" s="139"/>
      <c r="D114" s="122"/>
      <c r="E114" s="122"/>
      <c r="F114" s="122"/>
      <c r="G114" s="122"/>
      <c r="H114" s="122"/>
      <c r="I114" s="122"/>
      <c r="J114" s="118"/>
      <c r="K114" s="118"/>
      <c r="L114" s="98"/>
      <c r="M114" s="98"/>
      <c r="N114" s="98"/>
      <c r="O114" s="98"/>
      <c r="P114" s="96"/>
    </row>
    <row r="115" spans="1:16" ht="16.5" customHeight="1" thickTop="1" thickBot="1" x14ac:dyDescent="0.3">
      <c r="A115" s="95"/>
      <c r="B115" s="123"/>
      <c r="C115" s="139"/>
      <c r="D115" s="122"/>
      <c r="E115" s="122"/>
      <c r="F115" s="122"/>
      <c r="G115" s="122"/>
      <c r="H115" s="122"/>
      <c r="I115" s="122"/>
      <c r="J115" s="118"/>
      <c r="K115" s="118"/>
      <c r="L115" s="98"/>
      <c r="M115" s="98"/>
      <c r="N115" s="98"/>
      <c r="O115" s="98"/>
      <c r="P115" s="96"/>
    </row>
    <row r="116" spans="1:16" ht="16.5" customHeight="1" thickTop="1" thickBot="1" x14ac:dyDescent="0.3">
      <c r="A116" s="95"/>
      <c r="B116" s="123"/>
      <c r="C116" s="139"/>
      <c r="D116" s="122"/>
      <c r="E116" s="122"/>
      <c r="F116" s="122"/>
      <c r="G116" s="122"/>
      <c r="H116" s="122"/>
      <c r="I116" s="122"/>
      <c r="J116" s="118"/>
      <c r="K116" s="118"/>
      <c r="L116" s="98"/>
      <c r="M116" s="98"/>
      <c r="N116" s="98"/>
      <c r="O116" s="98"/>
      <c r="P116" s="96"/>
    </row>
    <row r="117" spans="1:16" ht="16.5" customHeight="1" thickTop="1" thickBot="1" x14ac:dyDescent="0.3">
      <c r="A117" s="95"/>
      <c r="B117" s="123"/>
      <c r="C117" s="139"/>
      <c r="D117" s="122"/>
      <c r="E117" s="122"/>
      <c r="F117" s="122"/>
      <c r="G117" s="122"/>
      <c r="H117" s="122"/>
      <c r="I117" s="122"/>
      <c r="J117" s="118"/>
      <c r="K117" s="118"/>
      <c r="L117" s="98"/>
      <c r="M117" s="98"/>
      <c r="N117" s="98"/>
      <c r="O117" s="98"/>
      <c r="P117" s="96"/>
    </row>
    <row r="118" spans="1:16" ht="15.75" customHeight="1" thickTop="1" x14ac:dyDescent="0.25">
      <c r="A118" s="95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8"/>
      <c r="M118" s="98"/>
      <c r="N118" s="98"/>
      <c r="O118" s="98"/>
      <c r="P118" s="96"/>
    </row>
    <row r="119" spans="1:16" ht="15" customHeight="1" x14ac:dyDescent="0.25">
      <c r="A119" s="95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6"/>
    </row>
    <row r="120" spans="1:16" ht="15.75" customHeight="1" x14ac:dyDescent="0.25">
      <c r="A120" s="103" t="s">
        <v>192</v>
      </c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6"/>
    </row>
    <row r="121" spans="1:16" ht="16.5" customHeight="1" x14ac:dyDescent="0.25">
      <c r="A121" s="124" t="s">
        <v>193</v>
      </c>
      <c r="B121" s="118">
        <f>SUMPRODUCT(H84:H95,I84:I95)+SUMPRODUCT(G100:G104,H100:H104)+SUMPRODUCT(J108:J117,K108:K117)</f>
        <v>80.773534737112527</v>
      </c>
      <c r="C121" s="118" t="s">
        <v>107</v>
      </c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6"/>
    </row>
    <row r="122" spans="1:16" ht="16.5" customHeight="1" x14ac:dyDescent="0.25">
      <c r="A122" s="124" t="s">
        <v>167</v>
      </c>
      <c r="B122" s="118">
        <f>B121*(G109-$B$4)</f>
        <v>2100.1119031649259</v>
      </c>
      <c r="C122" s="118" t="s">
        <v>169</v>
      </c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6"/>
    </row>
    <row r="123" spans="1:16" ht="15.75" customHeight="1" thickBot="1" x14ac:dyDescent="0.3">
      <c r="A123" s="109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1"/>
    </row>
    <row r="124" spans="1:16" ht="15.75" customHeight="1" thickTop="1" x14ac:dyDescent="0.25">
      <c r="A124" s="343" t="s">
        <v>194</v>
      </c>
      <c r="B124" s="343"/>
      <c r="C124" s="343"/>
      <c r="D124" s="125" t="s">
        <v>222</v>
      </c>
      <c r="E124" s="328"/>
      <c r="F124" s="328"/>
      <c r="G124" s="328"/>
      <c r="H124" s="328"/>
      <c r="I124" s="328"/>
      <c r="J124" s="328"/>
      <c r="K124" s="328"/>
      <c r="L124" s="328"/>
      <c r="M124" s="328"/>
      <c r="N124" s="328"/>
      <c r="O124" s="328"/>
      <c r="P124" s="94"/>
    </row>
    <row r="125" spans="1:16" ht="15" customHeight="1" x14ac:dyDescent="0.25">
      <c r="A125" s="95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6"/>
    </row>
    <row r="126" spans="1:16" ht="15" customHeight="1" thickBot="1" x14ac:dyDescent="0.3">
      <c r="A126" s="126" t="s">
        <v>195</v>
      </c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6"/>
    </row>
    <row r="127" spans="1:16" ht="15" customHeight="1" thickTop="1" thickBot="1" x14ac:dyDescent="0.3">
      <c r="A127" s="127" t="s">
        <v>196</v>
      </c>
      <c r="B127" s="121">
        <f>'Tabula data'!E34</f>
        <v>3.9941548952752073</v>
      </c>
      <c r="C127" s="120" t="s">
        <v>197</v>
      </c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6"/>
    </row>
    <row r="128" spans="1:16" ht="15" customHeight="1" thickTop="1" thickBot="1" x14ac:dyDescent="0.3">
      <c r="A128" s="127" t="s">
        <v>198</v>
      </c>
      <c r="B128" s="121">
        <v>0.03</v>
      </c>
      <c r="C128" s="120" t="s">
        <v>199</v>
      </c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6"/>
    </row>
    <row r="129" spans="1:16" ht="15.75" customHeight="1" thickTop="1" thickBot="1" x14ac:dyDescent="0.3">
      <c r="A129" s="127" t="s">
        <v>200</v>
      </c>
      <c r="B129" s="121">
        <v>1</v>
      </c>
      <c r="C129" s="120" t="s">
        <v>201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6"/>
    </row>
    <row r="130" spans="1:16" ht="16.5" customHeight="1" thickTop="1" x14ac:dyDescent="0.25">
      <c r="A130" s="124" t="s">
        <v>202</v>
      </c>
      <c r="B130" s="118">
        <f>VLOOKUP(B78,'Tabula RefULG 2'!$A$34:$F$45,2,0)*B127/20</f>
        <v>50.725767169995123</v>
      </c>
      <c r="C130" s="118" t="s">
        <v>203</v>
      </c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6"/>
    </row>
    <row r="131" spans="1:16" ht="15.75" customHeight="1" x14ac:dyDescent="0.25">
      <c r="A131" s="95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6"/>
    </row>
    <row r="132" spans="1:16" ht="15" customHeight="1" x14ac:dyDescent="0.25">
      <c r="A132" s="126" t="s">
        <v>204</v>
      </c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6"/>
    </row>
    <row r="133" spans="1:16" ht="15.75" customHeight="1" x14ac:dyDescent="0.25">
      <c r="A133" s="95" t="s">
        <v>180</v>
      </c>
      <c r="B133" s="98">
        <f>'Tabula RefULG 2'!G35</f>
        <v>120.6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6"/>
    </row>
    <row r="134" spans="1:16" ht="16.5" customHeight="1" x14ac:dyDescent="0.25">
      <c r="A134" s="124" t="s">
        <v>205</v>
      </c>
      <c r="B134" s="128">
        <v>0</v>
      </c>
      <c r="C134" s="118" t="s">
        <v>203</v>
      </c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6"/>
    </row>
    <row r="135" spans="1:16" ht="15.75" customHeight="1" x14ac:dyDescent="0.25">
      <c r="A135" s="95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6"/>
    </row>
    <row r="136" spans="1:16" ht="15.75" customHeight="1" x14ac:dyDescent="0.25">
      <c r="A136" s="95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6"/>
    </row>
    <row r="137" spans="1:16" ht="16.5" customHeight="1" x14ac:dyDescent="0.25">
      <c r="A137" s="124" t="s">
        <v>207</v>
      </c>
      <c r="B137" s="118">
        <f>SUM(B130,B134)</f>
        <v>50.725767169995123</v>
      </c>
      <c r="C137" s="118" t="s">
        <v>203</v>
      </c>
      <c r="D137" s="98"/>
      <c r="E137" s="98"/>
      <c r="F137" s="118" t="s">
        <v>208</v>
      </c>
      <c r="G137" s="118">
        <f>B137/VLOOKUP(B78,'Gebouwgegevens Allacker'!$A$35:$B$46,2,0)</f>
        <v>0.31805381702695573</v>
      </c>
      <c r="H137" s="98"/>
      <c r="I137" s="98"/>
      <c r="J137" s="98"/>
      <c r="K137" s="98"/>
      <c r="L137" s="98"/>
      <c r="M137" s="98"/>
      <c r="N137" s="98"/>
      <c r="O137" s="98"/>
      <c r="P137" s="96"/>
    </row>
    <row r="138" spans="1:16" ht="16.5" customHeight="1" x14ac:dyDescent="0.25">
      <c r="A138" s="95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6"/>
    </row>
    <row r="139" spans="1:16" ht="16.5" customHeight="1" x14ac:dyDescent="0.25">
      <c r="A139" s="124" t="s">
        <v>209</v>
      </c>
      <c r="B139" s="118">
        <f>0.34*(B137+B130)</f>
        <v>34.493521675596689</v>
      </c>
      <c r="C139" s="118" t="s">
        <v>107</v>
      </c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6"/>
    </row>
    <row r="140" spans="1:16" ht="16.5" customHeight="1" x14ac:dyDescent="0.25">
      <c r="A140" s="124" t="s">
        <v>167</v>
      </c>
      <c r="B140" s="118">
        <f>B139*(G109-$B$4)</f>
        <v>896.83156356551387</v>
      </c>
      <c r="C140" s="118" t="s">
        <v>169</v>
      </c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6"/>
    </row>
    <row r="141" spans="1:16" ht="15.75" customHeight="1" thickBot="1" x14ac:dyDescent="0.3">
      <c r="A141" s="109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1"/>
    </row>
    <row r="142" spans="1:16" ht="15.75" customHeight="1" thickTop="1" x14ac:dyDescent="0.25">
      <c r="A142" s="343" t="s">
        <v>210</v>
      </c>
      <c r="B142" s="343"/>
      <c r="C142" s="343"/>
      <c r="D142" s="343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6"/>
    </row>
    <row r="143" spans="1:16" ht="15" customHeight="1" thickBot="1" x14ac:dyDescent="0.3">
      <c r="A143" s="95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6"/>
    </row>
    <row r="144" spans="1:16" ht="15" customHeight="1" thickTop="1" thickBot="1" x14ac:dyDescent="0.3">
      <c r="A144" s="127" t="s">
        <v>211</v>
      </c>
      <c r="B144" s="121">
        <v>11</v>
      </c>
      <c r="C144" s="58" t="s">
        <v>212</v>
      </c>
      <c r="D144" s="5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6"/>
    </row>
    <row r="145" spans="1:16" ht="15.75" customHeight="1" thickTop="1" thickBot="1" x14ac:dyDescent="0.3">
      <c r="A145" s="127" t="s">
        <v>113</v>
      </c>
      <c r="B145" s="121">
        <f>B133</f>
        <v>120.6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6"/>
    </row>
    <row r="146" spans="1:16" ht="16.5" customHeight="1" thickTop="1" x14ac:dyDescent="0.25">
      <c r="A146" s="124" t="s">
        <v>213</v>
      </c>
      <c r="B146" s="118">
        <f>B147/('Gebouwgegevens Allacker'!E100-'Verwarming Tabula 2zone RefULG2'!$B$4)</f>
        <v>165.82499999999999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6"/>
    </row>
    <row r="147" spans="1:16" ht="16.5" customHeight="1" x14ac:dyDescent="0.25">
      <c r="A147" s="124" t="s">
        <v>167</v>
      </c>
      <c r="B147" s="118">
        <f>B144*B145</f>
        <v>1326.6</v>
      </c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6"/>
    </row>
    <row r="148" spans="1:16" ht="15.75" customHeight="1" x14ac:dyDescent="0.25">
      <c r="A148" s="95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6"/>
    </row>
    <row r="149" spans="1:16" ht="15.75" customHeight="1" thickBot="1" x14ac:dyDescent="0.3">
      <c r="A149" s="95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6"/>
    </row>
    <row r="150" spans="1:16" ht="15.75" customHeight="1" thickTop="1" thickBot="1" x14ac:dyDescent="0.3">
      <c r="A150" s="129" t="s">
        <v>214</v>
      </c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1"/>
    </row>
    <row r="151" spans="1:16" ht="16.5" customHeight="1" thickTop="1" x14ac:dyDescent="0.25">
      <c r="A151" s="124" t="s">
        <v>215</v>
      </c>
      <c r="B151" s="118">
        <f>SUM(B121,B139,B146)</f>
        <v>281.09205641270921</v>
      </c>
      <c r="C151" s="118" t="s">
        <v>107</v>
      </c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3"/>
    </row>
    <row r="152" spans="1:16" ht="16.5" customHeight="1" x14ac:dyDescent="0.25">
      <c r="A152" s="124" t="s">
        <v>167</v>
      </c>
      <c r="B152" s="118">
        <f>SUM(B122,B140,B147)</f>
        <v>4323.5434667304398</v>
      </c>
      <c r="C152" s="118" t="s">
        <v>169</v>
      </c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3"/>
    </row>
    <row r="153" spans="1:16" ht="16.5" customHeight="1" thickBot="1" x14ac:dyDescent="0.3">
      <c r="A153" s="134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6"/>
    </row>
    <row r="154" spans="1:16" ht="15" customHeight="1" thickTop="1" x14ac:dyDescent="0.25">
      <c r="A154" s="137"/>
      <c r="B154" s="137"/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</row>
    <row r="155" spans="1:16" ht="15" customHeight="1" x14ac:dyDescent="0.25">
      <c r="A155" s="137"/>
      <c r="B155" s="137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</row>
    <row r="156" spans="1:16" ht="15.75" customHeight="1" thickBot="1" x14ac:dyDescent="0.3">
      <c r="A156" s="137"/>
      <c r="B156" s="137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</row>
    <row r="157" spans="1:16" ht="15" customHeight="1" thickTop="1" thickBot="1" x14ac:dyDescent="0.3">
      <c r="A157" s="93"/>
      <c r="B157" s="328"/>
      <c r="C157" s="328"/>
      <c r="D157" s="328"/>
      <c r="E157" s="328"/>
      <c r="F157" s="328"/>
      <c r="G157" s="328"/>
      <c r="H157" s="328"/>
      <c r="I157" s="328"/>
      <c r="J157" s="328"/>
      <c r="K157" s="328"/>
      <c r="L157" s="328"/>
      <c r="M157" s="328"/>
      <c r="N157" s="328"/>
      <c r="O157" s="328"/>
      <c r="P157" s="94"/>
    </row>
    <row r="158" spans="1:16" ht="17.25" customHeight="1" thickTop="1" thickBot="1" x14ac:dyDescent="0.35">
      <c r="A158" s="97" t="s">
        <v>166</v>
      </c>
      <c r="B158" s="92">
        <v>3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6"/>
    </row>
    <row r="159" spans="1:16" ht="15.75" customHeight="1" thickTop="1" x14ac:dyDescent="0.25">
      <c r="A159" s="343" t="s">
        <v>168</v>
      </c>
      <c r="B159" s="343"/>
      <c r="C159" s="343"/>
      <c r="D159" s="343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94"/>
    </row>
    <row r="160" spans="1:16" ht="15" customHeight="1" x14ac:dyDescent="0.25">
      <c r="A160" s="95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6"/>
    </row>
    <row r="161" spans="1:16" ht="15" customHeight="1" x14ac:dyDescent="0.25">
      <c r="A161" s="103" t="s">
        <v>170</v>
      </c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6"/>
    </row>
    <row r="162" spans="1:16" ht="15" customHeight="1" x14ac:dyDescent="0.25">
      <c r="A162" s="95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6"/>
    </row>
    <row r="163" spans="1:16" ht="15.75" customHeight="1" thickBot="1" x14ac:dyDescent="0.3">
      <c r="A163" s="95"/>
      <c r="B163" s="104" t="s">
        <v>10</v>
      </c>
      <c r="C163" s="104" t="s">
        <v>171</v>
      </c>
      <c r="D163" s="104" t="s">
        <v>172</v>
      </c>
      <c r="E163" s="104" t="s">
        <v>173</v>
      </c>
      <c r="F163" s="104" t="s">
        <v>174</v>
      </c>
      <c r="G163" s="104" t="s">
        <v>16</v>
      </c>
      <c r="H163" s="105" t="s">
        <v>17</v>
      </c>
      <c r="I163" s="105" t="s">
        <v>175</v>
      </c>
      <c r="J163" s="98"/>
      <c r="K163" s="98"/>
      <c r="L163" s="98"/>
      <c r="M163" s="98"/>
      <c r="N163" s="98"/>
      <c r="O163" s="98"/>
      <c r="P163" s="96"/>
    </row>
    <row r="164" spans="1:16" ht="16.5" customHeight="1" thickTop="1" thickBot="1" x14ac:dyDescent="0.3">
      <c r="A164" s="95"/>
      <c r="B164" s="106" t="s">
        <v>66</v>
      </c>
      <c r="C164" s="107">
        <f>VLOOKUP(B164,'Gebouwgegevens Allacker'!$J$5:$Q$83,3,0)</f>
        <v>1</v>
      </c>
      <c r="D164" s="107" t="str">
        <f>VLOOKUP(B164,'Gebouwgegevens Allacker'!$J$5:$Q$83,4,0)</f>
        <v>Roof</v>
      </c>
      <c r="E164" s="107">
        <f>VLOOKUP(B164,'Gebouwgegevens Allacker'!$J$5:$Q$83,5,0)</f>
        <v>29</v>
      </c>
      <c r="F164" s="107">
        <f>VLOOKUP(B164,'Gebouwgegevens Allacker'!$J$5:$Q$83,6,0)</f>
        <v>0</v>
      </c>
      <c r="G164" s="107">
        <f>VLOOKUP(B164,'Gebouwgegevens Allacker'!$J$5:$Q$83,7,0)</f>
        <v>1.6975498473547073</v>
      </c>
      <c r="H164" s="108">
        <f>VLOOKUP(B164,'Gebouwgegevens Allacker'!$J$5:$Q$83,8,0)</f>
        <v>49.228945573286509</v>
      </c>
      <c r="I164" s="108">
        <v>1</v>
      </c>
      <c r="J164" s="98"/>
      <c r="K164" s="98"/>
      <c r="L164" s="98"/>
      <c r="M164" s="98"/>
      <c r="N164" s="98"/>
      <c r="O164" s="98"/>
      <c r="P164" s="96"/>
    </row>
    <row r="165" spans="1:16" ht="16.5" customHeight="1" thickTop="1" thickBot="1" x14ac:dyDescent="0.3">
      <c r="A165" s="95"/>
      <c r="B165" s="106" t="s">
        <v>67</v>
      </c>
      <c r="C165" s="107">
        <f>VLOOKUP(B165,'Gebouwgegevens Allacker'!$J$5:$Q$83,3,0)</f>
        <v>1</v>
      </c>
      <c r="D165" s="107" t="str">
        <f>VLOOKUP(B165,'Gebouwgegevens Allacker'!$J$5:$Q$83,4,0)</f>
        <v>Door</v>
      </c>
      <c r="E165" s="107">
        <f>VLOOKUP(B165,'Gebouwgegevens Allacker'!$J$5:$Q$83,5,0)</f>
        <v>7.5</v>
      </c>
      <c r="F165" s="107">
        <f>VLOOKUP(B165,'Gebouwgegevens Allacker'!$J$5:$Q$83,6,0)</f>
        <v>0</v>
      </c>
      <c r="G165" s="107">
        <f>VLOOKUP(B165,'Gebouwgegevens Allacker'!$J$5:$Q$83,7,0)</f>
        <v>4</v>
      </c>
      <c r="H165" s="108">
        <f>VLOOKUP(B165,'Gebouwgegevens Allacker'!$J$5:$Q$83,8,0)</f>
        <v>30</v>
      </c>
      <c r="I165" s="108">
        <v>1</v>
      </c>
      <c r="J165" s="98"/>
      <c r="K165" s="98"/>
      <c r="L165" s="98"/>
      <c r="M165" s="98"/>
      <c r="N165" s="98"/>
      <c r="O165" s="98"/>
      <c r="P165" s="96"/>
    </row>
    <row r="166" spans="1:16" ht="16.5" customHeight="1" thickTop="1" thickBot="1" x14ac:dyDescent="0.3">
      <c r="A166" s="95"/>
      <c r="B166" s="106"/>
      <c r="C166" s="107"/>
      <c r="D166" s="107"/>
      <c r="E166" s="107"/>
      <c r="F166" s="107"/>
      <c r="G166" s="107"/>
      <c r="H166" s="108"/>
      <c r="I166" s="108"/>
      <c r="J166" s="98"/>
      <c r="K166" s="98"/>
      <c r="L166" s="98"/>
      <c r="M166" s="98"/>
      <c r="N166" s="98"/>
      <c r="O166" s="98"/>
      <c r="P166" s="96"/>
    </row>
    <row r="167" spans="1:16" ht="16.5" customHeight="1" thickTop="1" thickBot="1" x14ac:dyDescent="0.3">
      <c r="A167" s="95"/>
      <c r="B167" s="106"/>
      <c r="C167" s="107"/>
      <c r="D167" s="107"/>
      <c r="E167" s="107"/>
      <c r="F167" s="107"/>
      <c r="G167" s="107"/>
      <c r="H167" s="108"/>
      <c r="I167" s="108"/>
      <c r="J167" s="98"/>
      <c r="K167" s="98"/>
      <c r="L167" s="98"/>
      <c r="M167" s="98"/>
      <c r="N167" s="98"/>
      <c r="O167" s="98"/>
      <c r="P167" s="96"/>
    </row>
    <row r="168" spans="1:16" ht="16.5" customHeight="1" thickTop="1" thickBot="1" x14ac:dyDescent="0.3">
      <c r="A168" s="95"/>
      <c r="B168" s="106"/>
      <c r="C168" s="107"/>
      <c r="D168" s="107"/>
      <c r="E168" s="107"/>
      <c r="F168" s="107"/>
      <c r="G168" s="107"/>
      <c r="H168" s="108"/>
      <c r="I168" s="108"/>
      <c r="J168" s="98"/>
      <c r="K168" s="98"/>
      <c r="L168" s="98"/>
      <c r="M168" s="98"/>
      <c r="N168" s="98"/>
      <c r="O168" s="98"/>
      <c r="P168" s="96"/>
    </row>
    <row r="169" spans="1:16" ht="16.5" customHeight="1" thickTop="1" thickBot="1" x14ac:dyDescent="0.3">
      <c r="A169" s="95"/>
      <c r="B169" s="106"/>
      <c r="C169" s="107"/>
      <c r="D169" s="107"/>
      <c r="E169" s="107"/>
      <c r="F169" s="107"/>
      <c r="G169" s="107"/>
      <c r="H169" s="108"/>
      <c r="I169" s="108"/>
      <c r="J169" s="98"/>
      <c r="K169" s="98"/>
      <c r="L169" s="98"/>
      <c r="M169" s="98"/>
      <c r="N169" s="98"/>
      <c r="O169" s="98"/>
      <c r="P169" s="96"/>
    </row>
    <row r="170" spans="1:16" ht="16.5" customHeight="1" thickTop="1" thickBot="1" x14ac:dyDescent="0.3">
      <c r="A170" s="95"/>
      <c r="B170" s="106"/>
      <c r="C170" s="107"/>
      <c r="D170" s="107"/>
      <c r="E170" s="107"/>
      <c r="F170" s="107"/>
      <c r="G170" s="107"/>
      <c r="H170" s="108"/>
      <c r="I170" s="108"/>
      <c r="J170" s="98"/>
      <c r="K170" s="98"/>
      <c r="L170" s="98"/>
      <c r="M170" s="98"/>
      <c r="N170" s="98"/>
      <c r="O170" s="98"/>
      <c r="P170" s="96"/>
    </row>
    <row r="171" spans="1:16" ht="16.5" customHeight="1" thickTop="1" thickBot="1" x14ac:dyDescent="0.3">
      <c r="A171" s="95"/>
      <c r="B171" s="106"/>
      <c r="C171" s="107"/>
      <c r="D171" s="107"/>
      <c r="E171" s="107"/>
      <c r="F171" s="107"/>
      <c r="G171" s="107"/>
      <c r="H171" s="108"/>
      <c r="I171" s="108"/>
      <c r="J171" s="98"/>
      <c r="K171" s="98"/>
      <c r="L171" s="98"/>
      <c r="M171" s="98"/>
      <c r="N171" s="98"/>
      <c r="O171" s="98"/>
      <c r="P171" s="96"/>
    </row>
    <row r="172" spans="1:16" ht="16.5" customHeight="1" thickTop="1" thickBot="1" x14ac:dyDescent="0.3">
      <c r="A172" s="95"/>
      <c r="B172" s="106"/>
      <c r="C172" s="107"/>
      <c r="D172" s="107"/>
      <c r="E172" s="107"/>
      <c r="F172" s="107"/>
      <c r="G172" s="107"/>
      <c r="H172" s="108"/>
      <c r="I172" s="108"/>
      <c r="J172" s="98"/>
      <c r="K172" s="98"/>
      <c r="L172" s="98"/>
      <c r="M172" s="98"/>
      <c r="N172" s="98"/>
      <c r="O172" s="98"/>
      <c r="P172" s="96"/>
    </row>
    <row r="173" spans="1:16" ht="16.5" customHeight="1" thickTop="1" thickBot="1" x14ac:dyDescent="0.3">
      <c r="A173" s="95"/>
      <c r="B173" s="106"/>
      <c r="C173" s="107"/>
      <c r="D173" s="107"/>
      <c r="E173" s="107"/>
      <c r="F173" s="107"/>
      <c r="G173" s="107"/>
      <c r="H173" s="108"/>
      <c r="I173" s="108"/>
      <c r="J173" s="98"/>
      <c r="K173" s="98"/>
      <c r="L173" s="98"/>
      <c r="M173" s="98"/>
      <c r="N173" s="98"/>
      <c r="O173" s="98"/>
      <c r="P173" s="96"/>
    </row>
    <row r="174" spans="1:16" ht="16.5" customHeight="1" thickTop="1" thickBot="1" x14ac:dyDescent="0.3">
      <c r="A174" s="95"/>
      <c r="B174" s="106"/>
      <c r="C174" s="107"/>
      <c r="D174" s="107"/>
      <c r="E174" s="107"/>
      <c r="F174" s="107"/>
      <c r="G174" s="107"/>
      <c r="H174" s="108"/>
      <c r="I174" s="108"/>
      <c r="J174" s="98"/>
      <c r="K174" s="98"/>
      <c r="L174" s="98"/>
      <c r="M174" s="98"/>
      <c r="N174" s="98"/>
      <c r="O174" s="98"/>
      <c r="P174" s="96"/>
    </row>
    <row r="175" spans="1:16" ht="16.5" customHeight="1" thickTop="1" thickBot="1" x14ac:dyDescent="0.3">
      <c r="A175" s="95"/>
      <c r="B175" s="106"/>
      <c r="C175" s="107"/>
      <c r="D175" s="107"/>
      <c r="E175" s="107"/>
      <c r="F175" s="107"/>
      <c r="G175" s="107"/>
      <c r="H175" s="108"/>
      <c r="I175" s="108"/>
      <c r="J175" s="98"/>
      <c r="K175" s="98"/>
      <c r="L175" s="98"/>
      <c r="M175" s="98"/>
      <c r="N175" s="98"/>
      <c r="O175" s="98"/>
      <c r="P175" s="96"/>
    </row>
    <row r="176" spans="1:16" ht="15.75" customHeight="1" thickTop="1" x14ac:dyDescent="0.25">
      <c r="A176" s="95"/>
      <c r="B176" s="58"/>
      <c r="C176" s="58"/>
      <c r="D176" s="58"/>
      <c r="E176" s="58"/>
      <c r="F176" s="58"/>
      <c r="G176" s="114"/>
      <c r="H176" s="58"/>
      <c r="I176" s="58"/>
      <c r="J176" s="98"/>
      <c r="K176" s="98"/>
      <c r="L176" s="98"/>
      <c r="M176" s="98"/>
      <c r="N176" s="98"/>
      <c r="O176" s="98"/>
      <c r="P176" s="96"/>
    </row>
    <row r="177" spans="1:16" ht="15" customHeight="1" x14ac:dyDescent="0.25">
      <c r="A177" s="95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6"/>
    </row>
    <row r="178" spans="1:16" ht="15" customHeight="1" x14ac:dyDescent="0.25">
      <c r="A178" s="103" t="s">
        <v>177</v>
      </c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6"/>
    </row>
    <row r="179" spans="1:16" ht="15.75" customHeight="1" x14ac:dyDescent="0.25">
      <c r="A179" s="95"/>
      <c r="B179" s="58" t="s">
        <v>10</v>
      </c>
      <c r="C179" s="58" t="s">
        <v>178</v>
      </c>
      <c r="D179" s="58" t="s">
        <v>172</v>
      </c>
      <c r="E179" s="58" t="s">
        <v>179</v>
      </c>
      <c r="F179" s="58" t="s">
        <v>16</v>
      </c>
      <c r="G179" s="114" t="s">
        <v>17</v>
      </c>
      <c r="H179" s="114" t="s">
        <v>175</v>
      </c>
      <c r="I179" s="58" t="s">
        <v>180</v>
      </c>
      <c r="J179" s="58" t="s">
        <v>181</v>
      </c>
      <c r="K179" s="58" t="s">
        <v>182</v>
      </c>
      <c r="L179" s="115" t="s">
        <v>183</v>
      </c>
      <c r="M179" s="115" t="s">
        <v>184</v>
      </c>
      <c r="N179" s="115" t="s">
        <v>185</v>
      </c>
      <c r="O179" s="98"/>
      <c r="P179" s="96"/>
    </row>
    <row r="180" spans="1:16" ht="16.5" customHeight="1" thickBot="1" x14ac:dyDescent="0.3">
      <c r="A180" s="95"/>
      <c r="B180" s="116" t="s">
        <v>223</v>
      </c>
      <c r="C180" s="117" t="e">
        <f>VLOOKUP(B180,'Gebouwgegevens Allacker'!$J$5:$Q$83,3,0)</f>
        <v>#N/A</v>
      </c>
      <c r="D180" s="117" t="e">
        <f>VLOOKUP(B180,'Gebouwgegevens Allacker'!$J$5:$Q$83,4,0)</f>
        <v>#N/A</v>
      </c>
      <c r="E180" s="117" t="e">
        <f>VLOOKUP(B180,'Gebouwgegevens Allacker'!$J$5:$Q$83,5,0)</f>
        <v>#N/A</v>
      </c>
      <c r="F180" s="117" t="e">
        <f>VLOOKUP(B180,'Gebouwgegevens Allacker'!$J$5:$Q$83,7,0)</f>
        <v>#N/A</v>
      </c>
      <c r="G180" s="118" t="e">
        <f>VLOOKUP(B180,'Gebouwgegevens Allacker'!$J$5:$Q$83,8,0)</f>
        <v>#N/A</v>
      </c>
      <c r="H180" s="118" t="e">
        <f>N180/F180</f>
        <v>#N/A</v>
      </c>
      <c r="I180" s="117" t="e">
        <f>VLOOKUP(C180,'Gebouwgegevens Allacker'!$A$35:$F$46,6,0)</f>
        <v>#N/A</v>
      </c>
      <c r="J180" s="116">
        <v>1.05</v>
      </c>
      <c r="K180" s="116">
        <v>0.33</v>
      </c>
      <c r="L180" s="119" t="e">
        <f>I180/(0.5*J180)</f>
        <v>#N/A</v>
      </c>
      <c r="M180" s="119" t="e">
        <f>K180+2*(1/F180)</f>
        <v>#N/A</v>
      </c>
      <c r="N180" s="120" t="e">
        <f>IF(M180&lt;L180,2*2/(PI()*L180+M180)*LN(PI()*L180/M180+1),2/(0.457*L180+M180))</f>
        <v>#N/A</v>
      </c>
      <c r="O180" s="98"/>
      <c r="P180" s="96"/>
    </row>
    <row r="181" spans="1:16" ht="16.5" customHeight="1" thickTop="1" thickBot="1" x14ac:dyDescent="0.3">
      <c r="A181" s="95"/>
      <c r="B181" s="116"/>
      <c r="C181" s="117"/>
      <c r="D181" s="117"/>
      <c r="E181" s="117"/>
      <c r="F181" s="117"/>
      <c r="G181" s="118"/>
      <c r="H181" s="118"/>
      <c r="I181" s="117"/>
      <c r="J181" s="116"/>
      <c r="K181" s="116"/>
      <c r="L181" s="119"/>
      <c r="M181" s="119"/>
      <c r="N181" s="120"/>
      <c r="O181" s="98"/>
      <c r="P181" s="96"/>
    </row>
    <row r="182" spans="1:16" ht="16.5" customHeight="1" thickTop="1" thickBot="1" x14ac:dyDescent="0.3">
      <c r="A182" s="95"/>
      <c r="B182" s="116"/>
      <c r="C182" s="117"/>
      <c r="D182" s="117"/>
      <c r="E182" s="117"/>
      <c r="F182" s="117"/>
      <c r="G182" s="118"/>
      <c r="H182" s="118"/>
      <c r="I182" s="117"/>
      <c r="J182" s="116"/>
      <c r="K182" s="116"/>
      <c r="L182" s="119"/>
      <c r="M182" s="119"/>
      <c r="N182" s="120"/>
      <c r="O182" s="98"/>
      <c r="P182" s="96"/>
    </row>
    <row r="183" spans="1:16" ht="16.5" customHeight="1" thickTop="1" thickBot="1" x14ac:dyDescent="0.3">
      <c r="A183" s="95"/>
      <c r="B183" s="116"/>
      <c r="C183" s="117"/>
      <c r="D183" s="117"/>
      <c r="E183" s="117"/>
      <c r="F183" s="117"/>
      <c r="G183" s="118"/>
      <c r="H183" s="118"/>
      <c r="I183" s="117"/>
      <c r="J183" s="116"/>
      <c r="K183" s="116"/>
      <c r="L183" s="119"/>
      <c r="M183" s="119"/>
      <c r="N183" s="120"/>
      <c r="O183" s="98"/>
      <c r="P183" s="96"/>
    </row>
    <row r="184" spans="1:16" ht="16.5" customHeight="1" thickTop="1" thickBot="1" x14ac:dyDescent="0.3">
      <c r="A184" s="138"/>
      <c r="B184" s="116"/>
      <c r="C184" s="117"/>
      <c r="D184" s="117"/>
      <c r="E184" s="117"/>
      <c r="F184" s="117"/>
      <c r="G184" s="118"/>
      <c r="H184" s="118"/>
      <c r="I184" s="117"/>
      <c r="J184" s="116"/>
      <c r="K184" s="116"/>
      <c r="L184" s="119"/>
      <c r="M184" s="119"/>
      <c r="N184" s="120"/>
      <c r="O184" s="98"/>
      <c r="P184" s="96"/>
    </row>
    <row r="185" spans="1:16" ht="15.75" customHeight="1" thickTop="1" x14ac:dyDescent="0.25">
      <c r="A185" s="95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6"/>
    </row>
    <row r="186" spans="1:16" ht="15" customHeight="1" x14ac:dyDescent="0.25">
      <c r="A186" s="103" t="s">
        <v>186</v>
      </c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6"/>
    </row>
    <row r="187" spans="1:16" ht="15.75" customHeight="1" thickBot="1" x14ac:dyDescent="0.3">
      <c r="A187" s="95"/>
      <c r="B187" s="58" t="s">
        <v>10</v>
      </c>
      <c r="C187" s="58" t="s">
        <v>187</v>
      </c>
      <c r="D187" s="58" t="s">
        <v>188</v>
      </c>
      <c r="E187" s="58" t="s">
        <v>135</v>
      </c>
      <c r="F187" s="58" t="s">
        <v>189</v>
      </c>
      <c r="G187" s="58" t="s">
        <v>190</v>
      </c>
      <c r="H187" s="58" t="s">
        <v>191</v>
      </c>
      <c r="I187" s="58" t="s">
        <v>16</v>
      </c>
      <c r="J187" s="114" t="s">
        <v>17</v>
      </c>
      <c r="K187" s="114" t="s">
        <v>175</v>
      </c>
      <c r="L187" s="98"/>
      <c r="M187" s="98"/>
      <c r="N187" s="98"/>
      <c r="O187" s="98"/>
      <c r="P187" s="96"/>
    </row>
    <row r="188" spans="1:16" ht="16.5" customHeight="1" thickTop="1" thickBot="1" x14ac:dyDescent="0.3">
      <c r="A188" s="95"/>
      <c r="B188" s="121" t="s">
        <v>224</v>
      </c>
      <c r="C188" s="122" t="e">
        <f>IF(VLOOKUP(B188,'Gebouwgegevens Allacker'!$J$5:$Q$83,2,0)=$B$158,VLOOKUP(B188,'Gebouwgegevens Allacker'!$J$5:$Q$83,2,0),VLOOKUP(B188,'Gebouwgegevens Allacker'!$J$5:$Q$83,3,0))</f>
        <v>#N/A</v>
      </c>
      <c r="D188" s="122" t="e">
        <f>IF(VLOOKUP(B188,'Gebouwgegevens Allacker'!$J$5:$Q$83,2,0)=$B$158,VLOOKUP(B188,'Gebouwgegevens Allacker'!$J$5:$Q$83,3,0),VLOOKUP(B188,'Gebouwgegevens Allacker'!$J$5:$Q$83,2,0))</f>
        <v>#N/A</v>
      </c>
      <c r="E188" s="122" t="e">
        <f>VLOOKUP(B188,'Gebouwgegevens Allacker'!$J$5:$Q$83,4,0)</f>
        <v>#N/A</v>
      </c>
      <c r="F188" s="122" t="e">
        <f>VLOOKUP(B188,'Gebouwgegevens Allacker'!$J$5:$Q$83,5,0)</f>
        <v>#N/A</v>
      </c>
      <c r="G188" s="122" t="e">
        <f>VLOOKUP('Verwarming Tabula 2zone RefULG2'!C188,'Gebouwgegevens Allacker'!$A$35:$F$46,5,0)</f>
        <v>#N/A</v>
      </c>
      <c r="H188" s="122" t="e">
        <f>VLOOKUP('Verwarming Tabula 2zone RefULG2'!D188,'Gebouwgegevens Allacker'!$A$35:$F$46,5,0)</f>
        <v>#N/A</v>
      </c>
      <c r="I188" s="122" t="e">
        <f>VLOOKUP(B188,'Gebouwgegevens Allacker'!$J$5:$Q$83,7,0)</f>
        <v>#N/A</v>
      </c>
      <c r="J188" s="118" t="e">
        <f>VLOOKUP(B188,'Gebouwgegevens Allacker'!$J$5:$Q$83,8,0)</f>
        <v>#N/A</v>
      </c>
      <c r="K188" s="118" t="e">
        <f>(G188-H188)/(G188-$B$4)</f>
        <v>#N/A</v>
      </c>
      <c r="L188" s="98"/>
      <c r="M188" s="98"/>
      <c r="N188" s="98"/>
      <c r="O188" s="98"/>
      <c r="P188" s="96"/>
    </row>
    <row r="189" spans="1:16" ht="16.5" customHeight="1" thickTop="1" thickBot="1" x14ac:dyDescent="0.3">
      <c r="A189" s="95"/>
      <c r="B189" s="121" t="s">
        <v>225</v>
      </c>
      <c r="C189" s="122" t="e">
        <f>IF(VLOOKUP(B189,'Gebouwgegevens Allacker'!$J$5:$Q$83,2,0)=$B$158,VLOOKUP(B189,'Gebouwgegevens Allacker'!$J$5:$Q$83,2,0),VLOOKUP(B189,'Gebouwgegevens Allacker'!$J$5:$Q$83,3,0))</f>
        <v>#N/A</v>
      </c>
      <c r="D189" s="122" t="e">
        <f>IF(VLOOKUP(B189,'Gebouwgegevens Allacker'!$J$5:$Q$83,2,0)=$B$158,VLOOKUP(B189,'Gebouwgegevens Allacker'!$J$5:$Q$83,3,0),VLOOKUP(B189,'Gebouwgegevens Allacker'!$J$5:$Q$83,2,0))</f>
        <v>#N/A</v>
      </c>
      <c r="E189" s="122" t="e">
        <f>VLOOKUP(B189,'Gebouwgegevens Allacker'!$J$5:$Q$83,4,0)</f>
        <v>#N/A</v>
      </c>
      <c r="F189" s="122" t="e">
        <f>VLOOKUP(B189,'Gebouwgegevens Allacker'!$J$5:$Q$83,5,0)</f>
        <v>#N/A</v>
      </c>
      <c r="G189" s="122" t="e">
        <f>VLOOKUP('Verwarming Tabula 2zone RefULG2'!C189,'Gebouwgegevens Allacker'!$A$35:$F$46,5,0)</f>
        <v>#N/A</v>
      </c>
      <c r="H189" s="122" t="e">
        <f>VLOOKUP('Verwarming Tabula 2zone RefULG2'!D189,'Gebouwgegevens Allacker'!$A$35:$F$46,5,0)</f>
        <v>#N/A</v>
      </c>
      <c r="I189" s="122" t="e">
        <f>VLOOKUP(B189,'Gebouwgegevens Allacker'!$J$5:$Q$83,7,0)</f>
        <v>#N/A</v>
      </c>
      <c r="J189" s="118" t="e">
        <f>VLOOKUP(B189,'Gebouwgegevens Allacker'!$J$5:$Q$83,8,0)</f>
        <v>#N/A</v>
      </c>
      <c r="K189" s="118" t="e">
        <f>(G189-H189)/(G189-$B$4)</f>
        <v>#N/A</v>
      </c>
      <c r="L189" s="98"/>
      <c r="M189" s="98"/>
      <c r="N189" s="98"/>
      <c r="O189" s="98"/>
      <c r="P189" s="96"/>
    </row>
    <row r="190" spans="1:16" ht="16.5" customHeight="1" thickTop="1" thickBot="1" x14ac:dyDescent="0.3">
      <c r="A190" s="95"/>
      <c r="B190" s="121" t="s">
        <v>226</v>
      </c>
      <c r="C190" s="122" t="e">
        <f>IF(VLOOKUP(B190,'Gebouwgegevens Allacker'!$J$5:$Q$83,2,0)=$B$158,VLOOKUP(B190,'Gebouwgegevens Allacker'!$J$5:$Q$83,2,0),VLOOKUP(B190,'Gebouwgegevens Allacker'!$J$5:$Q$83,3,0))</f>
        <v>#N/A</v>
      </c>
      <c r="D190" s="122" t="e">
        <f>IF(VLOOKUP(B190,'Gebouwgegevens Allacker'!$J$5:$Q$83,2,0)=$B$158,VLOOKUP(B190,'Gebouwgegevens Allacker'!$J$5:$Q$83,3,0),VLOOKUP(B190,'Gebouwgegevens Allacker'!$J$5:$Q$83,2,0))</f>
        <v>#N/A</v>
      </c>
      <c r="E190" s="122" t="e">
        <f>VLOOKUP(B190,'Gebouwgegevens Allacker'!$J$5:$Q$83,4,0)</f>
        <v>#N/A</v>
      </c>
      <c r="F190" s="122" t="e">
        <f>VLOOKUP(B190,'Gebouwgegevens Allacker'!$J$5:$Q$83,5,0)</f>
        <v>#N/A</v>
      </c>
      <c r="G190" s="122" t="e">
        <f>VLOOKUP('Verwarming Tabula 2zone RefULG2'!C190,'Gebouwgegevens Allacker'!$A$35:$F$46,5,0)</f>
        <v>#N/A</v>
      </c>
      <c r="H190" s="122" t="e">
        <f>VLOOKUP('Verwarming Tabula 2zone RefULG2'!D190,'Gebouwgegevens Allacker'!$A$35:$F$46,5,0)</f>
        <v>#N/A</v>
      </c>
      <c r="I190" s="122" t="e">
        <f>VLOOKUP(B190,'Gebouwgegevens Allacker'!$J$5:$Q$83,7,0)</f>
        <v>#N/A</v>
      </c>
      <c r="J190" s="118" t="e">
        <f>VLOOKUP(B190,'Gebouwgegevens Allacker'!$J$5:$Q$83,8,0)</f>
        <v>#N/A</v>
      </c>
      <c r="K190" s="118" t="e">
        <f>(G190-H190)/(G190-$B$4)</f>
        <v>#N/A</v>
      </c>
      <c r="L190" s="98"/>
      <c r="M190" s="98"/>
      <c r="N190" s="98"/>
      <c r="O190" s="98"/>
      <c r="P190" s="96"/>
    </row>
    <row r="191" spans="1:16" ht="16.5" customHeight="1" thickTop="1" thickBot="1" x14ac:dyDescent="0.3">
      <c r="A191" s="95"/>
      <c r="B191" s="92"/>
      <c r="C191" s="122"/>
      <c r="D191" s="122"/>
      <c r="E191" s="122"/>
      <c r="F191" s="122"/>
      <c r="G191" s="122"/>
      <c r="H191" s="122"/>
      <c r="I191" s="122"/>
      <c r="J191" s="118"/>
      <c r="K191" s="118"/>
      <c r="L191" s="98"/>
      <c r="M191" s="98"/>
      <c r="N191" s="98"/>
      <c r="O191" s="98"/>
      <c r="P191" s="96"/>
    </row>
    <row r="192" spans="1:16" ht="16.5" customHeight="1" thickTop="1" thickBot="1" x14ac:dyDescent="0.3">
      <c r="A192" s="95"/>
      <c r="B192" s="123"/>
      <c r="C192" s="139"/>
      <c r="D192" s="122"/>
      <c r="E192" s="122"/>
      <c r="F192" s="122"/>
      <c r="G192" s="122"/>
      <c r="H192" s="122"/>
      <c r="I192" s="122"/>
      <c r="J192" s="118"/>
      <c r="K192" s="118"/>
      <c r="L192" s="98"/>
      <c r="M192" s="98"/>
      <c r="N192" s="98"/>
      <c r="O192" s="98"/>
      <c r="P192" s="96"/>
    </row>
    <row r="193" spans="1:16" ht="16.5" customHeight="1" thickTop="1" thickBot="1" x14ac:dyDescent="0.3">
      <c r="A193" s="95"/>
      <c r="B193" s="123"/>
      <c r="C193" s="139"/>
      <c r="D193" s="122"/>
      <c r="E193" s="122"/>
      <c r="F193" s="122"/>
      <c r="G193" s="122"/>
      <c r="H193" s="122"/>
      <c r="I193" s="122"/>
      <c r="J193" s="118"/>
      <c r="K193" s="118"/>
      <c r="L193" s="98"/>
      <c r="M193" s="98"/>
      <c r="N193" s="98"/>
      <c r="O193" s="98"/>
      <c r="P193" s="96"/>
    </row>
    <row r="194" spans="1:16" ht="16.5" customHeight="1" thickTop="1" thickBot="1" x14ac:dyDescent="0.3">
      <c r="A194" s="95"/>
      <c r="B194" s="123"/>
      <c r="C194" s="139"/>
      <c r="D194" s="122"/>
      <c r="E194" s="122"/>
      <c r="F194" s="122"/>
      <c r="G194" s="122"/>
      <c r="H194" s="122"/>
      <c r="I194" s="122"/>
      <c r="J194" s="118"/>
      <c r="K194" s="118"/>
      <c r="L194" s="98"/>
      <c r="M194" s="98"/>
      <c r="N194" s="98"/>
      <c r="O194" s="98"/>
      <c r="P194" s="96"/>
    </row>
    <row r="195" spans="1:16" ht="16.5" customHeight="1" thickTop="1" thickBot="1" x14ac:dyDescent="0.3">
      <c r="A195" s="95"/>
      <c r="B195" s="123"/>
      <c r="C195" s="139"/>
      <c r="D195" s="122"/>
      <c r="E195" s="122"/>
      <c r="F195" s="122"/>
      <c r="G195" s="122"/>
      <c r="H195" s="122"/>
      <c r="I195" s="122"/>
      <c r="J195" s="118"/>
      <c r="K195" s="118"/>
      <c r="L195" s="98"/>
      <c r="M195" s="98"/>
      <c r="N195" s="98"/>
      <c r="O195" s="98"/>
      <c r="P195" s="96"/>
    </row>
    <row r="196" spans="1:16" ht="16.5" customHeight="1" thickTop="1" thickBot="1" x14ac:dyDescent="0.3">
      <c r="A196" s="95"/>
      <c r="B196" s="123"/>
      <c r="C196" s="139"/>
      <c r="D196" s="122"/>
      <c r="E196" s="122"/>
      <c r="F196" s="122"/>
      <c r="G196" s="122"/>
      <c r="H196" s="122"/>
      <c r="I196" s="122"/>
      <c r="J196" s="118"/>
      <c r="K196" s="118"/>
      <c r="L196" s="98"/>
      <c r="M196" s="98"/>
      <c r="N196" s="98"/>
      <c r="O196" s="98"/>
      <c r="P196" s="96"/>
    </row>
    <row r="197" spans="1:16" ht="16.5" customHeight="1" thickTop="1" thickBot="1" x14ac:dyDescent="0.3">
      <c r="A197" s="95"/>
      <c r="B197" s="123"/>
      <c r="C197" s="139"/>
      <c r="D197" s="122"/>
      <c r="E197" s="122"/>
      <c r="F197" s="122"/>
      <c r="G197" s="122"/>
      <c r="H197" s="122"/>
      <c r="I197" s="122"/>
      <c r="J197" s="118"/>
      <c r="K197" s="118"/>
      <c r="L197" s="98"/>
      <c r="M197" s="98"/>
      <c r="N197" s="98"/>
      <c r="O197" s="98"/>
      <c r="P197" s="96"/>
    </row>
    <row r="198" spans="1:16" ht="15.75" customHeight="1" thickTop="1" x14ac:dyDescent="0.25">
      <c r="A198" s="95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8"/>
      <c r="M198" s="98"/>
      <c r="N198" s="98"/>
      <c r="O198" s="98"/>
      <c r="P198" s="96"/>
    </row>
    <row r="199" spans="1:16" ht="15" customHeight="1" x14ac:dyDescent="0.25">
      <c r="A199" s="95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6"/>
    </row>
    <row r="200" spans="1:16" ht="15.75" customHeight="1" x14ac:dyDescent="0.25">
      <c r="A200" s="103" t="s">
        <v>192</v>
      </c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6"/>
    </row>
    <row r="201" spans="1:16" ht="16.5" customHeight="1" x14ac:dyDescent="0.25">
      <c r="A201" s="124" t="s">
        <v>193</v>
      </c>
      <c r="B201" s="118" t="e">
        <f>SUMPRODUCT(H164:H175,I164:I175)+SUMPRODUCT(G180:G184,H180:H184)+SUMPRODUCT(J188:J197,K188:K197)</f>
        <v>#N/A</v>
      </c>
      <c r="C201" s="118" t="s">
        <v>107</v>
      </c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6"/>
    </row>
    <row r="202" spans="1:16" ht="16.5" customHeight="1" x14ac:dyDescent="0.25">
      <c r="A202" s="124" t="s">
        <v>167</v>
      </c>
      <c r="B202" s="118" t="e">
        <f>B201*(G188-$B$4)</f>
        <v>#N/A</v>
      </c>
      <c r="C202" s="118" t="s">
        <v>169</v>
      </c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6"/>
    </row>
    <row r="203" spans="1:16" ht="15.75" customHeight="1" thickBot="1" x14ac:dyDescent="0.3">
      <c r="A203" s="109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1"/>
    </row>
    <row r="204" spans="1:16" ht="15.75" customHeight="1" thickTop="1" x14ac:dyDescent="0.25">
      <c r="A204" s="343" t="s">
        <v>194</v>
      </c>
      <c r="B204" s="343"/>
      <c r="C204" s="343"/>
      <c r="D204" s="125" t="s">
        <v>222</v>
      </c>
      <c r="E204" s="328"/>
      <c r="F204" s="328"/>
      <c r="G204" s="328"/>
      <c r="H204" s="328"/>
      <c r="I204" s="328"/>
      <c r="J204" s="328"/>
      <c r="K204" s="328"/>
      <c r="L204" s="328"/>
      <c r="M204" s="328"/>
      <c r="N204" s="328"/>
      <c r="O204" s="328"/>
      <c r="P204" s="94"/>
    </row>
    <row r="205" spans="1:16" ht="15" customHeight="1" x14ac:dyDescent="0.25">
      <c r="A205" s="95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6"/>
    </row>
    <row r="206" spans="1:16" ht="15" customHeight="1" thickBot="1" x14ac:dyDescent="0.3">
      <c r="A206" s="126" t="s">
        <v>195</v>
      </c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6"/>
    </row>
    <row r="207" spans="1:16" ht="15" customHeight="1" thickTop="1" thickBot="1" x14ac:dyDescent="0.3">
      <c r="A207" s="127" t="s">
        <v>196</v>
      </c>
      <c r="B207" s="121">
        <v>8</v>
      </c>
      <c r="C207" s="120" t="s">
        <v>197</v>
      </c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6"/>
    </row>
    <row r="208" spans="1:16" ht="15" customHeight="1" thickTop="1" thickBot="1" x14ac:dyDescent="0.3">
      <c r="A208" s="127" t="s">
        <v>198</v>
      </c>
      <c r="B208" s="121">
        <v>0.03</v>
      </c>
      <c r="C208" s="120" t="s">
        <v>199</v>
      </c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6"/>
    </row>
    <row r="209" spans="1:16" ht="15.75" customHeight="1" thickTop="1" thickBot="1" x14ac:dyDescent="0.3">
      <c r="A209" s="127" t="s">
        <v>200</v>
      </c>
      <c r="B209" s="121">
        <v>1</v>
      </c>
      <c r="C209" s="120" t="s">
        <v>201</v>
      </c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6"/>
    </row>
    <row r="210" spans="1:16" ht="16.5" customHeight="1" thickTop="1" x14ac:dyDescent="0.25">
      <c r="A210" s="124" t="s">
        <v>202</v>
      </c>
      <c r="B210" s="118">
        <f>2*VLOOKUP(B158,'Gebouwgegevens Allacker'!$A$35:$F$46,6,0)*B207*B208*B209</f>
        <v>0</v>
      </c>
      <c r="C210" s="118" t="s">
        <v>203</v>
      </c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6"/>
    </row>
    <row r="211" spans="1:16" ht="15.75" customHeight="1" x14ac:dyDescent="0.25">
      <c r="A211" s="95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6"/>
    </row>
    <row r="212" spans="1:16" ht="15" customHeight="1" x14ac:dyDescent="0.25">
      <c r="A212" s="126" t="s">
        <v>204</v>
      </c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6"/>
    </row>
    <row r="213" spans="1:16" ht="15.75" customHeight="1" x14ac:dyDescent="0.25">
      <c r="A213" s="95" t="s">
        <v>180</v>
      </c>
      <c r="B213" s="98">
        <f>VLOOKUP(B158,'Gebouwgegevens Allacker'!$A$35:$F$46,6,0)</f>
        <v>0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6"/>
    </row>
    <row r="214" spans="1:16" ht="16.5" customHeight="1" x14ac:dyDescent="0.25">
      <c r="A214" s="124" t="s">
        <v>205</v>
      </c>
      <c r="B214" s="128">
        <v>25</v>
      </c>
      <c r="C214" s="118" t="s">
        <v>203</v>
      </c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6"/>
    </row>
    <row r="215" spans="1:16" ht="15.75" customHeight="1" x14ac:dyDescent="0.25">
      <c r="A215" s="95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6"/>
    </row>
    <row r="216" spans="1:16" ht="15.75" customHeight="1" x14ac:dyDescent="0.25">
      <c r="A216" s="95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6"/>
    </row>
    <row r="217" spans="1:16" ht="16.5" customHeight="1" x14ac:dyDescent="0.25">
      <c r="A217" s="124" t="s">
        <v>207</v>
      </c>
      <c r="B217" s="118">
        <f>MAX(B210,B214)</f>
        <v>25</v>
      </c>
      <c r="C217" s="118" t="s">
        <v>203</v>
      </c>
      <c r="D217" s="98"/>
      <c r="E217" s="98"/>
      <c r="F217" s="118" t="s">
        <v>208</v>
      </c>
      <c r="G217" s="118">
        <f>B217/VLOOKUP(B158,'Gebouwgegevens Allacker'!$A$35:$B$46,2,0)</f>
        <v>0.16407644649795233</v>
      </c>
      <c r="H217" s="98"/>
      <c r="I217" s="98"/>
      <c r="J217" s="98"/>
      <c r="K217" s="98"/>
      <c r="L217" s="98"/>
      <c r="M217" s="98"/>
      <c r="N217" s="98"/>
      <c r="O217" s="98"/>
      <c r="P217" s="96"/>
    </row>
    <row r="218" spans="1:16" ht="16.5" customHeight="1" x14ac:dyDescent="0.25">
      <c r="A218" s="95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6"/>
    </row>
    <row r="219" spans="1:16" ht="16.5" customHeight="1" x14ac:dyDescent="0.25">
      <c r="A219" s="124" t="s">
        <v>209</v>
      </c>
      <c r="B219" s="118">
        <f>0.34*B217</f>
        <v>8.5</v>
      </c>
      <c r="C219" s="118" t="s">
        <v>107</v>
      </c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6"/>
    </row>
    <row r="220" spans="1:16" ht="16.5" customHeight="1" x14ac:dyDescent="0.25">
      <c r="A220" s="124" t="s">
        <v>167</v>
      </c>
      <c r="B220" s="118">
        <f>B219*('Gebouwgegevens Allacker'!E180-$B$4)</f>
        <v>68</v>
      </c>
      <c r="C220" s="118" t="s">
        <v>169</v>
      </c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6"/>
    </row>
    <row r="221" spans="1:16" ht="15.75" customHeight="1" thickBot="1" x14ac:dyDescent="0.3">
      <c r="A221" s="140"/>
      <c r="B221" s="141"/>
      <c r="C221" s="141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1"/>
    </row>
    <row r="222" spans="1:16" ht="15.75" customHeight="1" thickTop="1" x14ac:dyDescent="0.25">
      <c r="A222" s="343" t="s">
        <v>210</v>
      </c>
      <c r="B222" s="343"/>
      <c r="C222" s="343"/>
      <c r="D222" s="343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6"/>
    </row>
    <row r="223" spans="1:16" ht="15" customHeight="1" thickBot="1" x14ac:dyDescent="0.3">
      <c r="A223" s="95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6"/>
    </row>
    <row r="224" spans="1:16" ht="15" customHeight="1" thickTop="1" thickBot="1" x14ac:dyDescent="0.3">
      <c r="A224" s="127" t="s">
        <v>211</v>
      </c>
      <c r="B224" s="121">
        <v>0</v>
      </c>
      <c r="C224" s="58" t="s">
        <v>227</v>
      </c>
      <c r="D224" s="5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6"/>
    </row>
    <row r="225" spans="1:16" ht="15.75" customHeight="1" thickTop="1" x14ac:dyDescent="0.25">
      <c r="A225" s="3" t="s">
        <v>113</v>
      </c>
      <c r="B225" s="58">
        <f>VLOOKUP(B158,'Gebouwgegevens Allacker'!$A$35:$F$46,6,0)</f>
        <v>0</v>
      </c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6"/>
    </row>
    <row r="226" spans="1:16" ht="16.5" customHeight="1" x14ac:dyDescent="0.25">
      <c r="A226" s="124" t="s">
        <v>213</v>
      </c>
      <c r="B226" s="118">
        <f>B227/('Gebouwgegevens Allacker'!E180-'Verwarming Tabula 2zone RefULG2'!$B$4)</f>
        <v>0</v>
      </c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6"/>
    </row>
    <row r="227" spans="1:16" ht="16.5" customHeight="1" x14ac:dyDescent="0.25">
      <c r="A227" s="124" t="s">
        <v>167</v>
      </c>
      <c r="B227" s="118">
        <f>B224*B225</f>
        <v>0</v>
      </c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6"/>
    </row>
    <row r="228" spans="1:16" ht="15.75" customHeight="1" x14ac:dyDescent="0.25">
      <c r="A228" s="95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6"/>
    </row>
    <row r="229" spans="1:16" ht="15.75" customHeight="1" thickBot="1" x14ac:dyDescent="0.3">
      <c r="A229" s="95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6"/>
    </row>
    <row r="230" spans="1:16" ht="15.75" customHeight="1" thickTop="1" thickBot="1" x14ac:dyDescent="0.3">
      <c r="A230" s="129" t="s">
        <v>214</v>
      </c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1"/>
    </row>
    <row r="231" spans="1:16" ht="16.5" customHeight="1" thickTop="1" x14ac:dyDescent="0.25">
      <c r="A231" s="124" t="s">
        <v>215</v>
      </c>
      <c r="B231" s="118" t="e">
        <f>SUM(B201,B219,B226)</f>
        <v>#N/A</v>
      </c>
      <c r="C231" s="118" t="s">
        <v>107</v>
      </c>
      <c r="D231" s="132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3"/>
    </row>
    <row r="232" spans="1:16" ht="16.5" customHeight="1" x14ac:dyDescent="0.25">
      <c r="A232" s="124" t="s">
        <v>167</v>
      </c>
      <c r="B232" s="118" t="e">
        <f>SUM(B202,B220,B227)</f>
        <v>#N/A</v>
      </c>
      <c r="C232" s="118" t="s">
        <v>169</v>
      </c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3"/>
    </row>
    <row r="233" spans="1:16" ht="16.5" customHeight="1" thickBot="1" x14ac:dyDescent="0.3">
      <c r="A233" s="134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6"/>
    </row>
    <row r="234" spans="1:16" ht="15" customHeight="1" thickTop="1" x14ac:dyDescent="0.25">
      <c r="A234" s="137"/>
      <c r="B234" s="137"/>
      <c r="C234" s="137"/>
      <c r="D234" s="137"/>
      <c r="E234" s="137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</row>
    <row r="235" spans="1:16" ht="15.75" customHeight="1" thickBot="1" x14ac:dyDescent="0.3">
      <c r="A235" s="137"/>
      <c r="B235" s="137"/>
      <c r="C235" s="137"/>
      <c r="D235" s="137"/>
      <c r="E235" s="137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</row>
    <row r="236" spans="1:16" ht="15" customHeight="1" thickTop="1" thickBot="1" x14ac:dyDescent="0.3">
      <c r="A236" s="93"/>
      <c r="B236" s="328"/>
      <c r="C236" s="328"/>
      <c r="D236" s="328"/>
      <c r="E236" s="328"/>
      <c r="F236" s="328"/>
      <c r="G236" s="328"/>
      <c r="H236" s="328"/>
      <c r="I236" s="328"/>
      <c r="J236" s="328"/>
      <c r="K236" s="328"/>
      <c r="L236" s="328"/>
      <c r="M236" s="328"/>
      <c r="N236" s="328"/>
      <c r="O236" s="328"/>
      <c r="P236" s="94"/>
    </row>
    <row r="237" spans="1:16" ht="17.25" customHeight="1" thickTop="1" thickBot="1" x14ac:dyDescent="0.35">
      <c r="A237" s="97" t="s">
        <v>166</v>
      </c>
      <c r="B237" s="92">
        <v>4</v>
      </c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6"/>
    </row>
    <row r="238" spans="1:16" ht="15.75" customHeight="1" thickTop="1" x14ac:dyDescent="0.25">
      <c r="A238" s="343" t="s">
        <v>168</v>
      </c>
      <c r="B238" s="343"/>
      <c r="C238" s="343"/>
      <c r="D238" s="343"/>
      <c r="E238" s="328"/>
      <c r="F238" s="328"/>
      <c r="G238" s="328"/>
      <c r="H238" s="328"/>
      <c r="I238" s="328"/>
      <c r="J238" s="328"/>
      <c r="K238" s="328"/>
      <c r="L238" s="328"/>
      <c r="M238" s="328"/>
      <c r="N238" s="328"/>
      <c r="O238" s="328"/>
      <c r="P238" s="94"/>
    </row>
    <row r="239" spans="1:16" ht="15" customHeight="1" x14ac:dyDescent="0.25">
      <c r="A239" s="95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6"/>
    </row>
    <row r="240" spans="1:16" ht="15" customHeight="1" x14ac:dyDescent="0.25">
      <c r="A240" s="103" t="s">
        <v>170</v>
      </c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6"/>
    </row>
    <row r="241" spans="1:16" ht="15" customHeight="1" x14ac:dyDescent="0.25">
      <c r="A241" s="95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6"/>
    </row>
    <row r="242" spans="1:16" ht="15.75" customHeight="1" thickBot="1" x14ac:dyDescent="0.3">
      <c r="A242" s="95"/>
      <c r="B242" s="104" t="s">
        <v>10</v>
      </c>
      <c r="C242" s="104" t="s">
        <v>171</v>
      </c>
      <c r="D242" s="104" t="s">
        <v>172</v>
      </c>
      <c r="E242" s="104" t="s">
        <v>173</v>
      </c>
      <c r="F242" s="104" t="s">
        <v>174</v>
      </c>
      <c r="G242" s="104" t="s">
        <v>16</v>
      </c>
      <c r="H242" s="105" t="s">
        <v>17</v>
      </c>
      <c r="I242" s="105" t="s">
        <v>175</v>
      </c>
      <c r="J242" s="98"/>
      <c r="K242" s="98"/>
      <c r="L242" s="98"/>
      <c r="M242" s="98"/>
      <c r="N242" s="98"/>
      <c r="O242" s="98"/>
      <c r="P242" s="96"/>
    </row>
    <row r="243" spans="1:16" ht="16.5" customHeight="1" thickTop="1" thickBot="1" x14ac:dyDescent="0.3">
      <c r="A243" s="95"/>
      <c r="B243" s="106" t="s">
        <v>71</v>
      </c>
      <c r="C243" s="107">
        <f>VLOOKUP(B243,'Gebouwgegevens Allacker'!$J$5:$Q$83,3,0)</f>
        <v>3</v>
      </c>
      <c r="D243" s="107" t="str">
        <f>VLOOKUP(B243,'Gebouwgegevens Allacker'!$J$5:$Q$83,4,0)</f>
        <v>Wall External</v>
      </c>
      <c r="E243" s="107">
        <f>VLOOKUP(B243,'Gebouwgegevens Allacker'!$J$5:$Q$83,5,0)</f>
        <v>0</v>
      </c>
      <c r="F243" s="107" t="str">
        <f>VLOOKUP(B243,'Gebouwgegevens Allacker'!$J$5:$Q$83,6,0)</f>
        <v>front</v>
      </c>
      <c r="G243" s="107">
        <f>VLOOKUP(B243,'Gebouwgegevens Allacker'!$J$5:$Q$83,7,0)</f>
        <v>2.2022341505875525</v>
      </c>
      <c r="H243" s="108">
        <f>VLOOKUP(B243,'Gebouwgegevens Allacker'!$J$5:$Q$83,8,0)</f>
        <v>0</v>
      </c>
      <c r="I243" s="108">
        <v>1</v>
      </c>
      <c r="J243" s="98"/>
      <c r="K243" s="98"/>
      <c r="L243" s="98"/>
      <c r="M243" s="98"/>
      <c r="N243" s="98"/>
      <c r="O243" s="98"/>
      <c r="P243" s="96"/>
    </row>
    <row r="244" spans="1:16" ht="16.5" customHeight="1" thickTop="1" thickBot="1" x14ac:dyDescent="0.3">
      <c r="A244" s="95"/>
      <c r="B244" s="106" t="s">
        <v>75</v>
      </c>
      <c r="C244" s="107">
        <f>VLOOKUP(B244,'Gebouwgegevens Allacker'!$J$5:$Q$83,3,0)</f>
        <v>3</v>
      </c>
      <c r="D244" s="107" t="str">
        <f>VLOOKUP(B244,'Gebouwgegevens Allacker'!$J$5:$Q$83,4,0)</f>
        <v>Wall External</v>
      </c>
      <c r="E244" s="107">
        <f>VLOOKUP(B244,'Gebouwgegevens Allacker'!$J$5:$Q$83,5,0)</f>
        <v>14.24</v>
      </c>
      <c r="F244" s="107" t="str">
        <f>VLOOKUP(B244,'Gebouwgegevens Allacker'!$J$5:$Q$83,6,0)</f>
        <v>right</v>
      </c>
      <c r="G244" s="107">
        <f>VLOOKUP(B244,'Gebouwgegevens Allacker'!$J$5:$Q$83,7,0)</f>
        <v>2.2022341505875525</v>
      </c>
      <c r="H244" s="108">
        <f>VLOOKUP(B244,'Gebouwgegevens Allacker'!$J$5:$Q$83,8,0)</f>
        <v>31.359814304366747</v>
      </c>
      <c r="I244" s="108">
        <v>1</v>
      </c>
      <c r="J244" s="98"/>
      <c r="K244" s="98"/>
      <c r="L244" s="98"/>
      <c r="M244" s="98"/>
      <c r="N244" s="98"/>
      <c r="O244" s="98"/>
      <c r="P244" s="96"/>
    </row>
    <row r="245" spans="1:16" ht="16.5" customHeight="1" thickTop="1" thickBot="1" x14ac:dyDescent="0.3">
      <c r="A245" s="95"/>
      <c r="B245" s="106" t="s">
        <v>79</v>
      </c>
      <c r="C245" s="107">
        <f>VLOOKUP(B245,'Gebouwgegevens Allacker'!$J$5:$Q$83,3,0)</f>
        <v>3</v>
      </c>
      <c r="D245" s="107" t="str">
        <f>VLOOKUP(B245,'Gebouwgegevens Allacker'!$J$5:$Q$83,4,0)</f>
        <v>Wall External</v>
      </c>
      <c r="E245" s="107">
        <f>VLOOKUP(B245,'Gebouwgegevens Allacker'!$J$5:$Q$83,5,0)</f>
        <v>0</v>
      </c>
      <c r="F245" s="107" t="str">
        <f>VLOOKUP(B245,'Gebouwgegevens Allacker'!$J$5:$Q$83,6,0)</f>
        <v>back</v>
      </c>
      <c r="G245" s="107">
        <f>VLOOKUP(B245,'Gebouwgegevens Allacker'!$J$5:$Q$83,7,0)</f>
        <v>2.2022341505875525</v>
      </c>
      <c r="H245" s="108">
        <f>VLOOKUP(B245,'Gebouwgegevens Allacker'!$J$5:$Q$83,8,0)</f>
        <v>0</v>
      </c>
      <c r="I245" s="108">
        <v>1</v>
      </c>
      <c r="J245" s="98"/>
      <c r="K245" s="98"/>
      <c r="L245" s="98"/>
      <c r="M245" s="98"/>
      <c r="N245" s="98"/>
      <c r="O245" s="98"/>
      <c r="P245" s="96"/>
    </row>
    <row r="246" spans="1:16" ht="16.5" customHeight="1" thickTop="1" thickBot="1" x14ac:dyDescent="0.3">
      <c r="A246" s="95"/>
      <c r="B246" s="142" t="s">
        <v>82</v>
      </c>
      <c r="C246" s="107">
        <f>VLOOKUP(B246,'Gebouwgegevens Allacker'!$J$5:$Q$83,3,0)</f>
        <v>3</v>
      </c>
      <c r="D246" s="107" t="str">
        <f>VLOOKUP(B246,'Gebouwgegevens Allacker'!$J$5:$Q$83,4,0)</f>
        <v>Wall External</v>
      </c>
      <c r="E246" s="107">
        <f>VLOOKUP(B246,'Gebouwgegevens Allacker'!$J$5:$Q$83,5,0)</f>
        <v>14.24</v>
      </c>
      <c r="F246" s="107" t="str">
        <f>VLOOKUP(B246,'Gebouwgegevens Allacker'!$J$5:$Q$83,6,0)</f>
        <v>left</v>
      </c>
      <c r="G246" s="107">
        <f>VLOOKUP(B246,'Gebouwgegevens Allacker'!$J$5:$Q$83,7,0)</f>
        <v>2.2022341505875525</v>
      </c>
      <c r="H246" s="108">
        <f>VLOOKUP(B246,'Gebouwgegevens Allacker'!$J$5:$Q$83,8,0)</f>
        <v>31.359814304366747</v>
      </c>
      <c r="I246" s="108">
        <v>1</v>
      </c>
      <c r="J246" s="98"/>
      <c r="K246" s="98"/>
      <c r="L246" s="98"/>
      <c r="M246" s="98"/>
      <c r="N246" s="98"/>
      <c r="O246" s="98"/>
      <c r="P246" s="96"/>
    </row>
    <row r="247" spans="1:16" ht="16.5" customHeight="1" thickTop="1" thickBot="1" x14ac:dyDescent="0.3">
      <c r="A247" s="95"/>
      <c r="B247" s="143"/>
      <c r="C247" s="144"/>
      <c r="D247" s="107"/>
      <c r="E247" s="107"/>
      <c r="F247" s="107"/>
      <c r="G247" s="107"/>
      <c r="H247" s="108"/>
      <c r="I247" s="108"/>
      <c r="J247" s="98"/>
      <c r="K247" s="98"/>
      <c r="L247" s="98"/>
      <c r="M247" s="98"/>
      <c r="N247" s="98"/>
      <c r="O247" s="98"/>
      <c r="P247" s="96"/>
    </row>
    <row r="248" spans="1:16" ht="16.5" customHeight="1" thickTop="1" thickBot="1" x14ac:dyDescent="0.3">
      <c r="A248" s="95"/>
      <c r="B248" s="143"/>
      <c r="C248" s="144"/>
      <c r="D248" s="107"/>
      <c r="E248" s="107"/>
      <c r="F248" s="107"/>
      <c r="G248" s="107"/>
      <c r="H248" s="108"/>
      <c r="I248" s="108"/>
      <c r="J248" s="98"/>
      <c r="K248" s="98"/>
      <c r="L248" s="98"/>
      <c r="M248" s="98"/>
      <c r="N248" s="98"/>
      <c r="O248" s="98"/>
      <c r="P248" s="96"/>
    </row>
    <row r="249" spans="1:16" ht="16.5" customHeight="1" thickTop="1" thickBot="1" x14ac:dyDescent="0.3">
      <c r="A249" s="95"/>
      <c r="B249" s="143"/>
      <c r="C249" s="144"/>
      <c r="D249" s="107"/>
      <c r="E249" s="107"/>
      <c r="F249" s="107"/>
      <c r="G249" s="107"/>
      <c r="H249" s="108"/>
      <c r="I249" s="108"/>
      <c r="J249" s="98"/>
      <c r="K249" s="98"/>
      <c r="L249" s="98"/>
      <c r="M249" s="98"/>
      <c r="N249" s="98"/>
      <c r="O249" s="98"/>
      <c r="P249" s="96"/>
    </row>
    <row r="250" spans="1:16" ht="16.5" customHeight="1" thickTop="1" thickBot="1" x14ac:dyDescent="0.3">
      <c r="A250" s="95"/>
      <c r="B250" s="143"/>
      <c r="C250" s="144"/>
      <c r="D250" s="107"/>
      <c r="E250" s="107"/>
      <c r="F250" s="107"/>
      <c r="G250" s="107"/>
      <c r="H250" s="108"/>
      <c r="I250" s="108"/>
      <c r="J250" s="98"/>
      <c r="K250" s="98"/>
      <c r="L250" s="98"/>
      <c r="M250" s="98"/>
      <c r="N250" s="98"/>
      <c r="O250" s="98"/>
      <c r="P250" s="96"/>
    </row>
    <row r="251" spans="1:16" ht="16.5" customHeight="1" thickTop="1" thickBot="1" x14ac:dyDescent="0.3">
      <c r="A251" s="95"/>
      <c r="B251" s="143"/>
      <c r="C251" s="144"/>
      <c r="D251" s="107"/>
      <c r="E251" s="107"/>
      <c r="F251" s="107"/>
      <c r="G251" s="107"/>
      <c r="H251" s="108"/>
      <c r="I251" s="108"/>
      <c r="J251" s="98"/>
      <c r="K251" s="98"/>
      <c r="L251" s="98"/>
      <c r="M251" s="98"/>
      <c r="N251" s="98"/>
      <c r="O251" s="98"/>
      <c r="P251" s="96"/>
    </row>
    <row r="252" spans="1:16" ht="16.5" customHeight="1" thickTop="1" thickBot="1" x14ac:dyDescent="0.3">
      <c r="A252" s="95"/>
      <c r="B252" s="143"/>
      <c r="C252" s="144"/>
      <c r="D252" s="107"/>
      <c r="E252" s="107"/>
      <c r="F252" s="107"/>
      <c r="G252" s="107"/>
      <c r="H252" s="108"/>
      <c r="I252" s="108"/>
      <c r="J252" s="98"/>
      <c r="K252" s="98"/>
      <c r="L252" s="98"/>
      <c r="M252" s="98"/>
      <c r="N252" s="98"/>
      <c r="O252" s="98"/>
      <c r="P252" s="96"/>
    </row>
    <row r="253" spans="1:16" ht="16.5" customHeight="1" thickTop="1" thickBot="1" x14ac:dyDescent="0.3">
      <c r="A253" s="95"/>
      <c r="B253" s="143"/>
      <c r="C253" s="144"/>
      <c r="D253" s="107"/>
      <c r="E253" s="107"/>
      <c r="F253" s="107"/>
      <c r="G253" s="107"/>
      <c r="H253" s="108"/>
      <c r="I253" s="108"/>
      <c r="J253" s="98"/>
      <c r="K253" s="98"/>
      <c r="L253" s="98"/>
      <c r="M253" s="98"/>
      <c r="N253" s="98"/>
      <c r="O253" s="98"/>
      <c r="P253" s="96"/>
    </row>
    <row r="254" spans="1:16" ht="16.5" customHeight="1" thickTop="1" thickBot="1" x14ac:dyDescent="0.3">
      <c r="A254" s="95"/>
      <c r="B254" s="143"/>
      <c r="C254" s="144"/>
      <c r="D254" s="107"/>
      <c r="E254" s="107"/>
      <c r="F254" s="107"/>
      <c r="G254" s="107"/>
      <c r="H254" s="108"/>
      <c r="I254" s="108"/>
      <c r="J254" s="98"/>
      <c r="K254" s="98"/>
      <c r="L254" s="98"/>
      <c r="M254" s="98"/>
      <c r="N254" s="98"/>
      <c r="O254" s="98"/>
      <c r="P254" s="96"/>
    </row>
    <row r="255" spans="1:16" ht="15.75" customHeight="1" thickTop="1" x14ac:dyDescent="0.25">
      <c r="A255" s="95"/>
      <c r="B255" s="58"/>
      <c r="C255" s="58"/>
      <c r="D255" s="58"/>
      <c r="E255" s="58"/>
      <c r="F255" s="58"/>
      <c r="G255" s="114"/>
      <c r="H255" s="58"/>
      <c r="I255" s="58"/>
      <c r="J255" s="98"/>
      <c r="K255" s="98"/>
      <c r="L255" s="98"/>
      <c r="M255" s="98"/>
      <c r="N255" s="98"/>
      <c r="O255" s="98"/>
      <c r="P255" s="96"/>
    </row>
    <row r="256" spans="1:16" ht="15" customHeight="1" x14ac:dyDescent="0.25">
      <c r="A256" s="95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6"/>
    </row>
    <row r="257" spans="1:16" ht="15" customHeight="1" x14ac:dyDescent="0.25">
      <c r="A257" s="103" t="s">
        <v>177</v>
      </c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6"/>
    </row>
    <row r="258" spans="1:16" ht="15.75" customHeight="1" x14ac:dyDescent="0.25">
      <c r="A258" s="95"/>
      <c r="B258" s="58" t="s">
        <v>10</v>
      </c>
      <c r="C258" s="58" t="s">
        <v>178</v>
      </c>
      <c r="D258" s="58" t="s">
        <v>172</v>
      </c>
      <c r="E258" s="58" t="s">
        <v>179</v>
      </c>
      <c r="F258" s="58" t="s">
        <v>16</v>
      </c>
      <c r="G258" s="114" t="s">
        <v>17</v>
      </c>
      <c r="H258" s="114" t="s">
        <v>175</v>
      </c>
      <c r="I258" s="58" t="s">
        <v>180</v>
      </c>
      <c r="J258" s="58" t="s">
        <v>181</v>
      </c>
      <c r="K258" s="58" t="s">
        <v>182</v>
      </c>
      <c r="L258" s="115" t="s">
        <v>183</v>
      </c>
      <c r="M258" s="115" t="s">
        <v>184</v>
      </c>
      <c r="N258" s="115" t="s">
        <v>185</v>
      </c>
      <c r="O258" s="98"/>
      <c r="P258" s="96"/>
    </row>
    <row r="259" spans="1:16" ht="16.5" customHeight="1" thickBot="1" x14ac:dyDescent="0.3">
      <c r="A259" s="95"/>
      <c r="B259" s="116"/>
      <c r="C259" s="117"/>
      <c r="D259" s="117"/>
      <c r="E259" s="117"/>
      <c r="F259" s="117"/>
      <c r="G259" s="118"/>
      <c r="H259" s="118"/>
      <c r="I259" s="117"/>
      <c r="J259" s="116"/>
      <c r="K259" s="116"/>
      <c r="L259" s="119"/>
      <c r="M259" s="119"/>
      <c r="N259" s="120"/>
      <c r="O259" s="98"/>
      <c r="P259" s="96"/>
    </row>
    <row r="260" spans="1:16" ht="16.5" customHeight="1" thickTop="1" thickBot="1" x14ac:dyDescent="0.3">
      <c r="A260" s="95"/>
      <c r="B260" s="116"/>
      <c r="C260" s="117"/>
      <c r="D260" s="117"/>
      <c r="E260" s="117"/>
      <c r="F260" s="117"/>
      <c r="G260" s="118"/>
      <c r="H260" s="118"/>
      <c r="I260" s="117"/>
      <c r="J260" s="116"/>
      <c r="K260" s="116"/>
      <c r="L260" s="119"/>
      <c r="M260" s="119"/>
      <c r="N260" s="120"/>
      <c r="O260" s="98"/>
      <c r="P260" s="96"/>
    </row>
    <row r="261" spans="1:16" ht="16.5" customHeight="1" thickTop="1" thickBot="1" x14ac:dyDescent="0.3">
      <c r="A261" s="95"/>
      <c r="B261" s="116"/>
      <c r="C261" s="117"/>
      <c r="D261" s="117"/>
      <c r="E261" s="117"/>
      <c r="F261" s="117"/>
      <c r="G261" s="118"/>
      <c r="H261" s="118"/>
      <c r="I261" s="117"/>
      <c r="J261" s="116"/>
      <c r="K261" s="116"/>
      <c r="L261" s="119"/>
      <c r="M261" s="119"/>
      <c r="N261" s="120"/>
      <c r="O261" s="98"/>
      <c r="P261" s="96"/>
    </row>
    <row r="262" spans="1:16" ht="16.5" customHeight="1" thickTop="1" thickBot="1" x14ac:dyDescent="0.3">
      <c r="A262" s="95"/>
      <c r="B262" s="116"/>
      <c r="C262" s="117"/>
      <c r="D262" s="117"/>
      <c r="E262" s="117"/>
      <c r="F262" s="117"/>
      <c r="G262" s="118"/>
      <c r="H262" s="118"/>
      <c r="I262" s="117"/>
      <c r="J262" s="116"/>
      <c r="K262" s="116"/>
      <c r="L262" s="119"/>
      <c r="M262" s="119"/>
      <c r="N262" s="120"/>
      <c r="O262" s="98"/>
      <c r="P262" s="96"/>
    </row>
    <row r="263" spans="1:16" ht="16.5" customHeight="1" thickTop="1" thickBot="1" x14ac:dyDescent="0.3">
      <c r="A263" s="138"/>
      <c r="B263" s="116"/>
      <c r="C263" s="117"/>
      <c r="D263" s="117"/>
      <c r="E263" s="117"/>
      <c r="F263" s="117"/>
      <c r="G263" s="118"/>
      <c r="H263" s="118"/>
      <c r="I263" s="117"/>
      <c r="J263" s="116"/>
      <c r="K263" s="116"/>
      <c r="L263" s="119"/>
      <c r="M263" s="119"/>
      <c r="N263" s="120"/>
      <c r="O263" s="98"/>
      <c r="P263" s="96"/>
    </row>
    <row r="264" spans="1:16" ht="15.75" customHeight="1" thickTop="1" x14ac:dyDescent="0.25">
      <c r="A264" s="95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6"/>
    </row>
    <row r="265" spans="1:16" ht="15" customHeight="1" x14ac:dyDescent="0.25">
      <c r="A265" s="103" t="s">
        <v>186</v>
      </c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6"/>
    </row>
    <row r="266" spans="1:16" ht="15.75" customHeight="1" thickBot="1" x14ac:dyDescent="0.3">
      <c r="A266" s="95"/>
      <c r="B266" s="58" t="s">
        <v>10</v>
      </c>
      <c r="C266" s="58" t="s">
        <v>187</v>
      </c>
      <c r="D266" s="58" t="s">
        <v>188</v>
      </c>
      <c r="E266" s="58" t="s">
        <v>135</v>
      </c>
      <c r="F266" s="58" t="s">
        <v>189</v>
      </c>
      <c r="G266" s="58" t="s">
        <v>190</v>
      </c>
      <c r="H266" s="58" t="s">
        <v>191</v>
      </c>
      <c r="I266" s="58" t="s">
        <v>16</v>
      </c>
      <c r="J266" s="114" t="s">
        <v>17</v>
      </c>
      <c r="K266" s="114" t="s">
        <v>175</v>
      </c>
      <c r="L266" s="98"/>
      <c r="M266" s="98"/>
      <c r="N266" s="98"/>
      <c r="O266" s="98"/>
      <c r="P266" s="96"/>
    </row>
    <row r="267" spans="1:16" ht="16.5" customHeight="1" thickTop="1" thickBot="1" x14ac:dyDescent="0.3">
      <c r="A267" s="95"/>
      <c r="B267" s="121" t="s">
        <v>228</v>
      </c>
      <c r="C267" s="122" t="e">
        <f>IF(VLOOKUP(B267,'Gebouwgegevens Allacker'!$J$5:$Q$83,2,0)=$B$237,VLOOKUP(B267,'Gebouwgegevens Allacker'!$J$5:$Q$83,2,0),VLOOKUP(B267,'Gebouwgegevens Allacker'!$J$5:$Q$83,3,0))</f>
        <v>#N/A</v>
      </c>
      <c r="D267" s="122" t="e">
        <f>IF(VLOOKUP(B267,'Gebouwgegevens Allacker'!$J$5:$Q$83,2,0)=$B$237,VLOOKUP(B267,'Gebouwgegevens Allacker'!$J$5:$Q$83,3,0),VLOOKUP(B267,'Gebouwgegevens Allacker'!$J$5:$Q$83,2,0))</f>
        <v>#N/A</v>
      </c>
      <c r="E267" s="122" t="e">
        <f>VLOOKUP(B267,'Gebouwgegevens Allacker'!$J$5:$Q$83,4,0)</f>
        <v>#N/A</v>
      </c>
      <c r="F267" s="122" t="e">
        <f>VLOOKUP(B267,'Gebouwgegevens Allacker'!$J$5:$Q$83,5,0)</f>
        <v>#N/A</v>
      </c>
      <c r="G267" s="122" t="e">
        <f>VLOOKUP('Verwarming Tabula 2zone RefULG2'!C267,'Gebouwgegevens Allacker'!$A$35:$F$46,5,0)</f>
        <v>#N/A</v>
      </c>
      <c r="H267" s="122" t="e">
        <f>VLOOKUP('Verwarming Tabula 2zone RefULG2'!D267,'Gebouwgegevens Allacker'!$A$35:$F$46,5,0)</f>
        <v>#N/A</v>
      </c>
      <c r="I267" s="122" t="e">
        <f>VLOOKUP(B267,'Gebouwgegevens Allacker'!$J$5:$Q$83,7,0)</f>
        <v>#N/A</v>
      </c>
      <c r="J267" s="118" t="e">
        <f>VLOOKUP(B267,'Gebouwgegevens Allacker'!$J$5:$Q$83,8,0)</f>
        <v>#N/A</v>
      </c>
      <c r="K267" s="118" t="e">
        <f>(G267-H267)/(G267-$B$4)</f>
        <v>#N/A</v>
      </c>
      <c r="L267" s="98"/>
      <c r="M267" s="98"/>
      <c r="N267" s="98"/>
      <c r="O267" s="98"/>
      <c r="P267" s="96"/>
    </row>
    <row r="268" spans="1:16" ht="16.5" customHeight="1" thickTop="1" thickBot="1" x14ac:dyDescent="0.3">
      <c r="A268" s="95"/>
      <c r="B268" s="121" t="s">
        <v>229</v>
      </c>
      <c r="C268" s="122" t="e">
        <f>IF(VLOOKUP(B268,'Gebouwgegevens Allacker'!$J$5:$Q$83,2,0)=$B$237,VLOOKUP(B268,'Gebouwgegevens Allacker'!$J$5:$Q$83,2,0),VLOOKUP(B268,'Gebouwgegevens Allacker'!$J$5:$Q$83,3,0))</f>
        <v>#N/A</v>
      </c>
      <c r="D268" s="122" t="e">
        <f>IF(VLOOKUP(B268,'Gebouwgegevens Allacker'!$J$5:$Q$83,2,0)=$B$237,VLOOKUP(B268,'Gebouwgegevens Allacker'!$J$5:$Q$83,3,0),VLOOKUP(B268,'Gebouwgegevens Allacker'!$J$5:$Q$83,2,0))</f>
        <v>#N/A</v>
      </c>
      <c r="E268" s="122" t="e">
        <f>VLOOKUP(B268,'Gebouwgegevens Allacker'!$J$5:$Q$83,4,0)</f>
        <v>#N/A</v>
      </c>
      <c r="F268" s="122" t="e">
        <f>VLOOKUP(B268,'Gebouwgegevens Allacker'!$J$5:$Q$83,5,0)</f>
        <v>#N/A</v>
      </c>
      <c r="G268" s="122" t="e">
        <f>VLOOKUP('Verwarming Tabula 2zone RefULG2'!C268,'Gebouwgegevens Allacker'!$A$35:$F$46,5,0)</f>
        <v>#N/A</v>
      </c>
      <c r="H268" s="122" t="e">
        <f>VLOOKUP('Verwarming Tabula 2zone RefULG2'!D268,'Gebouwgegevens Allacker'!$A$35:$F$46,5,0)</f>
        <v>#N/A</v>
      </c>
      <c r="I268" s="122" t="e">
        <f>VLOOKUP(B268,'Gebouwgegevens Allacker'!$J$5:$Q$83,7,0)</f>
        <v>#N/A</v>
      </c>
      <c r="J268" s="118" t="e">
        <f>VLOOKUP(B268,'Gebouwgegevens Allacker'!$J$5:$Q$83,8,0)</f>
        <v>#N/A</v>
      </c>
      <c r="K268" s="118" t="e">
        <f>(G268-H268)/(G268-$B$4)</f>
        <v>#N/A</v>
      </c>
      <c r="L268" s="98"/>
      <c r="M268" s="98"/>
      <c r="N268" s="98"/>
      <c r="O268" s="98"/>
      <c r="P268" s="96"/>
    </row>
    <row r="269" spans="1:16" ht="16.5" customHeight="1" thickTop="1" thickBot="1" x14ac:dyDescent="0.3">
      <c r="A269" s="95"/>
      <c r="B269" s="121" t="s">
        <v>230</v>
      </c>
      <c r="C269" s="122" t="e">
        <f>IF(VLOOKUP(B269,'Gebouwgegevens Allacker'!$J$5:$Q$83,2,0)=$B$237,VLOOKUP(B269,'Gebouwgegevens Allacker'!$J$5:$Q$83,2,0),VLOOKUP(B269,'Gebouwgegevens Allacker'!$J$5:$Q$83,3,0))</f>
        <v>#N/A</v>
      </c>
      <c r="D269" s="122" t="e">
        <f>IF(VLOOKUP(B269,'Gebouwgegevens Allacker'!$J$5:$Q$83,2,0)=$B$237,VLOOKUP(B269,'Gebouwgegevens Allacker'!$J$5:$Q$83,3,0),VLOOKUP(B269,'Gebouwgegevens Allacker'!$J$5:$Q$83,2,0))</f>
        <v>#N/A</v>
      </c>
      <c r="E269" s="122" t="e">
        <f>VLOOKUP(B269,'Gebouwgegevens Allacker'!$J$5:$Q$83,4,0)</f>
        <v>#N/A</v>
      </c>
      <c r="F269" s="122" t="e">
        <f>VLOOKUP(B269,'Gebouwgegevens Allacker'!$J$5:$Q$83,5,0)</f>
        <v>#N/A</v>
      </c>
      <c r="G269" s="122" t="e">
        <f>VLOOKUP('Verwarming Tabula 2zone RefULG2'!C269,'Gebouwgegevens Allacker'!$A$35:$F$46,5,0)</f>
        <v>#N/A</v>
      </c>
      <c r="H269" s="122" t="e">
        <f>VLOOKUP('Verwarming Tabula 2zone RefULG2'!D269,'Gebouwgegevens Allacker'!$A$35:$F$46,5,0)</f>
        <v>#N/A</v>
      </c>
      <c r="I269" s="122" t="e">
        <f>VLOOKUP(B269,'Gebouwgegevens Allacker'!$J$5:$Q$83,7,0)</f>
        <v>#N/A</v>
      </c>
      <c r="J269" s="118" t="e">
        <f>VLOOKUP(B269,'Gebouwgegevens Allacker'!$J$5:$Q$83,8,0)</f>
        <v>#N/A</v>
      </c>
      <c r="K269" s="118" t="e">
        <f>(G269-H269)/(G269-$B$4)</f>
        <v>#N/A</v>
      </c>
      <c r="L269" s="98"/>
      <c r="M269" s="98"/>
      <c r="N269" s="98"/>
      <c r="O269" s="98"/>
      <c r="P269" s="96"/>
    </row>
    <row r="270" spans="1:16" ht="16.5" customHeight="1" thickTop="1" thickBot="1" x14ac:dyDescent="0.3">
      <c r="A270" s="95"/>
      <c r="B270" s="92" t="s">
        <v>231</v>
      </c>
      <c r="C270" s="122" t="e">
        <f>IF(VLOOKUP(B270,'Gebouwgegevens Allacker'!$J$5:$Q$83,2,0)=$B$237,VLOOKUP(B270,'Gebouwgegevens Allacker'!$J$5:$Q$83,2,0),VLOOKUP(B270,'Gebouwgegevens Allacker'!$J$5:$Q$83,3,0))</f>
        <v>#N/A</v>
      </c>
      <c r="D270" s="122" t="e">
        <f>IF(VLOOKUP(B270,'Gebouwgegevens Allacker'!$J$5:$Q$83,2,0)=$B$237,VLOOKUP(B270,'Gebouwgegevens Allacker'!$J$5:$Q$83,3,0),VLOOKUP(B270,'Gebouwgegevens Allacker'!$J$5:$Q$83,2,0))</f>
        <v>#N/A</v>
      </c>
      <c r="E270" s="122" t="e">
        <f>VLOOKUP(B270,'Gebouwgegevens Allacker'!$J$5:$Q$83,4,0)</f>
        <v>#N/A</v>
      </c>
      <c r="F270" s="122" t="e">
        <f>VLOOKUP(B270,'Gebouwgegevens Allacker'!$J$5:$Q$83,5,0)</f>
        <v>#N/A</v>
      </c>
      <c r="G270" s="122" t="e">
        <f>VLOOKUP('Verwarming Tabula 2zone RefULG2'!C270,'Gebouwgegevens Allacker'!$A$35:$F$46,5,0)</f>
        <v>#N/A</v>
      </c>
      <c r="H270" s="122" t="e">
        <f>VLOOKUP('Verwarming Tabula 2zone RefULG2'!D270,'Gebouwgegevens Allacker'!$A$35:$F$46,5,0)</f>
        <v>#N/A</v>
      </c>
      <c r="I270" s="122" t="e">
        <f>VLOOKUP(B270,'Gebouwgegevens Allacker'!$J$5:$Q$83,7,0)</f>
        <v>#N/A</v>
      </c>
      <c r="J270" s="118" t="e">
        <f>VLOOKUP(B270,'Gebouwgegevens Allacker'!$J$5:$Q$83,8,0)</f>
        <v>#N/A</v>
      </c>
      <c r="K270" s="118" t="e">
        <f>(G270-H270)/(G270-$B$4)</f>
        <v>#N/A</v>
      </c>
      <c r="L270" s="98"/>
      <c r="M270" s="98"/>
      <c r="N270" s="98"/>
      <c r="O270" s="98"/>
      <c r="P270" s="96"/>
    </row>
    <row r="271" spans="1:16" ht="16.5" customHeight="1" thickTop="1" thickBot="1" x14ac:dyDescent="0.3">
      <c r="A271" s="95"/>
      <c r="B271" s="123"/>
      <c r="C271" s="139"/>
      <c r="D271" s="122"/>
      <c r="E271" s="122"/>
      <c r="F271" s="122"/>
      <c r="G271" s="122"/>
      <c r="H271" s="122"/>
      <c r="I271" s="122"/>
      <c r="J271" s="118"/>
      <c r="K271" s="118"/>
      <c r="L271" s="98"/>
      <c r="M271" s="98"/>
      <c r="N271" s="98"/>
      <c r="O271" s="98"/>
      <c r="P271" s="96"/>
    </row>
    <row r="272" spans="1:16" ht="16.5" customHeight="1" thickTop="1" thickBot="1" x14ac:dyDescent="0.3">
      <c r="A272" s="95"/>
      <c r="B272" s="123"/>
      <c r="C272" s="139"/>
      <c r="D272" s="122"/>
      <c r="E272" s="122"/>
      <c r="F272" s="122"/>
      <c r="G272" s="122"/>
      <c r="H272" s="122"/>
      <c r="I272" s="122"/>
      <c r="J272" s="118"/>
      <c r="K272" s="118"/>
      <c r="L272" s="98"/>
      <c r="M272" s="98"/>
      <c r="N272" s="98"/>
      <c r="O272" s="98"/>
      <c r="P272" s="96"/>
    </row>
    <row r="273" spans="1:16" ht="16.5" customHeight="1" thickTop="1" thickBot="1" x14ac:dyDescent="0.3">
      <c r="A273" s="95"/>
      <c r="B273" s="123"/>
      <c r="C273" s="139"/>
      <c r="D273" s="122"/>
      <c r="E273" s="122"/>
      <c r="F273" s="122"/>
      <c r="G273" s="122"/>
      <c r="H273" s="122"/>
      <c r="I273" s="122"/>
      <c r="J273" s="118"/>
      <c r="K273" s="118"/>
      <c r="L273" s="98"/>
      <c r="M273" s="98"/>
      <c r="N273" s="98"/>
      <c r="O273" s="98"/>
      <c r="P273" s="96"/>
    </row>
    <row r="274" spans="1:16" ht="16.5" customHeight="1" thickTop="1" thickBot="1" x14ac:dyDescent="0.3">
      <c r="A274" s="95"/>
      <c r="B274" s="123"/>
      <c r="C274" s="139"/>
      <c r="D274" s="122"/>
      <c r="E274" s="122"/>
      <c r="F274" s="122"/>
      <c r="G274" s="122"/>
      <c r="H274" s="122"/>
      <c r="I274" s="122"/>
      <c r="J274" s="118"/>
      <c r="K274" s="118"/>
      <c r="L274" s="98"/>
      <c r="M274" s="98"/>
      <c r="N274" s="98"/>
      <c r="O274" s="98"/>
      <c r="P274" s="96"/>
    </row>
    <row r="275" spans="1:16" ht="16.5" customHeight="1" thickTop="1" thickBot="1" x14ac:dyDescent="0.3">
      <c r="A275" s="95"/>
      <c r="B275" s="123"/>
      <c r="C275" s="139"/>
      <c r="D275" s="122"/>
      <c r="E275" s="122"/>
      <c r="F275" s="122"/>
      <c r="G275" s="122"/>
      <c r="H275" s="122"/>
      <c r="I275" s="122"/>
      <c r="J275" s="118"/>
      <c r="K275" s="118"/>
      <c r="L275" s="98"/>
      <c r="M275" s="98"/>
      <c r="N275" s="98"/>
      <c r="O275" s="98"/>
      <c r="P275" s="96"/>
    </row>
    <row r="276" spans="1:16" ht="16.5" customHeight="1" thickTop="1" thickBot="1" x14ac:dyDescent="0.3">
      <c r="A276" s="95"/>
      <c r="B276" s="123"/>
      <c r="C276" s="139"/>
      <c r="D276" s="122"/>
      <c r="E276" s="122"/>
      <c r="F276" s="122"/>
      <c r="G276" s="122"/>
      <c r="H276" s="122"/>
      <c r="I276" s="122"/>
      <c r="J276" s="118"/>
      <c r="K276" s="118"/>
      <c r="L276" s="98"/>
      <c r="M276" s="98"/>
      <c r="N276" s="98"/>
      <c r="O276" s="98"/>
      <c r="P276" s="96"/>
    </row>
    <row r="277" spans="1:16" ht="15.75" customHeight="1" thickTop="1" x14ac:dyDescent="0.25">
      <c r="A277" s="95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8"/>
      <c r="M277" s="98"/>
      <c r="N277" s="98"/>
      <c r="O277" s="98"/>
      <c r="P277" s="96"/>
    </row>
    <row r="278" spans="1:16" ht="15" customHeight="1" x14ac:dyDescent="0.25">
      <c r="A278" s="95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6"/>
    </row>
    <row r="279" spans="1:16" ht="15.75" customHeight="1" x14ac:dyDescent="0.25">
      <c r="A279" s="103" t="s">
        <v>192</v>
      </c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6"/>
    </row>
    <row r="280" spans="1:16" ht="16.5" customHeight="1" x14ac:dyDescent="0.25">
      <c r="A280" s="124" t="s">
        <v>193</v>
      </c>
      <c r="B280" s="118" t="e">
        <f>SUMPRODUCT(H243:H254,I243:I254)+SUMPRODUCT(G259:G263,H259:H263)+SUMPRODUCT(J267:J276,K267:K276)</f>
        <v>#N/A</v>
      </c>
      <c r="C280" s="118" t="s">
        <v>107</v>
      </c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6"/>
    </row>
    <row r="281" spans="1:16" ht="16.5" customHeight="1" x14ac:dyDescent="0.25">
      <c r="A281" s="124" t="s">
        <v>167</v>
      </c>
      <c r="B281" s="118" t="e">
        <f>B280*(G267-$B$4)</f>
        <v>#N/A</v>
      </c>
      <c r="C281" s="118" t="s">
        <v>169</v>
      </c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6"/>
    </row>
    <row r="282" spans="1:16" ht="15.75" customHeight="1" thickBot="1" x14ac:dyDescent="0.3">
      <c r="A282" s="109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1"/>
    </row>
    <row r="283" spans="1:16" ht="15.75" customHeight="1" thickTop="1" x14ac:dyDescent="0.25">
      <c r="A283" s="343" t="s">
        <v>194</v>
      </c>
      <c r="B283" s="343"/>
      <c r="C283" s="343"/>
      <c r="D283" s="125" t="s">
        <v>222</v>
      </c>
      <c r="E283" s="328"/>
      <c r="F283" s="328"/>
      <c r="G283" s="328"/>
      <c r="H283" s="328"/>
      <c r="I283" s="328"/>
      <c r="J283" s="328"/>
      <c r="K283" s="328"/>
      <c r="L283" s="328"/>
      <c r="M283" s="328"/>
      <c r="N283" s="328"/>
      <c r="O283" s="328"/>
      <c r="P283" s="94"/>
    </row>
    <row r="284" spans="1:16" ht="15" customHeight="1" x14ac:dyDescent="0.25">
      <c r="A284" s="95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6"/>
    </row>
    <row r="285" spans="1:16" ht="15" customHeight="1" thickBot="1" x14ac:dyDescent="0.3">
      <c r="A285" s="126" t="s">
        <v>195</v>
      </c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6"/>
    </row>
    <row r="286" spans="1:16" ht="15" customHeight="1" thickTop="1" thickBot="1" x14ac:dyDescent="0.3">
      <c r="A286" s="127" t="s">
        <v>196</v>
      </c>
      <c r="B286" s="121">
        <v>8</v>
      </c>
      <c r="C286" s="120" t="s">
        <v>197</v>
      </c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6"/>
    </row>
    <row r="287" spans="1:16" ht="15" customHeight="1" thickTop="1" thickBot="1" x14ac:dyDescent="0.3">
      <c r="A287" s="127" t="s">
        <v>198</v>
      </c>
      <c r="B287" s="121">
        <v>0.03</v>
      </c>
      <c r="C287" s="120" t="s">
        <v>199</v>
      </c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6"/>
    </row>
    <row r="288" spans="1:16" ht="15.75" customHeight="1" thickTop="1" thickBot="1" x14ac:dyDescent="0.3">
      <c r="A288" s="127" t="s">
        <v>200</v>
      </c>
      <c r="B288" s="121">
        <v>1</v>
      </c>
      <c r="C288" s="120" t="s">
        <v>201</v>
      </c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6"/>
    </row>
    <row r="289" spans="1:16" ht="16.5" customHeight="1" thickTop="1" x14ac:dyDescent="0.25">
      <c r="A289" s="124" t="s">
        <v>202</v>
      </c>
      <c r="B289" s="118" t="e">
        <f>2*VLOOKUP(B237,'Gebouwgegevens Allacker'!$A$35:$F$46,6,0)*B286*B287*B288</f>
        <v>#N/A</v>
      </c>
      <c r="C289" s="118" t="s">
        <v>203</v>
      </c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6"/>
    </row>
    <row r="290" spans="1:16" ht="15.75" customHeight="1" x14ac:dyDescent="0.25">
      <c r="A290" s="95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6"/>
    </row>
    <row r="291" spans="1:16" ht="15" customHeight="1" x14ac:dyDescent="0.25">
      <c r="A291" s="126" t="s">
        <v>204</v>
      </c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6"/>
    </row>
    <row r="292" spans="1:16" ht="15.75" customHeight="1" x14ac:dyDescent="0.25">
      <c r="A292" s="95" t="s">
        <v>180</v>
      </c>
      <c r="B292" s="98" t="e">
        <f>VLOOKUP(B237,'Gebouwgegevens Allacker'!$A$35:$F$46,6,0)</f>
        <v>#N/A</v>
      </c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6"/>
    </row>
    <row r="293" spans="1:16" ht="16.5" customHeight="1" x14ac:dyDescent="0.25">
      <c r="A293" s="124" t="s">
        <v>205</v>
      </c>
      <c r="B293" s="128">
        <v>50</v>
      </c>
      <c r="C293" s="118" t="s">
        <v>203</v>
      </c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6"/>
    </row>
    <row r="294" spans="1:16" ht="15.75" customHeight="1" x14ac:dyDescent="0.25">
      <c r="A294" s="95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6"/>
    </row>
    <row r="295" spans="1:16" ht="15.75" customHeight="1" x14ac:dyDescent="0.25">
      <c r="A295" s="95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6"/>
    </row>
    <row r="296" spans="1:16" ht="16.5" customHeight="1" x14ac:dyDescent="0.25">
      <c r="A296" s="124" t="s">
        <v>207</v>
      </c>
      <c r="B296" s="118" t="e">
        <f>MAX(B289,B293)</f>
        <v>#N/A</v>
      </c>
      <c r="C296" s="118" t="s">
        <v>203</v>
      </c>
      <c r="D296" s="98"/>
      <c r="E296" s="98"/>
      <c r="F296" s="118" t="s">
        <v>208</v>
      </c>
      <c r="G296" s="118" t="e">
        <f>B296/VLOOKUP(B237,'Gebouwgegevens Allacker'!$A$35:$B$46,2,0)</f>
        <v>#N/A</v>
      </c>
      <c r="H296" s="98"/>
      <c r="I296" s="98"/>
      <c r="J296" s="98"/>
      <c r="K296" s="98"/>
      <c r="L296" s="98"/>
      <c r="M296" s="98"/>
      <c r="N296" s="98"/>
      <c r="O296" s="98"/>
      <c r="P296" s="96"/>
    </row>
    <row r="297" spans="1:16" ht="16.5" customHeight="1" x14ac:dyDescent="0.25">
      <c r="A297" s="95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6"/>
    </row>
    <row r="298" spans="1:16" ht="16.5" customHeight="1" x14ac:dyDescent="0.25">
      <c r="A298" s="124" t="s">
        <v>209</v>
      </c>
      <c r="B298" s="118" t="e">
        <f>0.34*B296</f>
        <v>#N/A</v>
      </c>
      <c r="C298" s="118" t="s">
        <v>107</v>
      </c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6"/>
    </row>
    <row r="299" spans="1:16" ht="16.5" customHeight="1" x14ac:dyDescent="0.25">
      <c r="A299" s="124" t="s">
        <v>167</v>
      </c>
      <c r="B299" s="118" t="e">
        <f>B298*('Gebouwgegevens Allacker'!E259-$B$4)</f>
        <v>#N/A</v>
      </c>
      <c r="C299" s="118" t="s">
        <v>169</v>
      </c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6"/>
    </row>
    <row r="300" spans="1:16" ht="15.75" customHeight="1" thickBot="1" x14ac:dyDescent="0.3">
      <c r="A300" s="109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1"/>
    </row>
    <row r="301" spans="1:16" ht="15.75" customHeight="1" thickTop="1" x14ac:dyDescent="0.25">
      <c r="A301" s="343" t="s">
        <v>210</v>
      </c>
      <c r="B301" s="343"/>
      <c r="C301" s="343"/>
      <c r="D301" s="343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6"/>
    </row>
    <row r="302" spans="1:16" ht="15" customHeight="1" thickBot="1" x14ac:dyDescent="0.3">
      <c r="A302" s="95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6"/>
    </row>
    <row r="303" spans="1:16" ht="15" customHeight="1" thickTop="1" thickBot="1" x14ac:dyDescent="0.3">
      <c r="A303" s="127" t="s">
        <v>211</v>
      </c>
      <c r="B303" s="121">
        <v>90</v>
      </c>
      <c r="C303" s="58" t="s">
        <v>232</v>
      </c>
      <c r="D303" s="5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6"/>
    </row>
    <row r="304" spans="1:16" ht="15.75" customHeight="1" thickTop="1" x14ac:dyDescent="0.25">
      <c r="A304" s="3" t="s">
        <v>113</v>
      </c>
      <c r="B304" s="58" t="e">
        <f>VLOOKUP(B237,'Gebouwgegevens Allacker'!$A$35:$F$46,6,0)</f>
        <v>#N/A</v>
      </c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6"/>
    </row>
    <row r="305" spans="1:16" ht="16.5" customHeight="1" x14ac:dyDescent="0.25">
      <c r="A305" s="124" t="s">
        <v>213</v>
      </c>
      <c r="B305" s="118" t="e">
        <f>B306/('Gebouwgegevens Allacker'!E259-'Verwarming Tabula 2zone RefULG2'!$B$4)</f>
        <v>#N/A</v>
      </c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6"/>
    </row>
    <row r="306" spans="1:16" ht="16.5" customHeight="1" x14ac:dyDescent="0.25">
      <c r="A306" s="124" t="s">
        <v>167</v>
      </c>
      <c r="B306" s="118" t="e">
        <f>B303*B304</f>
        <v>#N/A</v>
      </c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6"/>
    </row>
    <row r="307" spans="1:16" ht="15.75" customHeight="1" x14ac:dyDescent="0.25">
      <c r="A307" s="95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6"/>
    </row>
    <row r="308" spans="1:16" ht="15.75" customHeight="1" thickBot="1" x14ac:dyDescent="0.3">
      <c r="A308" s="95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6"/>
    </row>
    <row r="309" spans="1:16" ht="15.75" customHeight="1" thickTop="1" thickBot="1" x14ac:dyDescent="0.3">
      <c r="A309" s="129" t="s">
        <v>214</v>
      </c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1"/>
    </row>
    <row r="310" spans="1:16" ht="16.5" customHeight="1" thickTop="1" x14ac:dyDescent="0.25">
      <c r="A310" s="124" t="s">
        <v>215</v>
      </c>
      <c r="B310" s="118" t="e">
        <f>SUM(B280,B298,B305)</f>
        <v>#N/A</v>
      </c>
      <c r="C310" s="118" t="s">
        <v>107</v>
      </c>
      <c r="D310" s="132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3"/>
    </row>
    <row r="311" spans="1:16" ht="16.5" customHeight="1" x14ac:dyDescent="0.25">
      <c r="A311" s="124" t="s">
        <v>167</v>
      </c>
      <c r="B311" s="118" t="e">
        <f>SUM(B281,B299,B306)</f>
        <v>#N/A</v>
      </c>
      <c r="C311" s="118" t="s">
        <v>169</v>
      </c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3"/>
    </row>
    <row r="312" spans="1:16" ht="16.5" customHeight="1" thickBot="1" x14ac:dyDescent="0.3">
      <c r="A312" s="134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6"/>
    </row>
    <row r="313" spans="1:16" ht="15" customHeight="1" thickTop="1" x14ac:dyDescent="0.25">
      <c r="A313" s="137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</row>
    <row r="314" spans="1:16" ht="15.75" customHeight="1" thickBot="1" x14ac:dyDescent="0.3">
      <c r="A314" s="137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</row>
    <row r="315" spans="1:16" ht="15" customHeight="1" thickTop="1" thickBot="1" x14ac:dyDescent="0.3">
      <c r="A315" s="93"/>
      <c r="B315" s="328"/>
      <c r="C315" s="328"/>
      <c r="D315" s="328"/>
      <c r="E315" s="328"/>
      <c r="F315" s="328"/>
      <c r="G315" s="328"/>
      <c r="H315" s="328"/>
      <c r="I315" s="328"/>
      <c r="J315" s="328"/>
      <c r="K315" s="328"/>
      <c r="L315" s="328"/>
      <c r="M315" s="328"/>
      <c r="N315" s="328"/>
      <c r="O315" s="328"/>
      <c r="P315" s="94"/>
    </row>
    <row r="316" spans="1:16" ht="17.25" customHeight="1" thickTop="1" thickBot="1" x14ac:dyDescent="0.35">
      <c r="A316" s="97" t="s">
        <v>166</v>
      </c>
      <c r="B316" s="92">
        <v>5</v>
      </c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6"/>
    </row>
    <row r="317" spans="1:16" ht="15.75" customHeight="1" thickTop="1" x14ac:dyDescent="0.25">
      <c r="A317" s="343" t="s">
        <v>168</v>
      </c>
      <c r="B317" s="343"/>
      <c r="C317" s="343"/>
      <c r="D317" s="343"/>
      <c r="E317" s="328"/>
      <c r="F317" s="328"/>
      <c r="G317" s="328"/>
      <c r="H317" s="328"/>
      <c r="I317" s="328"/>
      <c r="J317" s="328"/>
      <c r="K317" s="328"/>
      <c r="L317" s="328"/>
      <c r="M317" s="328"/>
      <c r="N317" s="328"/>
      <c r="O317" s="328"/>
      <c r="P317" s="94"/>
    </row>
    <row r="318" spans="1:16" ht="15" customHeight="1" x14ac:dyDescent="0.25">
      <c r="A318" s="95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6"/>
    </row>
    <row r="319" spans="1:16" ht="15" customHeight="1" x14ac:dyDescent="0.25">
      <c r="A319" s="103" t="s">
        <v>170</v>
      </c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6"/>
    </row>
    <row r="320" spans="1:16" ht="15" customHeight="1" x14ac:dyDescent="0.25">
      <c r="A320" s="95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6"/>
    </row>
    <row r="321" spans="1:16" ht="15.75" customHeight="1" thickBot="1" x14ac:dyDescent="0.3">
      <c r="A321" s="95"/>
      <c r="B321" s="104" t="s">
        <v>10</v>
      </c>
      <c r="C321" s="104" t="s">
        <v>171</v>
      </c>
      <c r="D321" s="104" t="s">
        <v>172</v>
      </c>
      <c r="E321" s="104" t="s">
        <v>173</v>
      </c>
      <c r="F321" s="104" t="s">
        <v>174</v>
      </c>
      <c r="G321" s="104" t="s">
        <v>16</v>
      </c>
      <c r="H321" s="105" t="s">
        <v>17</v>
      </c>
      <c r="I321" s="105" t="s">
        <v>175</v>
      </c>
      <c r="J321" s="98"/>
      <c r="K321" s="98"/>
      <c r="L321" s="98"/>
      <c r="M321" s="98"/>
      <c r="N321" s="98"/>
      <c r="O321" s="98"/>
      <c r="P321" s="96"/>
    </row>
    <row r="322" spans="1:16" ht="16.5" customHeight="1" thickTop="1" thickBot="1" x14ac:dyDescent="0.3">
      <c r="A322" s="95"/>
      <c r="B322" s="106" t="s">
        <v>84</v>
      </c>
      <c r="C322" s="107">
        <f>VLOOKUP(B322,'Gebouwgegevens Allacker'!$J$5:$Q$83,3,0)</f>
        <v>3</v>
      </c>
      <c r="D322" s="107" t="str">
        <f>VLOOKUP(B322,'Gebouwgegevens Allacker'!$J$5:$Q$83,4,0)</f>
        <v>Window</v>
      </c>
      <c r="E322" s="107">
        <f>VLOOKUP(B322,'Gebouwgegevens Allacker'!$J$5:$Q$83,5,0)</f>
        <v>0</v>
      </c>
      <c r="F322" s="107" t="str">
        <f>VLOOKUP(B322,'Gebouwgegevens Allacker'!$J$5:$Q$83,6,0)</f>
        <v>front</v>
      </c>
      <c r="G322" s="107">
        <f>VLOOKUP(B322,'Gebouwgegevens Allacker'!$J$5:$Q$83,7,0)</f>
        <v>5</v>
      </c>
      <c r="H322" s="108">
        <f>VLOOKUP(B322,'Gebouwgegevens Allacker'!$J$5:$Q$83,8,0)</f>
        <v>0</v>
      </c>
      <c r="I322" s="108">
        <v>1</v>
      </c>
      <c r="J322" s="98"/>
      <c r="K322" s="98"/>
      <c r="L322" s="98"/>
      <c r="M322" s="98"/>
      <c r="N322" s="98"/>
      <c r="O322" s="98"/>
      <c r="P322" s="96"/>
    </row>
    <row r="323" spans="1:16" ht="16.5" customHeight="1" thickTop="1" thickBot="1" x14ac:dyDescent="0.3">
      <c r="A323" s="95"/>
      <c r="B323" s="106" t="s">
        <v>87</v>
      </c>
      <c r="C323" s="107">
        <f>VLOOKUP(B323,'Gebouwgegevens Allacker'!$J$5:$Q$83,3,0)</f>
        <v>3</v>
      </c>
      <c r="D323" s="107" t="str">
        <f>VLOOKUP(B323,'Gebouwgegevens Allacker'!$J$5:$Q$83,4,0)</f>
        <v>Window</v>
      </c>
      <c r="E323" s="107">
        <f>VLOOKUP(B323,'Gebouwgegevens Allacker'!$J$5:$Q$83,5,0)</f>
        <v>2</v>
      </c>
      <c r="F323" s="107" t="str">
        <f>VLOOKUP(B323,'Gebouwgegevens Allacker'!$J$5:$Q$83,6,0)</f>
        <v>right</v>
      </c>
      <c r="G323" s="107">
        <f>VLOOKUP(B323,'Gebouwgegevens Allacker'!$J$5:$Q$83,7,0)</f>
        <v>5</v>
      </c>
      <c r="H323" s="108">
        <f>VLOOKUP(B323,'Gebouwgegevens Allacker'!$J$5:$Q$83,8,0)</f>
        <v>10</v>
      </c>
      <c r="I323" s="108">
        <v>1</v>
      </c>
      <c r="J323" s="98"/>
      <c r="K323" s="98"/>
      <c r="L323" s="98"/>
      <c r="M323" s="98"/>
      <c r="N323" s="98"/>
      <c r="O323" s="98"/>
      <c r="P323" s="96"/>
    </row>
    <row r="324" spans="1:16" ht="16.5" customHeight="1" thickTop="1" thickBot="1" x14ac:dyDescent="0.3">
      <c r="A324" s="95"/>
      <c r="B324" s="106" t="s">
        <v>89</v>
      </c>
      <c r="C324" s="107">
        <f>VLOOKUP(B324,'Gebouwgegevens Allacker'!$J$5:$Q$83,3,0)</f>
        <v>3</v>
      </c>
      <c r="D324" s="107" t="str">
        <f>VLOOKUP(B324,'Gebouwgegevens Allacker'!$J$5:$Q$83,4,0)</f>
        <v>Window</v>
      </c>
      <c r="E324" s="107">
        <f>VLOOKUP(B324,'Gebouwgegevens Allacker'!$J$5:$Q$83,5,0)</f>
        <v>0</v>
      </c>
      <c r="F324" s="107" t="str">
        <f>VLOOKUP(B324,'Gebouwgegevens Allacker'!$J$5:$Q$83,6,0)</f>
        <v>back</v>
      </c>
      <c r="G324" s="107">
        <f>VLOOKUP(B324,'Gebouwgegevens Allacker'!$J$5:$Q$83,7,0)</f>
        <v>5</v>
      </c>
      <c r="H324" s="108">
        <f>VLOOKUP(B324,'Gebouwgegevens Allacker'!$J$5:$Q$83,8,0)</f>
        <v>0</v>
      </c>
      <c r="I324" s="108">
        <v>1</v>
      </c>
      <c r="J324" s="98"/>
      <c r="K324" s="98"/>
      <c r="L324" s="98"/>
      <c r="M324" s="98"/>
      <c r="N324" s="98"/>
      <c r="O324" s="98"/>
      <c r="P324" s="96"/>
    </row>
    <row r="325" spans="1:16" ht="16.5" customHeight="1" thickTop="1" thickBot="1" x14ac:dyDescent="0.3">
      <c r="A325" s="95"/>
      <c r="B325" s="106" t="s">
        <v>92</v>
      </c>
      <c r="C325" s="107">
        <f>VLOOKUP(B325,'Gebouwgegevens Allacker'!$J$5:$Q$83,3,0)</f>
        <v>3</v>
      </c>
      <c r="D325" s="107" t="str">
        <f>VLOOKUP(B325,'Gebouwgegevens Allacker'!$J$5:$Q$83,4,0)</f>
        <v>Window</v>
      </c>
      <c r="E325" s="107">
        <f>VLOOKUP(B325,'Gebouwgegevens Allacker'!$J$5:$Q$83,5,0)</f>
        <v>0</v>
      </c>
      <c r="F325" s="107" t="str">
        <f>VLOOKUP(B325,'Gebouwgegevens Allacker'!$J$5:$Q$83,6,0)</f>
        <v>left</v>
      </c>
      <c r="G325" s="107">
        <f>VLOOKUP(B325,'Gebouwgegevens Allacker'!$J$5:$Q$83,7,0)</f>
        <v>5</v>
      </c>
      <c r="H325" s="108">
        <f>VLOOKUP(B325,'Gebouwgegevens Allacker'!$J$5:$Q$83,8,0)</f>
        <v>0</v>
      </c>
      <c r="I325" s="108">
        <v>1</v>
      </c>
      <c r="J325" s="98"/>
      <c r="K325" s="98"/>
      <c r="L325" s="98"/>
      <c r="M325" s="98"/>
      <c r="N325" s="98"/>
      <c r="O325" s="98"/>
      <c r="P325" s="96"/>
    </row>
    <row r="326" spans="1:16" ht="16.5" customHeight="1" thickTop="1" thickBot="1" x14ac:dyDescent="0.3">
      <c r="A326" s="95"/>
      <c r="B326" s="106"/>
      <c r="C326" s="107"/>
      <c r="D326" s="107"/>
      <c r="E326" s="107"/>
      <c r="F326" s="107"/>
      <c r="G326" s="107"/>
      <c r="H326" s="108"/>
      <c r="I326" s="108"/>
      <c r="J326" s="98"/>
      <c r="K326" s="98"/>
      <c r="L326" s="98"/>
      <c r="M326" s="98"/>
      <c r="N326" s="98"/>
      <c r="O326" s="98"/>
      <c r="P326" s="96"/>
    </row>
    <row r="327" spans="1:16" ht="16.5" customHeight="1" thickTop="1" thickBot="1" x14ac:dyDescent="0.3">
      <c r="A327" s="95"/>
      <c r="B327" s="106"/>
      <c r="C327" s="107"/>
      <c r="D327" s="107"/>
      <c r="E327" s="107"/>
      <c r="F327" s="107"/>
      <c r="G327" s="107"/>
      <c r="H327" s="108"/>
      <c r="I327" s="108"/>
      <c r="J327" s="98"/>
      <c r="K327" s="98"/>
      <c r="L327" s="98"/>
      <c r="M327" s="98"/>
      <c r="N327" s="98"/>
      <c r="O327" s="98"/>
      <c r="P327" s="96"/>
    </row>
    <row r="328" spans="1:16" ht="16.5" customHeight="1" thickTop="1" thickBot="1" x14ac:dyDescent="0.3">
      <c r="A328" s="95"/>
      <c r="B328" s="106"/>
      <c r="C328" s="107"/>
      <c r="D328" s="107"/>
      <c r="E328" s="107"/>
      <c r="F328" s="107"/>
      <c r="G328" s="107"/>
      <c r="H328" s="108"/>
      <c r="I328" s="108"/>
      <c r="J328" s="98"/>
      <c r="K328" s="98"/>
      <c r="L328" s="98"/>
      <c r="M328" s="98"/>
      <c r="N328" s="98"/>
      <c r="O328" s="98"/>
      <c r="P328" s="96"/>
    </row>
    <row r="329" spans="1:16" ht="16.5" customHeight="1" thickTop="1" thickBot="1" x14ac:dyDescent="0.3">
      <c r="A329" s="95"/>
      <c r="B329" s="106"/>
      <c r="C329" s="107"/>
      <c r="D329" s="107"/>
      <c r="E329" s="107"/>
      <c r="F329" s="107"/>
      <c r="G329" s="107"/>
      <c r="H329" s="108"/>
      <c r="I329" s="108"/>
      <c r="J329" s="98"/>
      <c r="K329" s="98"/>
      <c r="L329" s="98"/>
      <c r="M329" s="98"/>
      <c r="N329" s="98"/>
      <c r="O329" s="98"/>
      <c r="P329" s="96"/>
    </row>
    <row r="330" spans="1:16" ht="16.5" customHeight="1" thickTop="1" thickBot="1" x14ac:dyDescent="0.3">
      <c r="A330" s="95"/>
      <c r="B330" s="106"/>
      <c r="C330" s="107"/>
      <c r="D330" s="107"/>
      <c r="E330" s="107"/>
      <c r="F330" s="107"/>
      <c r="G330" s="107"/>
      <c r="H330" s="108"/>
      <c r="I330" s="108"/>
      <c r="J330" s="98"/>
      <c r="K330" s="98"/>
      <c r="L330" s="98"/>
      <c r="M330" s="98"/>
      <c r="N330" s="98"/>
      <c r="O330" s="98"/>
      <c r="P330" s="96"/>
    </row>
    <row r="331" spans="1:16" ht="16.5" customHeight="1" thickTop="1" thickBot="1" x14ac:dyDescent="0.3">
      <c r="A331" s="95"/>
      <c r="B331" s="106"/>
      <c r="C331" s="107"/>
      <c r="D331" s="107"/>
      <c r="E331" s="107"/>
      <c r="F331" s="107"/>
      <c r="G331" s="107"/>
      <c r="H331" s="108"/>
      <c r="I331" s="108"/>
      <c r="J331" s="98"/>
      <c r="K331" s="98"/>
      <c r="L331" s="98"/>
      <c r="M331" s="98"/>
      <c r="N331" s="98"/>
      <c r="O331" s="98"/>
      <c r="P331" s="96"/>
    </row>
    <row r="332" spans="1:16" ht="16.5" customHeight="1" thickTop="1" thickBot="1" x14ac:dyDescent="0.3">
      <c r="A332" s="95"/>
      <c r="B332" s="106"/>
      <c r="C332" s="107"/>
      <c r="D332" s="107"/>
      <c r="E332" s="107"/>
      <c r="F332" s="107"/>
      <c r="G332" s="107"/>
      <c r="H332" s="108"/>
      <c r="I332" s="108"/>
      <c r="J332" s="98"/>
      <c r="K332" s="98"/>
      <c r="L332" s="98"/>
      <c r="M332" s="98"/>
      <c r="N332" s="98"/>
      <c r="O332" s="98"/>
      <c r="P332" s="96"/>
    </row>
    <row r="333" spans="1:16" ht="16.5" customHeight="1" thickTop="1" thickBot="1" x14ac:dyDescent="0.3">
      <c r="A333" s="95"/>
      <c r="B333" s="106"/>
      <c r="C333" s="107"/>
      <c r="D333" s="107"/>
      <c r="E333" s="107"/>
      <c r="F333" s="107"/>
      <c r="G333" s="107"/>
      <c r="H333" s="108"/>
      <c r="I333" s="108"/>
      <c r="J333" s="98"/>
      <c r="K333" s="98"/>
      <c r="L333" s="98"/>
      <c r="M333" s="98"/>
      <c r="N333" s="98"/>
      <c r="O333" s="98"/>
      <c r="P333" s="96"/>
    </row>
    <row r="334" spans="1:16" ht="15.75" customHeight="1" thickTop="1" x14ac:dyDescent="0.25">
      <c r="A334" s="95"/>
      <c r="B334" s="58"/>
      <c r="C334" s="58"/>
      <c r="D334" s="58"/>
      <c r="E334" s="58"/>
      <c r="F334" s="58"/>
      <c r="G334" s="114"/>
      <c r="H334" s="58"/>
      <c r="I334" s="58"/>
      <c r="J334" s="98"/>
      <c r="K334" s="98"/>
      <c r="L334" s="98"/>
      <c r="M334" s="98"/>
      <c r="N334" s="98"/>
      <c r="O334" s="98"/>
      <c r="P334" s="96"/>
    </row>
    <row r="335" spans="1:16" ht="15" customHeight="1" x14ac:dyDescent="0.25">
      <c r="A335" s="95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6"/>
    </row>
    <row r="336" spans="1:16" ht="15" customHeight="1" x14ac:dyDescent="0.25">
      <c r="A336" s="103" t="s">
        <v>177</v>
      </c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6"/>
    </row>
    <row r="337" spans="1:16" ht="15.75" customHeight="1" x14ac:dyDescent="0.25">
      <c r="A337" s="95"/>
      <c r="B337" s="58" t="s">
        <v>10</v>
      </c>
      <c r="C337" s="58" t="s">
        <v>178</v>
      </c>
      <c r="D337" s="58" t="s">
        <v>172</v>
      </c>
      <c r="E337" s="58" t="s">
        <v>179</v>
      </c>
      <c r="F337" s="58" t="s">
        <v>16</v>
      </c>
      <c r="G337" s="114" t="s">
        <v>17</v>
      </c>
      <c r="H337" s="114" t="s">
        <v>175</v>
      </c>
      <c r="I337" s="58" t="s">
        <v>180</v>
      </c>
      <c r="J337" s="58" t="s">
        <v>181</v>
      </c>
      <c r="K337" s="58" t="s">
        <v>182</v>
      </c>
      <c r="L337" s="115" t="s">
        <v>183</v>
      </c>
      <c r="M337" s="115" t="s">
        <v>184</v>
      </c>
      <c r="N337" s="115" t="s">
        <v>185</v>
      </c>
      <c r="O337" s="98"/>
      <c r="P337" s="96"/>
    </row>
    <row r="338" spans="1:16" ht="16.5" customHeight="1" thickBot="1" x14ac:dyDescent="0.3">
      <c r="A338" s="95"/>
      <c r="B338" s="116"/>
      <c r="C338" s="117"/>
      <c r="D338" s="117"/>
      <c r="E338" s="117"/>
      <c r="F338" s="117"/>
      <c r="G338" s="118"/>
      <c r="H338" s="118"/>
      <c r="I338" s="117"/>
      <c r="J338" s="116"/>
      <c r="K338" s="116"/>
      <c r="L338" s="119"/>
      <c r="M338" s="119"/>
      <c r="N338" s="120"/>
      <c r="O338" s="98"/>
      <c r="P338" s="96"/>
    </row>
    <row r="339" spans="1:16" ht="16.5" customHeight="1" thickTop="1" thickBot="1" x14ac:dyDescent="0.3">
      <c r="A339" s="95"/>
      <c r="B339" s="116"/>
      <c r="C339" s="117"/>
      <c r="D339" s="117"/>
      <c r="E339" s="117"/>
      <c r="F339" s="117"/>
      <c r="G339" s="118"/>
      <c r="H339" s="118"/>
      <c r="I339" s="117"/>
      <c r="J339" s="116"/>
      <c r="K339" s="116"/>
      <c r="L339" s="119"/>
      <c r="M339" s="119"/>
      <c r="N339" s="120"/>
      <c r="O339" s="98"/>
      <c r="P339" s="96"/>
    </row>
    <row r="340" spans="1:16" ht="16.5" customHeight="1" thickTop="1" thickBot="1" x14ac:dyDescent="0.3">
      <c r="A340" s="95"/>
      <c r="B340" s="116"/>
      <c r="C340" s="117"/>
      <c r="D340" s="117"/>
      <c r="E340" s="117"/>
      <c r="F340" s="117"/>
      <c r="G340" s="118"/>
      <c r="H340" s="118"/>
      <c r="I340" s="117"/>
      <c r="J340" s="116"/>
      <c r="K340" s="116"/>
      <c r="L340" s="119"/>
      <c r="M340" s="119"/>
      <c r="N340" s="120"/>
      <c r="O340" s="98"/>
      <c r="P340" s="96"/>
    </row>
    <row r="341" spans="1:16" ht="16.5" customHeight="1" thickTop="1" thickBot="1" x14ac:dyDescent="0.3">
      <c r="A341" s="95"/>
      <c r="B341" s="116"/>
      <c r="C341" s="117"/>
      <c r="D341" s="117"/>
      <c r="E341" s="117"/>
      <c r="F341" s="117"/>
      <c r="G341" s="118"/>
      <c r="H341" s="118"/>
      <c r="I341" s="117"/>
      <c r="J341" s="116"/>
      <c r="K341" s="116"/>
      <c r="L341" s="119"/>
      <c r="M341" s="119"/>
      <c r="N341" s="120"/>
      <c r="O341" s="98"/>
      <c r="P341" s="96"/>
    </row>
    <row r="342" spans="1:16" ht="16.5" customHeight="1" thickTop="1" thickBot="1" x14ac:dyDescent="0.3">
      <c r="A342" s="138"/>
      <c r="B342" s="116"/>
      <c r="C342" s="117"/>
      <c r="D342" s="117"/>
      <c r="E342" s="117"/>
      <c r="F342" s="117"/>
      <c r="G342" s="118"/>
      <c r="H342" s="118"/>
      <c r="I342" s="117"/>
      <c r="J342" s="116"/>
      <c r="K342" s="116"/>
      <c r="L342" s="119"/>
      <c r="M342" s="119"/>
      <c r="N342" s="120"/>
      <c r="O342" s="98"/>
      <c r="P342" s="96"/>
    </row>
    <row r="343" spans="1:16" ht="15.75" customHeight="1" thickTop="1" x14ac:dyDescent="0.25">
      <c r="A343" s="95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6"/>
    </row>
    <row r="344" spans="1:16" ht="15" customHeight="1" x14ac:dyDescent="0.25">
      <c r="A344" s="103" t="s">
        <v>186</v>
      </c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6"/>
    </row>
    <row r="345" spans="1:16" ht="15.75" customHeight="1" thickBot="1" x14ac:dyDescent="0.3">
      <c r="A345" s="95"/>
      <c r="B345" s="58" t="s">
        <v>10</v>
      </c>
      <c r="C345" s="58" t="s">
        <v>187</v>
      </c>
      <c r="D345" s="58" t="s">
        <v>188</v>
      </c>
      <c r="E345" s="58" t="s">
        <v>135</v>
      </c>
      <c r="F345" s="58" t="s">
        <v>189</v>
      </c>
      <c r="G345" s="58" t="s">
        <v>190</v>
      </c>
      <c r="H345" s="58" t="s">
        <v>191</v>
      </c>
      <c r="I345" s="58" t="s">
        <v>16</v>
      </c>
      <c r="J345" s="114" t="s">
        <v>17</v>
      </c>
      <c r="K345" s="114" t="s">
        <v>175</v>
      </c>
      <c r="L345" s="98"/>
      <c r="M345" s="98"/>
      <c r="N345" s="98"/>
      <c r="O345" s="98"/>
      <c r="P345" s="96"/>
    </row>
    <row r="346" spans="1:16" ht="16.5" customHeight="1" thickTop="1" thickBot="1" x14ac:dyDescent="0.3">
      <c r="A346" s="95"/>
      <c r="B346" s="121" t="s">
        <v>228</v>
      </c>
      <c r="C346" s="122" t="e">
        <f>IF(VLOOKUP(B346,'Gebouwgegevens Allacker'!$J$5:$Q$83,2,0)=$B$316,VLOOKUP(B346,'Gebouwgegevens Allacker'!$J$5:$Q$83,2,0),VLOOKUP(B346,'Gebouwgegevens Allacker'!$J$5:$Q$83,3,0))</f>
        <v>#N/A</v>
      </c>
      <c r="D346" s="122" t="e">
        <f>IF(VLOOKUP(B346,'Gebouwgegevens Allacker'!$J$5:$Q$83,2,0)=$B$316,VLOOKUP(B346,'Gebouwgegevens Allacker'!$J$5:$Q$83,3,0),VLOOKUP(B346,'Gebouwgegevens Allacker'!$J$5:$Q$83,2,0))</f>
        <v>#N/A</v>
      </c>
      <c r="E346" s="122" t="e">
        <f>VLOOKUP(B346,'Gebouwgegevens Allacker'!$J$5:$Q$83,4,0)</f>
        <v>#N/A</v>
      </c>
      <c r="F346" s="122" t="e">
        <f>VLOOKUP(B346,'Gebouwgegevens Allacker'!$J$5:$Q$83,5,0)</f>
        <v>#N/A</v>
      </c>
      <c r="G346" s="122" t="e">
        <f>VLOOKUP('Verwarming Tabula 2zone RefULG2'!C346,'Gebouwgegevens Allacker'!$A$35:$F$46,5,0)</f>
        <v>#N/A</v>
      </c>
      <c r="H346" s="122" t="e">
        <f>VLOOKUP('Verwarming Tabula 2zone RefULG2'!D346,'Gebouwgegevens Allacker'!$A$35:$F$46,5,0)</f>
        <v>#N/A</v>
      </c>
      <c r="I346" s="122" t="e">
        <f>VLOOKUP(B346,'Gebouwgegevens Allacker'!$J$5:$Q$83,7,0)</f>
        <v>#N/A</v>
      </c>
      <c r="J346" s="118" t="e">
        <f>VLOOKUP(B346,'Gebouwgegevens Allacker'!$J$5:$Q$83,8,0)</f>
        <v>#N/A</v>
      </c>
      <c r="K346" s="118" t="e">
        <f>(G346-H346)/(G346-$B$4)</f>
        <v>#N/A</v>
      </c>
      <c r="L346" s="98"/>
      <c r="M346" s="98"/>
      <c r="N346" s="98"/>
      <c r="O346" s="98"/>
      <c r="P346" s="96"/>
    </row>
    <row r="347" spans="1:16" ht="16.5" customHeight="1" thickTop="1" thickBot="1" x14ac:dyDescent="0.3">
      <c r="A347" s="95"/>
      <c r="B347" s="121" t="s">
        <v>233</v>
      </c>
      <c r="C347" s="122" t="e">
        <f>IF(VLOOKUP(B347,'Gebouwgegevens Allacker'!$J$5:$Q$83,2,0)=$B$316,VLOOKUP(B347,'Gebouwgegevens Allacker'!$J$5:$Q$83,2,0),VLOOKUP(B347,'Gebouwgegevens Allacker'!$J$5:$Q$83,3,0))</f>
        <v>#N/A</v>
      </c>
      <c r="D347" s="122" t="e">
        <f>IF(VLOOKUP(B347,'Gebouwgegevens Allacker'!$J$5:$Q$83,2,0)=$B$316,VLOOKUP(B347,'Gebouwgegevens Allacker'!$J$5:$Q$83,3,0),VLOOKUP(B347,'Gebouwgegevens Allacker'!$J$5:$Q$83,2,0))</f>
        <v>#N/A</v>
      </c>
      <c r="E347" s="122" t="e">
        <f>VLOOKUP(B347,'Gebouwgegevens Allacker'!$J$5:$Q$83,4,0)</f>
        <v>#N/A</v>
      </c>
      <c r="F347" s="122" t="e">
        <f>VLOOKUP(B347,'Gebouwgegevens Allacker'!$J$5:$Q$83,5,0)</f>
        <v>#N/A</v>
      </c>
      <c r="G347" s="122" t="e">
        <f>VLOOKUP('Verwarming Tabula 2zone RefULG2'!C347,'Gebouwgegevens Allacker'!$A$35:$F$46,5,0)</f>
        <v>#N/A</v>
      </c>
      <c r="H347" s="122" t="e">
        <f>VLOOKUP('Verwarming Tabula 2zone RefULG2'!D347,'Gebouwgegevens Allacker'!$A$35:$F$46,5,0)</f>
        <v>#N/A</v>
      </c>
      <c r="I347" s="122" t="e">
        <f>VLOOKUP(B347,'Gebouwgegevens Allacker'!$J$5:$Q$83,7,0)</f>
        <v>#N/A</v>
      </c>
      <c r="J347" s="118" t="e">
        <f>VLOOKUP(B347,'Gebouwgegevens Allacker'!$J$5:$Q$83,8,0)</f>
        <v>#N/A</v>
      </c>
      <c r="K347" s="118" t="e">
        <f>(G347-H347)/(G347-$B$4)</f>
        <v>#N/A</v>
      </c>
      <c r="L347" s="98"/>
      <c r="M347" s="98"/>
      <c r="N347" s="98"/>
      <c r="O347" s="98"/>
      <c r="P347" s="96"/>
    </row>
    <row r="348" spans="1:16" ht="16.5" customHeight="1" thickTop="1" thickBot="1" x14ac:dyDescent="0.3">
      <c r="A348" s="95"/>
      <c r="B348" s="121" t="s">
        <v>234</v>
      </c>
      <c r="C348" s="122" t="e">
        <f>IF(VLOOKUP(B348,'Gebouwgegevens Allacker'!$J$5:$Q$83,2,0)=$B$316,VLOOKUP(B348,'Gebouwgegevens Allacker'!$J$5:$Q$83,2,0),VLOOKUP(B348,'Gebouwgegevens Allacker'!$J$5:$Q$83,3,0))</f>
        <v>#N/A</v>
      </c>
      <c r="D348" s="122" t="e">
        <f>IF(VLOOKUP(B348,'Gebouwgegevens Allacker'!$J$5:$Q$83,2,0)=$B$316,VLOOKUP(B348,'Gebouwgegevens Allacker'!$J$5:$Q$83,3,0),VLOOKUP(B348,'Gebouwgegevens Allacker'!$J$5:$Q$83,2,0))</f>
        <v>#N/A</v>
      </c>
      <c r="E348" s="122" t="e">
        <f>VLOOKUP(B348,'Gebouwgegevens Allacker'!$J$5:$Q$83,4,0)</f>
        <v>#N/A</v>
      </c>
      <c r="F348" s="122" t="e">
        <f>VLOOKUP(B348,'Gebouwgegevens Allacker'!$J$5:$Q$83,5,0)</f>
        <v>#N/A</v>
      </c>
      <c r="G348" s="122" t="e">
        <f>VLOOKUP('Verwarming Tabula 2zone RefULG2'!C348,'Gebouwgegevens Allacker'!$A$35:$F$46,5,0)</f>
        <v>#N/A</v>
      </c>
      <c r="H348" s="122" t="e">
        <f>VLOOKUP('Verwarming Tabula 2zone RefULG2'!D348,'Gebouwgegevens Allacker'!$A$35:$F$46,5,0)</f>
        <v>#N/A</v>
      </c>
      <c r="I348" s="122" t="e">
        <f>VLOOKUP(B348,'Gebouwgegevens Allacker'!$J$5:$Q$83,7,0)</f>
        <v>#N/A</v>
      </c>
      <c r="J348" s="118" t="e">
        <f>VLOOKUP(B348,'Gebouwgegevens Allacker'!$J$5:$Q$83,8,0)</f>
        <v>#N/A</v>
      </c>
      <c r="K348" s="118" t="e">
        <f>(G348-H348)/(G348-$B$4)</f>
        <v>#N/A</v>
      </c>
      <c r="L348" s="98"/>
      <c r="M348" s="98"/>
      <c r="N348" s="98"/>
      <c r="O348" s="98"/>
      <c r="P348" s="96"/>
    </row>
    <row r="349" spans="1:16" ht="16.5" customHeight="1" thickTop="1" thickBot="1" x14ac:dyDescent="0.3">
      <c r="A349" s="95"/>
      <c r="B349" s="92" t="s">
        <v>235</v>
      </c>
      <c r="C349" s="122" t="e">
        <f>IF(VLOOKUP(B349,'Gebouwgegevens Allacker'!$J$5:$Q$83,2,0)=$B$316,VLOOKUP(B349,'Gebouwgegevens Allacker'!$J$5:$Q$83,2,0),VLOOKUP(B349,'Gebouwgegevens Allacker'!$J$5:$Q$83,3,0))</f>
        <v>#N/A</v>
      </c>
      <c r="D349" s="122" t="e">
        <f>IF(VLOOKUP(B349,'Gebouwgegevens Allacker'!$J$5:$Q$83,2,0)=$B$316,VLOOKUP(B349,'Gebouwgegevens Allacker'!$J$5:$Q$83,3,0),VLOOKUP(B349,'Gebouwgegevens Allacker'!$J$5:$Q$83,2,0))</f>
        <v>#N/A</v>
      </c>
      <c r="E349" s="122" t="e">
        <f>VLOOKUP(B349,'Gebouwgegevens Allacker'!$J$5:$Q$83,4,0)</f>
        <v>#N/A</v>
      </c>
      <c r="F349" s="122" t="e">
        <f>VLOOKUP(B349,'Gebouwgegevens Allacker'!$J$5:$Q$83,5,0)</f>
        <v>#N/A</v>
      </c>
      <c r="G349" s="122" t="e">
        <f>VLOOKUP('Verwarming Tabula 2zone RefULG2'!C349,'Gebouwgegevens Allacker'!$A$35:$F$46,5,0)</f>
        <v>#N/A</v>
      </c>
      <c r="H349" s="122" t="e">
        <f>VLOOKUP('Verwarming Tabula 2zone RefULG2'!D349,'Gebouwgegevens Allacker'!$A$35:$F$46,5,0)</f>
        <v>#N/A</v>
      </c>
      <c r="I349" s="122" t="e">
        <f>VLOOKUP(B349,'Gebouwgegevens Allacker'!$J$5:$Q$83,7,0)</f>
        <v>#N/A</v>
      </c>
      <c r="J349" s="118" t="e">
        <f>VLOOKUP(B349,'Gebouwgegevens Allacker'!$J$5:$Q$83,8,0)</f>
        <v>#N/A</v>
      </c>
      <c r="K349" s="118" t="e">
        <f>(G349-H349)/(G349-$B$4)</f>
        <v>#N/A</v>
      </c>
      <c r="L349" s="98"/>
      <c r="M349" s="98"/>
      <c r="N349" s="98"/>
      <c r="O349" s="98"/>
      <c r="P349" s="96"/>
    </row>
    <row r="350" spans="1:16" ht="16.5" customHeight="1" thickTop="1" thickBot="1" x14ac:dyDescent="0.3">
      <c r="A350" s="95"/>
      <c r="B350" s="123" t="s">
        <v>236</v>
      </c>
      <c r="C350" s="122" t="e">
        <f>IF(VLOOKUP(B350,'Gebouwgegevens Allacker'!$J$5:$Q$83,2,0)=$B$316,VLOOKUP(B350,'Gebouwgegevens Allacker'!$J$5:$Q$83,2,0),VLOOKUP(B350,'Gebouwgegevens Allacker'!$J$5:$Q$83,3,0))</f>
        <v>#N/A</v>
      </c>
      <c r="D350" s="122" t="e">
        <f>IF(VLOOKUP(B350,'Gebouwgegevens Allacker'!$J$5:$Q$83,2,0)=$B$316,VLOOKUP(B350,'Gebouwgegevens Allacker'!$J$5:$Q$83,3,0),VLOOKUP(B350,'Gebouwgegevens Allacker'!$J$5:$Q$83,2,0))</f>
        <v>#N/A</v>
      </c>
      <c r="E350" s="122" t="e">
        <f>VLOOKUP(B350,'Gebouwgegevens Allacker'!$J$5:$Q$83,4,0)</f>
        <v>#N/A</v>
      </c>
      <c r="F350" s="122" t="e">
        <f>VLOOKUP(B350,'Gebouwgegevens Allacker'!$J$5:$Q$83,5,0)</f>
        <v>#N/A</v>
      </c>
      <c r="G350" s="122" t="e">
        <f>VLOOKUP('Verwarming Tabula 2zone RefULG2'!C350,'Gebouwgegevens Allacker'!$A$35:$F$46,5,0)</f>
        <v>#N/A</v>
      </c>
      <c r="H350" s="122" t="e">
        <f>VLOOKUP('Verwarming Tabula 2zone RefULG2'!D350,'Gebouwgegevens Allacker'!$A$35:$F$46,5,0)</f>
        <v>#N/A</v>
      </c>
      <c r="I350" s="122" t="e">
        <f>VLOOKUP(B350,'Gebouwgegevens Allacker'!$J$5:$Q$83,7,0)</f>
        <v>#N/A</v>
      </c>
      <c r="J350" s="118" t="e">
        <f>VLOOKUP(B350,'Gebouwgegevens Allacker'!$J$5:$Q$83,8,0)</f>
        <v>#N/A</v>
      </c>
      <c r="K350" s="118" t="e">
        <f>(G350-H350)/(G350-$B$4)</f>
        <v>#N/A</v>
      </c>
      <c r="L350" s="98"/>
      <c r="M350" s="98"/>
      <c r="N350" s="98"/>
      <c r="O350" s="98"/>
      <c r="P350" s="96"/>
    </row>
    <row r="351" spans="1:16" ht="16.5" customHeight="1" thickTop="1" thickBot="1" x14ac:dyDescent="0.3">
      <c r="A351" s="95"/>
      <c r="B351" s="123"/>
      <c r="C351" s="139"/>
      <c r="D351" s="122"/>
      <c r="E351" s="122"/>
      <c r="F351" s="122"/>
      <c r="G351" s="122"/>
      <c r="H351" s="122"/>
      <c r="I351" s="122"/>
      <c r="J351" s="118"/>
      <c r="K351" s="118"/>
      <c r="L351" s="98"/>
      <c r="M351" s="98"/>
      <c r="N351" s="98"/>
      <c r="O351" s="98"/>
      <c r="P351" s="96"/>
    </row>
    <row r="352" spans="1:16" ht="16.5" customHeight="1" thickTop="1" thickBot="1" x14ac:dyDescent="0.3">
      <c r="A352" s="95"/>
      <c r="B352" s="123"/>
      <c r="C352" s="139"/>
      <c r="D352" s="122"/>
      <c r="E352" s="122"/>
      <c r="F352" s="122"/>
      <c r="G352" s="122"/>
      <c r="H352" s="122"/>
      <c r="I352" s="122"/>
      <c r="J352" s="118"/>
      <c r="K352" s="118"/>
      <c r="L352" s="98"/>
      <c r="M352" s="98"/>
      <c r="N352" s="98"/>
      <c r="O352" s="98"/>
      <c r="P352" s="96"/>
    </row>
    <row r="353" spans="1:16" ht="16.5" customHeight="1" thickTop="1" thickBot="1" x14ac:dyDescent="0.3">
      <c r="A353" s="95"/>
      <c r="B353" s="123"/>
      <c r="C353" s="139"/>
      <c r="D353" s="122"/>
      <c r="E353" s="122"/>
      <c r="F353" s="122"/>
      <c r="G353" s="122"/>
      <c r="H353" s="122"/>
      <c r="I353" s="122"/>
      <c r="J353" s="118"/>
      <c r="K353" s="118"/>
      <c r="L353" s="98"/>
      <c r="M353" s="98"/>
      <c r="N353" s="98"/>
      <c r="O353" s="98"/>
      <c r="P353" s="96"/>
    </row>
    <row r="354" spans="1:16" ht="16.5" customHeight="1" thickTop="1" thickBot="1" x14ac:dyDescent="0.3">
      <c r="A354" s="95"/>
      <c r="B354" s="123"/>
      <c r="C354" s="139"/>
      <c r="D354" s="122"/>
      <c r="E354" s="122"/>
      <c r="F354" s="122"/>
      <c r="G354" s="122"/>
      <c r="H354" s="122"/>
      <c r="I354" s="122"/>
      <c r="J354" s="118"/>
      <c r="K354" s="118"/>
      <c r="L354" s="98"/>
      <c r="M354" s="98"/>
      <c r="N354" s="98"/>
      <c r="O354" s="98"/>
      <c r="P354" s="96"/>
    </row>
    <row r="355" spans="1:16" ht="16.5" customHeight="1" thickTop="1" thickBot="1" x14ac:dyDescent="0.3">
      <c r="A355" s="95"/>
      <c r="B355" s="123"/>
      <c r="C355" s="139"/>
      <c r="D355" s="122"/>
      <c r="E355" s="122"/>
      <c r="F355" s="122"/>
      <c r="G355" s="122"/>
      <c r="H355" s="122"/>
      <c r="I355" s="122"/>
      <c r="J355" s="118"/>
      <c r="K355" s="118"/>
      <c r="L355" s="98"/>
      <c r="M355" s="98"/>
      <c r="N355" s="98"/>
      <c r="O355" s="98"/>
      <c r="P355" s="96"/>
    </row>
    <row r="356" spans="1:16" ht="15.75" customHeight="1" thickTop="1" x14ac:dyDescent="0.25">
      <c r="A356" s="95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8"/>
      <c r="M356" s="98"/>
      <c r="N356" s="98"/>
      <c r="O356" s="98"/>
      <c r="P356" s="96"/>
    </row>
    <row r="357" spans="1:16" ht="15" customHeight="1" x14ac:dyDescent="0.25">
      <c r="A357" s="95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6"/>
    </row>
    <row r="358" spans="1:16" ht="15.75" customHeight="1" x14ac:dyDescent="0.25">
      <c r="A358" s="103" t="s">
        <v>192</v>
      </c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6"/>
    </row>
    <row r="359" spans="1:16" ht="16.5" customHeight="1" x14ac:dyDescent="0.25">
      <c r="A359" s="124" t="s">
        <v>193</v>
      </c>
      <c r="B359" s="118" t="e">
        <f>SUMPRODUCT(H322:H333,I322:I333)+SUMPRODUCT(G338:G342,H338:H342)+SUMPRODUCT(J346:J355,K346:K355)</f>
        <v>#N/A</v>
      </c>
      <c r="C359" s="118" t="s">
        <v>107</v>
      </c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6"/>
    </row>
    <row r="360" spans="1:16" ht="16.5" customHeight="1" x14ac:dyDescent="0.25">
      <c r="A360" s="124" t="s">
        <v>167</v>
      </c>
      <c r="B360" s="118" t="e">
        <f>B359*(G346-$B$4)</f>
        <v>#N/A</v>
      </c>
      <c r="C360" s="118" t="s">
        <v>169</v>
      </c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6"/>
    </row>
    <row r="361" spans="1:16" ht="15.75" customHeight="1" thickBot="1" x14ac:dyDescent="0.3">
      <c r="A361" s="109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1"/>
    </row>
    <row r="362" spans="1:16" ht="15.75" customHeight="1" thickTop="1" x14ac:dyDescent="0.25">
      <c r="A362" s="343" t="s">
        <v>194</v>
      </c>
      <c r="B362" s="343"/>
      <c r="C362" s="343"/>
      <c r="D362" s="125" t="s">
        <v>222</v>
      </c>
      <c r="E362" s="328"/>
      <c r="F362" s="328"/>
      <c r="G362" s="328"/>
      <c r="H362" s="328"/>
      <c r="I362" s="328"/>
      <c r="J362" s="328"/>
      <c r="K362" s="328"/>
      <c r="L362" s="328"/>
      <c r="M362" s="328"/>
      <c r="N362" s="328"/>
      <c r="O362" s="328"/>
      <c r="P362" s="94"/>
    </row>
    <row r="363" spans="1:16" ht="15" customHeight="1" x14ac:dyDescent="0.25">
      <c r="A363" s="95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6"/>
    </row>
    <row r="364" spans="1:16" ht="15" customHeight="1" thickBot="1" x14ac:dyDescent="0.3">
      <c r="A364" s="126" t="s">
        <v>195</v>
      </c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6"/>
    </row>
    <row r="365" spans="1:16" ht="15" customHeight="1" thickTop="1" thickBot="1" x14ac:dyDescent="0.3">
      <c r="A365" s="127" t="s">
        <v>196</v>
      </c>
      <c r="B365" s="121">
        <v>8</v>
      </c>
      <c r="C365" s="120" t="s">
        <v>197</v>
      </c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6"/>
    </row>
    <row r="366" spans="1:16" ht="15" customHeight="1" thickTop="1" thickBot="1" x14ac:dyDescent="0.3">
      <c r="A366" s="127" t="s">
        <v>198</v>
      </c>
      <c r="B366" s="121">
        <v>0.03</v>
      </c>
      <c r="C366" s="120" t="s">
        <v>199</v>
      </c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6"/>
    </row>
    <row r="367" spans="1:16" ht="15.75" customHeight="1" thickTop="1" thickBot="1" x14ac:dyDescent="0.3">
      <c r="A367" s="127" t="s">
        <v>200</v>
      </c>
      <c r="B367" s="121">
        <v>1</v>
      </c>
      <c r="C367" s="120" t="s">
        <v>201</v>
      </c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6"/>
    </row>
    <row r="368" spans="1:16" ht="16.5" customHeight="1" thickTop="1" x14ac:dyDescent="0.25">
      <c r="A368" s="124" t="s">
        <v>202</v>
      </c>
      <c r="B368" s="118" t="e">
        <f>2*VLOOKUP(B316,'Gebouwgegevens Allacker'!$A$35:$F$46,6,0)*B365*B366*B367</f>
        <v>#N/A</v>
      </c>
      <c r="C368" s="118" t="s">
        <v>203</v>
      </c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6"/>
    </row>
    <row r="369" spans="1:16" ht="15.75" customHeight="1" x14ac:dyDescent="0.25">
      <c r="A369" s="95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6"/>
    </row>
    <row r="370" spans="1:16" ht="15" customHeight="1" x14ac:dyDescent="0.25">
      <c r="A370" s="126" t="s">
        <v>204</v>
      </c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6"/>
    </row>
    <row r="371" spans="1:16" ht="15.75" customHeight="1" x14ac:dyDescent="0.25">
      <c r="A371" s="95" t="s">
        <v>180</v>
      </c>
      <c r="B371" s="98" t="e">
        <f>VLOOKUP(B316,'Gebouwgegevens Allacker'!$A$35:$F$46,6,0)</f>
        <v>#N/A</v>
      </c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6"/>
    </row>
    <row r="372" spans="1:16" ht="16.5" customHeight="1" x14ac:dyDescent="0.25">
      <c r="A372" s="124" t="s">
        <v>205</v>
      </c>
      <c r="B372" s="128" t="e">
        <f>B371*3.6</f>
        <v>#N/A</v>
      </c>
      <c r="C372" s="118" t="s">
        <v>203</v>
      </c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6"/>
    </row>
    <row r="373" spans="1:16" ht="15.75" customHeight="1" x14ac:dyDescent="0.25">
      <c r="A373" s="95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6"/>
    </row>
    <row r="374" spans="1:16" ht="15.75" customHeight="1" x14ac:dyDescent="0.25">
      <c r="A374" s="95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6"/>
    </row>
    <row r="375" spans="1:16" ht="16.5" customHeight="1" x14ac:dyDescent="0.25">
      <c r="A375" s="124" t="s">
        <v>207</v>
      </c>
      <c r="B375" s="118" t="e">
        <f>MAX(B368,B372)</f>
        <v>#N/A</v>
      </c>
      <c r="C375" s="118" t="s">
        <v>203</v>
      </c>
      <c r="D375" s="98"/>
      <c r="E375" s="98"/>
      <c r="F375" s="118" t="s">
        <v>208</v>
      </c>
      <c r="G375" s="118" t="e">
        <f>B375/VLOOKUP(B316,'Gebouwgegevens Allacker'!$A$35:$B$46,2,0)</f>
        <v>#N/A</v>
      </c>
      <c r="H375" s="98"/>
      <c r="I375" s="98"/>
      <c r="J375" s="98"/>
      <c r="K375" s="98"/>
      <c r="L375" s="98"/>
      <c r="M375" s="98"/>
      <c r="N375" s="98"/>
      <c r="O375" s="98"/>
      <c r="P375" s="96"/>
    </row>
    <row r="376" spans="1:16" ht="16.5" customHeight="1" x14ac:dyDescent="0.25">
      <c r="A376" s="138"/>
      <c r="B376" s="58"/>
      <c r="C376" s="5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6"/>
    </row>
    <row r="377" spans="1:16" ht="16.5" customHeight="1" x14ac:dyDescent="0.25">
      <c r="A377" s="124" t="s">
        <v>209</v>
      </c>
      <c r="B377" s="118" t="e">
        <f>0.34*B375</f>
        <v>#N/A</v>
      </c>
      <c r="C377" s="118" t="s">
        <v>107</v>
      </c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6"/>
    </row>
    <row r="378" spans="1:16" ht="16.5" customHeight="1" x14ac:dyDescent="0.25">
      <c r="A378" s="124" t="s">
        <v>167</v>
      </c>
      <c r="B378" s="118" t="e">
        <f>B377*('Gebouwgegevens Allacker'!E338-$B$4)</f>
        <v>#N/A</v>
      </c>
      <c r="C378" s="118" t="s">
        <v>169</v>
      </c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6"/>
    </row>
    <row r="379" spans="1:16" ht="15.75" customHeight="1" thickBot="1" x14ac:dyDescent="0.3">
      <c r="A379" s="140"/>
      <c r="B379" s="141"/>
      <c r="C379" s="141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1"/>
    </row>
    <row r="380" spans="1:16" ht="15.75" customHeight="1" thickTop="1" x14ac:dyDescent="0.25">
      <c r="A380" s="343" t="s">
        <v>210</v>
      </c>
      <c r="B380" s="343"/>
      <c r="C380" s="343"/>
      <c r="D380" s="343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6"/>
    </row>
    <row r="381" spans="1:16" ht="15" customHeight="1" thickBot="1" x14ac:dyDescent="0.3">
      <c r="A381" s="95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6"/>
    </row>
    <row r="382" spans="1:16" ht="15" customHeight="1" thickTop="1" thickBot="1" x14ac:dyDescent="0.3">
      <c r="A382" s="127" t="s">
        <v>211</v>
      </c>
      <c r="B382" s="121">
        <v>22</v>
      </c>
      <c r="C382" s="58" t="s">
        <v>232</v>
      </c>
      <c r="D382" s="5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6"/>
    </row>
    <row r="383" spans="1:16" ht="15.75" customHeight="1" thickTop="1" x14ac:dyDescent="0.25">
      <c r="A383" s="3" t="s">
        <v>113</v>
      </c>
      <c r="B383" s="58" t="e">
        <f>VLOOKUP(B316,'Gebouwgegevens Allacker'!$A$35:$F$46,6,0)</f>
        <v>#N/A</v>
      </c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6"/>
    </row>
    <row r="384" spans="1:16" ht="16.5" customHeight="1" x14ac:dyDescent="0.25">
      <c r="A384" s="124" t="s">
        <v>213</v>
      </c>
      <c r="B384" s="118" t="e">
        <f>B385/('Gebouwgegevens Allacker'!E338-'Verwarming Tabula 2zone RefULG2'!$B$4)</f>
        <v>#N/A</v>
      </c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6"/>
    </row>
    <row r="385" spans="1:16" ht="16.5" customHeight="1" x14ac:dyDescent="0.25">
      <c r="A385" s="124" t="s">
        <v>167</v>
      </c>
      <c r="B385" s="118" t="e">
        <f>B382*B383</f>
        <v>#N/A</v>
      </c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6"/>
    </row>
    <row r="386" spans="1:16" ht="15.75" customHeight="1" x14ac:dyDescent="0.25">
      <c r="A386" s="95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6"/>
    </row>
    <row r="387" spans="1:16" ht="15.75" customHeight="1" thickBot="1" x14ac:dyDescent="0.3">
      <c r="A387" s="95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6"/>
    </row>
    <row r="388" spans="1:16" ht="15.75" customHeight="1" thickTop="1" thickBot="1" x14ac:dyDescent="0.3">
      <c r="A388" s="129" t="s">
        <v>214</v>
      </c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1"/>
    </row>
    <row r="389" spans="1:16" ht="16.5" customHeight="1" thickTop="1" x14ac:dyDescent="0.25">
      <c r="A389" s="124" t="s">
        <v>215</v>
      </c>
      <c r="B389" s="118" t="e">
        <f>SUM(B359,B377,B384)</f>
        <v>#N/A</v>
      </c>
      <c r="C389" s="118" t="s">
        <v>107</v>
      </c>
      <c r="D389" s="132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  <c r="O389" s="132"/>
      <c r="P389" s="133"/>
    </row>
    <row r="390" spans="1:16" ht="16.5" customHeight="1" x14ac:dyDescent="0.25">
      <c r="A390" s="124" t="s">
        <v>167</v>
      </c>
      <c r="B390" s="118" t="e">
        <f>SUM(B360,B378,B385)</f>
        <v>#N/A</v>
      </c>
      <c r="C390" s="118" t="s">
        <v>169</v>
      </c>
      <c r="D390" s="132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  <c r="O390" s="132"/>
      <c r="P390" s="133"/>
    </row>
    <row r="391" spans="1:16" ht="16.5" customHeight="1" thickBot="1" x14ac:dyDescent="0.3">
      <c r="A391" s="134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6"/>
    </row>
    <row r="392" spans="1:16" ht="15.75" customHeight="1" thickTop="1" thickBot="1" x14ac:dyDescent="0.3">
      <c r="A392" s="137"/>
      <c r="B392" s="137"/>
      <c r="C392" s="137"/>
      <c r="D392" s="137"/>
      <c r="E392" s="137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</row>
    <row r="393" spans="1:16" ht="15" customHeight="1" thickTop="1" thickBot="1" x14ac:dyDescent="0.3">
      <c r="A393" s="93"/>
      <c r="B393" s="328"/>
      <c r="C393" s="328"/>
      <c r="D393" s="328"/>
      <c r="E393" s="328"/>
      <c r="F393" s="328"/>
      <c r="G393" s="328"/>
      <c r="H393" s="328"/>
      <c r="I393" s="328"/>
      <c r="J393" s="328"/>
      <c r="K393" s="328"/>
      <c r="L393" s="328"/>
      <c r="M393" s="328"/>
      <c r="N393" s="328"/>
      <c r="O393" s="328"/>
      <c r="P393" s="94"/>
    </row>
    <row r="394" spans="1:16" ht="17.25" customHeight="1" thickTop="1" thickBot="1" x14ac:dyDescent="0.35">
      <c r="A394" s="97" t="s">
        <v>166</v>
      </c>
      <c r="B394" s="92">
        <v>6</v>
      </c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6"/>
    </row>
    <row r="395" spans="1:16" ht="15.75" customHeight="1" thickTop="1" x14ac:dyDescent="0.25">
      <c r="A395" s="343" t="s">
        <v>168</v>
      </c>
      <c r="B395" s="343"/>
      <c r="C395" s="343"/>
      <c r="D395" s="343"/>
      <c r="E395" s="328"/>
      <c r="F395" s="328"/>
      <c r="G395" s="328"/>
      <c r="H395" s="328"/>
      <c r="I395" s="328"/>
      <c r="J395" s="328"/>
      <c r="K395" s="328"/>
      <c r="L395" s="328"/>
      <c r="M395" s="328"/>
      <c r="N395" s="328"/>
      <c r="O395" s="328"/>
      <c r="P395" s="94"/>
    </row>
    <row r="396" spans="1:16" ht="15" customHeight="1" x14ac:dyDescent="0.25">
      <c r="A396" s="95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6"/>
    </row>
    <row r="397" spans="1:16" ht="15" customHeight="1" x14ac:dyDescent="0.25">
      <c r="A397" s="103" t="s">
        <v>170</v>
      </c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6"/>
    </row>
    <row r="398" spans="1:16" ht="15" customHeight="1" x14ac:dyDescent="0.25">
      <c r="A398" s="95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6"/>
    </row>
    <row r="399" spans="1:16" ht="15.75" customHeight="1" thickBot="1" x14ac:dyDescent="0.3">
      <c r="A399" s="95"/>
      <c r="B399" s="104" t="s">
        <v>10</v>
      </c>
      <c r="C399" s="104" t="s">
        <v>171</v>
      </c>
      <c r="D399" s="104" t="s">
        <v>172</v>
      </c>
      <c r="E399" s="104" t="s">
        <v>173</v>
      </c>
      <c r="F399" s="104" t="s">
        <v>174</v>
      </c>
      <c r="G399" s="104" t="s">
        <v>16</v>
      </c>
      <c r="H399" s="105" t="s">
        <v>17</v>
      </c>
      <c r="I399" s="105" t="s">
        <v>175</v>
      </c>
      <c r="J399" s="98"/>
      <c r="K399" s="98"/>
      <c r="L399" s="98"/>
      <c r="M399" s="98"/>
      <c r="N399" s="98"/>
      <c r="O399" s="98"/>
      <c r="P399" s="96"/>
    </row>
    <row r="400" spans="1:16" ht="16.5" customHeight="1" thickTop="1" thickBot="1" x14ac:dyDescent="0.3">
      <c r="A400" s="95"/>
      <c r="B400" s="106" t="s">
        <v>96</v>
      </c>
      <c r="C400" s="107">
        <f>VLOOKUP(B400,'Gebouwgegevens Allacker'!$J$5:$Q$83,3,0)</f>
        <v>3</v>
      </c>
      <c r="D400" s="107" t="str">
        <f>VLOOKUP(B400,'Gebouwgegevens Allacker'!$J$5:$Q$83,4,0)</f>
        <v>Roof</v>
      </c>
      <c r="E400" s="107">
        <f>VLOOKUP(B400,'Gebouwgegevens Allacker'!$J$5:$Q$83,5,0)</f>
        <v>99.627515556697489</v>
      </c>
      <c r="F400" s="107" t="str">
        <f>VLOOKUP(B400,'Gebouwgegevens Allacker'!$J$5:$Q$83,6,0)</f>
        <v>front/back</v>
      </c>
      <c r="G400" s="107">
        <f>VLOOKUP(B400,'Gebouwgegevens Allacker'!$J$5:$Q$83,7,0)</f>
        <v>1.6975498473547073</v>
      </c>
      <c r="H400" s="108">
        <f>VLOOKUP(B400,'Gebouwgegevens Allacker'!$J$5:$Q$83,8,0)</f>
        <v>169.12267382560054</v>
      </c>
      <c r="I400" s="108">
        <v>1</v>
      </c>
      <c r="J400" s="98"/>
      <c r="K400" s="98"/>
      <c r="L400" s="98"/>
      <c r="M400" s="98"/>
      <c r="N400" s="98"/>
      <c r="O400" s="98"/>
      <c r="P400" s="96"/>
    </row>
    <row r="401" spans="1:16" ht="16.5" customHeight="1" thickTop="1" thickBot="1" x14ac:dyDescent="0.3">
      <c r="A401" s="95"/>
      <c r="B401" s="106" t="s">
        <v>98</v>
      </c>
      <c r="C401" s="107">
        <f>VLOOKUP(B401,'Gebouwgegevens Allacker'!$J$5:$Q$83,3,0)</f>
        <v>3</v>
      </c>
      <c r="D401" s="107" t="str">
        <f>VLOOKUP(B401,'Gebouwgegevens Allacker'!$J$5:$Q$83,4,0)</f>
        <v>Floor internal</v>
      </c>
      <c r="E401" s="107">
        <f>VLOOKUP(B401,'Gebouwgegevens Allacker'!$J$5:$Q$83,5,0)</f>
        <v>76.183999999999997</v>
      </c>
      <c r="F401" s="107">
        <f>VLOOKUP(B401,'Gebouwgegevens Allacker'!$J$5:$Q$83,6,0)</f>
        <v>0</v>
      </c>
      <c r="G401" s="107">
        <f>VLOOKUP(B401,'Gebouwgegevens Allacker'!$J$5:$Q$83,7,0)</f>
        <v>2.0895522388059704</v>
      </c>
      <c r="H401" s="108">
        <f>VLOOKUP(B401,'Gebouwgegevens Allacker'!$J$5:$Q$83,8,0)</f>
        <v>159.19044776119404</v>
      </c>
      <c r="I401" s="108">
        <v>1</v>
      </c>
      <c r="J401" s="98"/>
      <c r="K401" s="98"/>
      <c r="L401" s="98"/>
      <c r="M401" s="98"/>
      <c r="N401" s="98"/>
      <c r="O401" s="98"/>
      <c r="P401" s="96"/>
    </row>
    <row r="402" spans="1:16" ht="16.5" customHeight="1" thickTop="1" thickBot="1" x14ac:dyDescent="0.3">
      <c r="A402" s="95"/>
      <c r="B402" s="106" t="s">
        <v>101</v>
      </c>
      <c r="C402" s="107">
        <f>VLOOKUP(B402,'Gebouwgegevens Allacker'!$J$5:$Q$83,3,0)</f>
        <v>2</v>
      </c>
      <c r="D402" s="107" t="str">
        <f>VLOOKUP(B402,'Gebouwgegevens Allacker'!$J$5:$Q$83,4,0)</f>
        <v>Wall internal</v>
      </c>
      <c r="E402" s="107">
        <f>VLOOKUP(B402,'Gebouwgegevens Allacker'!$J$5:$Q$83,5,0)</f>
        <v>140.84</v>
      </c>
      <c r="F402" s="107">
        <f>VLOOKUP(B402,'Gebouwgegevens Allacker'!$J$5:$Q$83,6,0)</f>
        <v>0</v>
      </c>
      <c r="G402" s="107">
        <f>VLOOKUP(B402,'Gebouwgegevens Allacker'!$J$5:$Q$83,7,0)</f>
        <v>1.9926199261992623</v>
      </c>
      <c r="H402" s="108">
        <f>VLOOKUP(B402,'Gebouwgegevens Allacker'!$J$5:$Q$83,8,0)</f>
        <v>280.64059040590411</v>
      </c>
      <c r="I402" s="108">
        <v>1</v>
      </c>
      <c r="J402" s="98"/>
      <c r="K402" s="98"/>
      <c r="L402" s="98"/>
      <c r="M402" s="98"/>
      <c r="N402" s="98"/>
      <c r="O402" s="98"/>
      <c r="P402" s="96"/>
    </row>
    <row r="403" spans="1:16" ht="16.5" customHeight="1" thickTop="1" thickBot="1" x14ac:dyDescent="0.3">
      <c r="A403" s="95"/>
      <c r="B403" s="106"/>
      <c r="C403" s="107"/>
      <c r="D403" s="107"/>
      <c r="E403" s="107"/>
      <c r="F403" s="107"/>
      <c r="G403" s="107"/>
      <c r="H403" s="108"/>
      <c r="I403" s="108"/>
      <c r="J403" s="98"/>
      <c r="K403" s="98"/>
      <c r="L403" s="98"/>
      <c r="M403" s="98"/>
      <c r="N403" s="98"/>
      <c r="O403" s="98"/>
      <c r="P403" s="96"/>
    </row>
    <row r="404" spans="1:16" ht="16.5" customHeight="1" thickTop="1" thickBot="1" x14ac:dyDescent="0.3">
      <c r="A404" s="95"/>
      <c r="B404" s="106"/>
      <c r="C404" s="107"/>
      <c r="D404" s="107"/>
      <c r="E404" s="107"/>
      <c r="F404" s="107"/>
      <c r="G404" s="107"/>
      <c r="H404" s="108"/>
      <c r="I404" s="108"/>
      <c r="J404" s="98"/>
      <c r="K404" s="98"/>
      <c r="L404" s="98"/>
      <c r="M404" s="98"/>
      <c r="N404" s="98"/>
      <c r="O404" s="98"/>
      <c r="P404" s="96"/>
    </row>
    <row r="405" spans="1:16" ht="16.5" customHeight="1" thickTop="1" thickBot="1" x14ac:dyDescent="0.3">
      <c r="A405" s="95"/>
      <c r="B405" s="106"/>
      <c r="C405" s="107"/>
      <c r="D405" s="107"/>
      <c r="E405" s="107"/>
      <c r="F405" s="107"/>
      <c r="G405" s="107"/>
      <c r="H405" s="108"/>
      <c r="I405" s="108"/>
      <c r="J405" s="98"/>
      <c r="K405" s="98"/>
      <c r="L405" s="98"/>
      <c r="M405" s="98"/>
      <c r="N405" s="98"/>
      <c r="O405" s="98"/>
      <c r="P405" s="96"/>
    </row>
    <row r="406" spans="1:16" ht="16.5" customHeight="1" thickTop="1" thickBot="1" x14ac:dyDescent="0.3">
      <c r="A406" s="95"/>
      <c r="B406" s="106"/>
      <c r="C406" s="107"/>
      <c r="D406" s="107"/>
      <c r="E406" s="107"/>
      <c r="F406" s="107"/>
      <c r="G406" s="107"/>
      <c r="H406" s="108"/>
      <c r="I406" s="108"/>
      <c r="J406" s="98"/>
      <c r="K406" s="98"/>
      <c r="L406" s="98"/>
      <c r="M406" s="98"/>
      <c r="N406" s="98"/>
      <c r="O406" s="98"/>
      <c r="P406" s="96"/>
    </row>
    <row r="407" spans="1:16" ht="16.5" customHeight="1" thickTop="1" thickBot="1" x14ac:dyDescent="0.3">
      <c r="A407" s="95"/>
      <c r="B407" s="106"/>
      <c r="C407" s="107"/>
      <c r="D407" s="107"/>
      <c r="E407" s="107"/>
      <c r="F407" s="107"/>
      <c r="G407" s="107"/>
      <c r="H407" s="108"/>
      <c r="I407" s="108"/>
      <c r="J407" s="98"/>
      <c r="K407" s="98"/>
      <c r="L407" s="98"/>
      <c r="M407" s="98"/>
      <c r="N407" s="98"/>
      <c r="O407" s="98"/>
      <c r="P407" s="96"/>
    </row>
    <row r="408" spans="1:16" ht="16.5" customHeight="1" thickTop="1" thickBot="1" x14ac:dyDescent="0.3">
      <c r="A408" s="95"/>
      <c r="B408" s="106"/>
      <c r="C408" s="107"/>
      <c r="D408" s="107"/>
      <c r="E408" s="107"/>
      <c r="F408" s="107"/>
      <c r="G408" s="107"/>
      <c r="H408" s="108"/>
      <c r="I408" s="108"/>
      <c r="J408" s="98"/>
      <c r="K408" s="98"/>
      <c r="L408" s="98"/>
      <c r="M408" s="98"/>
      <c r="N408" s="98"/>
      <c r="O408" s="98"/>
      <c r="P408" s="96"/>
    </row>
    <row r="409" spans="1:16" ht="16.5" customHeight="1" thickTop="1" thickBot="1" x14ac:dyDescent="0.3">
      <c r="A409" s="95"/>
      <c r="B409" s="106"/>
      <c r="C409" s="107"/>
      <c r="D409" s="107"/>
      <c r="E409" s="107"/>
      <c r="F409" s="107"/>
      <c r="G409" s="107"/>
      <c r="H409" s="108"/>
      <c r="I409" s="108"/>
      <c r="J409" s="98"/>
      <c r="K409" s="98"/>
      <c r="L409" s="98"/>
      <c r="M409" s="98"/>
      <c r="N409" s="98"/>
      <c r="O409" s="98"/>
      <c r="P409" s="96"/>
    </row>
    <row r="410" spans="1:16" ht="16.5" customHeight="1" thickTop="1" thickBot="1" x14ac:dyDescent="0.3">
      <c r="A410" s="95"/>
      <c r="B410" s="106"/>
      <c r="C410" s="107"/>
      <c r="D410" s="107"/>
      <c r="E410" s="107"/>
      <c r="F410" s="107"/>
      <c r="G410" s="107"/>
      <c r="H410" s="108"/>
      <c r="I410" s="108"/>
      <c r="J410" s="98"/>
      <c r="K410" s="98"/>
      <c r="L410" s="98"/>
      <c r="M410" s="98"/>
      <c r="N410" s="98"/>
      <c r="O410" s="98"/>
      <c r="P410" s="96"/>
    </row>
    <row r="411" spans="1:16" ht="16.5" customHeight="1" thickTop="1" thickBot="1" x14ac:dyDescent="0.3">
      <c r="A411" s="95"/>
      <c r="B411" s="106"/>
      <c r="C411" s="107"/>
      <c r="D411" s="107"/>
      <c r="E411" s="107"/>
      <c r="F411" s="107"/>
      <c r="G411" s="107"/>
      <c r="H411" s="108"/>
      <c r="I411" s="108"/>
      <c r="J411" s="98"/>
      <c r="K411" s="98"/>
      <c r="L411" s="98"/>
      <c r="M411" s="98"/>
      <c r="N411" s="98"/>
      <c r="O411" s="98"/>
      <c r="P411" s="96"/>
    </row>
    <row r="412" spans="1:16" ht="15.75" customHeight="1" thickTop="1" x14ac:dyDescent="0.25">
      <c r="A412" s="95"/>
      <c r="B412" s="58"/>
      <c r="C412" s="58"/>
      <c r="D412" s="58"/>
      <c r="E412" s="58"/>
      <c r="F412" s="58"/>
      <c r="G412" s="114"/>
      <c r="H412" s="58"/>
      <c r="I412" s="58"/>
      <c r="J412" s="98"/>
      <c r="K412" s="98"/>
      <c r="L412" s="98"/>
      <c r="M412" s="98"/>
      <c r="N412" s="98"/>
      <c r="O412" s="98"/>
      <c r="P412" s="96"/>
    </row>
    <row r="413" spans="1:16" ht="15" customHeight="1" x14ac:dyDescent="0.25">
      <c r="A413" s="95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6"/>
    </row>
    <row r="414" spans="1:16" ht="15" customHeight="1" x14ac:dyDescent="0.25">
      <c r="A414" s="103" t="s">
        <v>177</v>
      </c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6"/>
    </row>
    <row r="415" spans="1:16" ht="15.75" customHeight="1" x14ac:dyDescent="0.25">
      <c r="A415" s="95"/>
      <c r="B415" s="58" t="s">
        <v>10</v>
      </c>
      <c r="C415" s="58" t="s">
        <v>178</v>
      </c>
      <c r="D415" s="58" t="s">
        <v>172</v>
      </c>
      <c r="E415" s="58" t="s">
        <v>179</v>
      </c>
      <c r="F415" s="58" t="s">
        <v>16</v>
      </c>
      <c r="G415" s="114" t="s">
        <v>17</v>
      </c>
      <c r="H415" s="114" t="s">
        <v>175</v>
      </c>
      <c r="I415" s="58" t="s">
        <v>180</v>
      </c>
      <c r="J415" s="58" t="s">
        <v>181</v>
      </c>
      <c r="K415" s="58" t="s">
        <v>182</v>
      </c>
      <c r="L415" s="115" t="s">
        <v>183</v>
      </c>
      <c r="M415" s="115" t="s">
        <v>184</v>
      </c>
      <c r="N415" s="115" t="s">
        <v>185</v>
      </c>
      <c r="O415" s="98"/>
      <c r="P415" s="96"/>
    </row>
    <row r="416" spans="1:16" ht="16.5" customHeight="1" thickBot="1" x14ac:dyDescent="0.3">
      <c r="A416" s="95"/>
      <c r="B416" s="116"/>
      <c r="C416" s="117"/>
      <c r="D416" s="117"/>
      <c r="E416" s="117"/>
      <c r="F416" s="117"/>
      <c r="G416" s="118"/>
      <c r="H416" s="118"/>
      <c r="I416" s="117"/>
      <c r="J416" s="116"/>
      <c r="K416" s="116"/>
      <c r="L416" s="119"/>
      <c r="M416" s="119"/>
      <c r="N416" s="120"/>
      <c r="O416" s="98"/>
      <c r="P416" s="96"/>
    </row>
    <row r="417" spans="1:16" ht="16.5" customHeight="1" thickTop="1" thickBot="1" x14ac:dyDescent="0.3">
      <c r="A417" s="95"/>
      <c r="B417" s="116"/>
      <c r="C417" s="117"/>
      <c r="D417" s="117"/>
      <c r="E417" s="117"/>
      <c r="F417" s="117"/>
      <c r="G417" s="118"/>
      <c r="H417" s="118"/>
      <c r="I417" s="117"/>
      <c r="J417" s="116"/>
      <c r="K417" s="116"/>
      <c r="L417" s="119"/>
      <c r="M417" s="119"/>
      <c r="N417" s="120"/>
      <c r="O417" s="98"/>
      <c r="P417" s="96"/>
    </row>
    <row r="418" spans="1:16" ht="16.5" customHeight="1" thickTop="1" thickBot="1" x14ac:dyDescent="0.3">
      <c r="A418" s="95"/>
      <c r="B418" s="116"/>
      <c r="C418" s="117"/>
      <c r="D418" s="117"/>
      <c r="E418" s="117"/>
      <c r="F418" s="117"/>
      <c r="G418" s="118"/>
      <c r="H418" s="118"/>
      <c r="I418" s="117"/>
      <c r="J418" s="116"/>
      <c r="K418" s="116"/>
      <c r="L418" s="119"/>
      <c r="M418" s="119"/>
      <c r="N418" s="120"/>
      <c r="O418" s="98"/>
      <c r="P418" s="96"/>
    </row>
    <row r="419" spans="1:16" ht="16.5" customHeight="1" thickTop="1" thickBot="1" x14ac:dyDescent="0.3">
      <c r="A419" s="95"/>
      <c r="B419" s="116"/>
      <c r="C419" s="117"/>
      <c r="D419" s="117"/>
      <c r="E419" s="117"/>
      <c r="F419" s="117"/>
      <c r="G419" s="118"/>
      <c r="H419" s="118"/>
      <c r="I419" s="117"/>
      <c r="J419" s="116"/>
      <c r="K419" s="116"/>
      <c r="L419" s="119"/>
      <c r="M419" s="119"/>
      <c r="N419" s="120"/>
      <c r="O419" s="98"/>
      <c r="P419" s="96"/>
    </row>
    <row r="420" spans="1:16" ht="16.5" customHeight="1" thickTop="1" thickBot="1" x14ac:dyDescent="0.3">
      <c r="A420" s="138"/>
      <c r="B420" s="116"/>
      <c r="C420" s="117"/>
      <c r="D420" s="117"/>
      <c r="E420" s="117"/>
      <c r="F420" s="117"/>
      <c r="G420" s="118"/>
      <c r="H420" s="118"/>
      <c r="I420" s="117"/>
      <c r="J420" s="116"/>
      <c r="K420" s="116"/>
      <c r="L420" s="119"/>
      <c r="M420" s="119"/>
      <c r="N420" s="120"/>
      <c r="O420" s="98"/>
      <c r="P420" s="96"/>
    </row>
    <row r="421" spans="1:16" ht="15.75" customHeight="1" thickTop="1" x14ac:dyDescent="0.25">
      <c r="A421" s="95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6"/>
    </row>
    <row r="422" spans="1:16" ht="15" customHeight="1" x14ac:dyDescent="0.25">
      <c r="A422" s="103" t="s">
        <v>186</v>
      </c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6"/>
    </row>
    <row r="423" spans="1:16" ht="15.75" customHeight="1" thickBot="1" x14ac:dyDescent="0.3">
      <c r="A423" s="95"/>
      <c r="B423" s="58" t="s">
        <v>10</v>
      </c>
      <c r="C423" s="58" t="s">
        <v>187</v>
      </c>
      <c r="D423" s="58" t="s">
        <v>188</v>
      </c>
      <c r="E423" s="58" t="s">
        <v>135</v>
      </c>
      <c r="F423" s="58" t="s">
        <v>189</v>
      </c>
      <c r="G423" s="58" t="s">
        <v>190</v>
      </c>
      <c r="H423" s="58" t="s">
        <v>191</v>
      </c>
      <c r="I423" s="58" t="s">
        <v>16</v>
      </c>
      <c r="J423" s="114" t="s">
        <v>17</v>
      </c>
      <c r="K423" s="114" t="s">
        <v>175</v>
      </c>
      <c r="L423" s="98"/>
      <c r="M423" s="98"/>
      <c r="N423" s="98"/>
      <c r="O423" s="98"/>
      <c r="P423" s="96"/>
    </row>
    <row r="424" spans="1:16" ht="16.5" customHeight="1" thickTop="1" thickBot="1" x14ac:dyDescent="0.3">
      <c r="A424" s="95"/>
      <c r="B424" s="116" t="s">
        <v>233</v>
      </c>
      <c r="C424" s="122" t="e">
        <f>IF(VLOOKUP(B424,'Gebouwgegevens Allacker'!$J$5:$Q$83,2,0)=$B$394,VLOOKUP(B424,'Gebouwgegevens Allacker'!$J$5:$Q$83,2,0),VLOOKUP(B424,'Gebouwgegevens Allacker'!$J$5:$Q$83,3,0))</f>
        <v>#N/A</v>
      </c>
      <c r="D424" s="122" t="e">
        <f>IF(VLOOKUP(B424,'Gebouwgegevens Allacker'!$J$5:$Q$83,2,0)=$B$394,VLOOKUP(B424,'Gebouwgegevens Allacker'!$J$5:$Q$83,3,0),VLOOKUP(B424,'Gebouwgegevens Allacker'!$J$5:$Q$83,2,0))</f>
        <v>#N/A</v>
      </c>
      <c r="E424" s="122" t="e">
        <f>VLOOKUP(B424,'Gebouwgegevens Allacker'!$J$5:$Q$83,4,0)</f>
        <v>#N/A</v>
      </c>
      <c r="F424" s="122" t="e">
        <f>VLOOKUP(B424,'Gebouwgegevens Allacker'!$J$5:$Q$83,5,0)</f>
        <v>#N/A</v>
      </c>
      <c r="G424" s="122" t="e">
        <f>VLOOKUP('Verwarming Tabula 2zone RefULG2'!C424,'Gebouwgegevens Allacker'!$A$35:$F$46,5,0)</f>
        <v>#N/A</v>
      </c>
      <c r="H424" s="122" t="e">
        <f>VLOOKUP('Verwarming Tabula 2zone RefULG2'!D424,'Gebouwgegevens Allacker'!$A$35:$F$46,5,0)</f>
        <v>#N/A</v>
      </c>
      <c r="I424" s="122" t="e">
        <f>VLOOKUP(B424,'Gebouwgegevens Allacker'!$J$5:$Q$83,7,0)</f>
        <v>#N/A</v>
      </c>
      <c r="J424" s="118" t="e">
        <f>VLOOKUP(B424,'Gebouwgegevens Allacker'!$J$5:$Q$83,8,0)</f>
        <v>#N/A</v>
      </c>
      <c r="K424" s="118" t="e">
        <f>(G424-H424)/(G424-$B$4)</f>
        <v>#N/A</v>
      </c>
      <c r="L424" s="98"/>
      <c r="M424" s="98"/>
      <c r="N424" s="98"/>
      <c r="O424" s="98"/>
      <c r="P424" s="96"/>
    </row>
    <row r="425" spans="1:16" ht="16.5" customHeight="1" thickTop="1" thickBot="1" x14ac:dyDescent="0.3">
      <c r="A425" s="95"/>
      <c r="B425" s="116" t="s">
        <v>237</v>
      </c>
      <c r="C425" s="122" t="e">
        <f>IF(VLOOKUP(B425,'Gebouwgegevens Allacker'!$J$5:$Q$83,2,0)=$B$394,VLOOKUP(B425,'Gebouwgegevens Allacker'!$J$5:$Q$83,2,0),VLOOKUP(B425,'Gebouwgegevens Allacker'!$J$5:$Q$83,3,0))</f>
        <v>#N/A</v>
      </c>
      <c r="D425" s="122" t="e">
        <f>IF(VLOOKUP(B425,'Gebouwgegevens Allacker'!$J$5:$Q$83,2,0)=$B$394,VLOOKUP(B425,'Gebouwgegevens Allacker'!$J$5:$Q$83,3,0),VLOOKUP(B425,'Gebouwgegevens Allacker'!$J$5:$Q$83,2,0))</f>
        <v>#N/A</v>
      </c>
      <c r="E425" s="122" t="e">
        <f>VLOOKUP(B425,'Gebouwgegevens Allacker'!$J$5:$Q$83,4,0)</f>
        <v>#N/A</v>
      </c>
      <c r="F425" s="122" t="e">
        <f>VLOOKUP(B425,'Gebouwgegevens Allacker'!$J$5:$Q$83,5,0)</f>
        <v>#N/A</v>
      </c>
      <c r="G425" s="122" t="e">
        <f>VLOOKUP('Verwarming Tabula 2zone RefULG2'!C425,'Gebouwgegevens Allacker'!$A$35:$F$46,5,0)</f>
        <v>#N/A</v>
      </c>
      <c r="H425" s="122" t="e">
        <f>VLOOKUP('Verwarming Tabula 2zone RefULG2'!D425,'Gebouwgegevens Allacker'!$A$35:$F$46,5,0)</f>
        <v>#N/A</v>
      </c>
      <c r="I425" s="122" t="e">
        <f>VLOOKUP(B425,'Gebouwgegevens Allacker'!$J$5:$Q$83,7,0)</f>
        <v>#N/A</v>
      </c>
      <c r="J425" s="118" t="e">
        <f>VLOOKUP(B425,'Gebouwgegevens Allacker'!$J$5:$Q$83,8,0)</f>
        <v>#N/A</v>
      </c>
      <c r="K425" s="118" t="e">
        <f>(G425-H425)/(G425-$B$4)</f>
        <v>#N/A</v>
      </c>
      <c r="L425" s="98"/>
      <c r="M425" s="98"/>
      <c r="N425" s="98"/>
      <c r="O425" s="98"/>
      <c r="P425" s="96"/>
    </row>
    <row r="426" spans="1:16" ht="16.5" customHeight="1" thickTop="1" thickBot="1" x14ac:dyDescent="0.3">
      <c r="A426" s="95"/>
      <c r="B426" s="116" t="s">
        <v>238</v>
      </c>
      <c r="C426" s="122" t="e">
        <f>IF(VLOOKUP(B426,'Gebouwgegevens Allacker'!$J$5:$Q$83,2,0)=$B$394,VLOOKUP(B426,'Gebouwgegevens Allacker'!$J$5:$Q$83,2,0),VLOOKUP(B426,'Gebouwgegevens Allacker'!$J$5:$Q$83,3,0))</f>
        <v>#N/A</v>
      </c>
      <c r="D426" s="122" t="e">
        <f>IF(VLOOKUP(B426,'Gebouwgegevens Allacker'!$J$5:$Q$83,2,0)=$B$394,VLOOKUP(B426,'Gebouwgegevens Allacker'!$J$5:$Q$83,3,0),VLOOKUP(B426,'Gebouwgegevens Allacker'!$J$5:$Q$83,2,0))</f>
        <v>#N/A</v>
      </c>
      <c r="E426" s="122" t="e">
        <f>VLOOKUP(B426,'Gebouwgegevens Allacker'!$J$5:$Q$83,4,0)</f>
        <v>#N/A</v>
      </c>
      <c r="F426" s="122" t="e">
        <f>VLOOKUP(B426,'Gebouwgegevens Allacker'!$J$5:$Q$83,5,0)</f>
        <v>#N/A</v>
      </c>
      <c r="G426" s="122" t="e">
        <f>VLOOKUP('Verwarming Tabula 2zone RefULG2'!C426,'Gebouwgegevens Allacker'!$A$35:$F$46,5,0)</f>
        <v>#N/A</v>
      </c>
      <c r="H426" s="122" t="e">
        <f>VLOOKUP('Verwarming Tabula 2zone RefULG2'!D426,'Gebouwgegevens Allacker'!$A$35:$F$46,5,0)</f>
        <v>#N/A</v>
      </c>
      <c r="I426" s="122" t="e">
        <f>VLOOKUP(B426,'Gebouwgegevens Allacker'!$J$5:$Q$83,7,0)</f>
        <v>#N/A</v>
      </c>
      <c r="J426" s="118" t="e">
        <f>VLOOKUP(B426,'Gebouwgegevens Allacker'!$J$5:$Q$83,8,0)</f>
        <v>#N/A</v>
      </c>
      <c r="K426" s="118" t="e">
        <f>(G426-H426)/(G426-$B$4)</f>
        <v>#N/A</v>
      </c>
      <c r="L426" s="98"/>
      <c r="M426" s="98"/>
      <c r="N426" s="98"/>
      <c r="O426" s="98"/>
      <c r="P426" s="96"/>
    </row>
    <row r="427" spans="1:16" ht="16.5" customHeight="1" thickTop="1" thickBot="1" x14ac:dyDescent="0.3">
      <c r="A427" s="95"/>
      <c r="B427" s="116" t="s">
        <v>239</v>
      </c>
      <c r="C427" s="122" t="e">
        <f>IF(VLOOKUP(B427,'Gebouwgegevens Allacker'!$J$5:$Q$83,2,0)=$B$394,VLOOKUP(B427,'Gebouwgegevens Allacker'!$J$5:$Q$83,2,0),VLOOKUP(B427,'Gebouwgegevens Allacker'!$J$5:$Q$83,3,0))</f>
        <v>#N/A</v>
      </c>
      <c r="D427" s="122" t="e">
        <f>IF(VLOOKUP(B427,'Gebouwgegevens Allacker'!$J$5:$Q$83,2,0)=$B$394,VLOOKUP(B427,'Gebouwgegevens Allacker'!$J$5:$Q$83,3,0),VLOOKUP(B427,'Gebouwgegevens Allacker'!$J$5:$Q$83,2,0))</f>
        <v>#N/A</v>
      </c>
      <c r="E427" s="122" t="e">
        <f>VLOOKUP(B427,'Gebouwgegevens Allacker'!$J$5:$Q$83,4,0)</f>
        <v>#N/A</v>
      </c>
      <c r="F427" s="122" t="e">
        <f>VLOOKUP(B427,'Gebouwgegevens Allacker'!$J$5:$Q$83,5,0)</f>
        <v>#N/A</v>
      </c>
      <c r="G427" s="122" t="e">
        <f>VLOOKUP('Verwarming Tabula 2zone RefULG2'!C427,'Gebouwgegevens Allacker'!$A$35:$F$46,5,0)</f>
        <v>#N/A</v>
      </c>
      <c r="H427" s="122" t="e">
        <f>VLOOKUP('Verwarming Tabula 2zone RefULG2'!D427,'Gebouwgegevens Allacker'!$A$35:$F$46,5,0)</f>
        <v>#N/A</v>
      </c>
      <c r="I427" s="122" t="e">
        <f>VLOOKUP(B427,'Gebouwgegevens Allacker'!$J$5:$Q$83,7,0)</f>
        <v>#N/A</v>
      </c>
      <c r="J427" s="118" t="e">
        <f>VLOOKUP(B427,'Gebouwgegevens Allacker'!$J$5:$Q$83,8,0)</f>
        <v>#N/A</v>
      </c>
      <c r="K427" s="118" t="e">
        <f>(G427-H427)/(G427-$B$4)</f>
        <v>#N/A</v>
      </c>
      <c r="L427" s="98"/>
      <c r="M427" s="98"/>
      <c r="N427" s="98"/>
      <c r="O427" s="98"/>
      <c r="P427" s="96"/>
    </row>
    <row r="428" spans="1:16" ht="16.5" customHeight="1" thickTop="1" thickBot="1" x14ac:dyDescent="0.3">
      <c r="A428" s="95"/>
      <c r="B428" s="145" t="s">
        <v>240</v>
      </c>
      <c r="C428" s="122" t="e">
        <f>IF(VLOOKUP(B428,'Gebouwgegevens Allacker'!$J$5:$Q$83,2,0)=$B$394,VLOOKUP(B428,'Gebouwgegevens Allacker'!$J$5:$Q$83,2,0),VLOOKUP(B428,'Gebouwgegevens Allacker'!$J$5:$Q$83,3,0))</f>
        <v>#N/A</v>
      </c>
      <c r="D428" s="122" t="e">
        <f>IF(VLOOKUP(B428,'Gebouwgegevens Allacker'!$J$5:$Q$83,2,0)=$B$394,VLOOKUP(B428,'Gebouwgegevens Allacker'!$J$5:$Q$83,3,0),VLOOKUP(B428,'Gebouwgegevens Allacker'!$J$5:$Q$83,2,0))</f>
        <v>#N/A</v>
      </c>
      <c r="E428" s="122" t="e">
        <f>VLOOKUP(B428,'Gebouwgegevens Allacker'!$J$5:$Q$83,4,0)</f>
        <v>#N/A</v>
      </c>
      <c r="F428" s="122" t="e">
        <f>VLOOKUP(B428,'Gebouwgegevens Allacker'!$J$5:$Q$83,5,0)</f>
        <v>#N/A</v>
      </c>
      <c r="G428" s="122" t="e">
        <f>VLOOKUP('Verwarming Tabula 2zone RefULG2'!C428,'Gebouwgegevens Allacker'!$A$35:$F$46,5,0)</f>
        <v>#N/A</v>
      </c>
      <c r="H428" s="122" t="e">
        <f>VLOOKUP('Verwarming Tabula 2zone RefULG2'!D428,'Gebouwgegevens Allacker'!$A$35:$F$46,5,0)</f>
        <v>#N/A</v>
      </c>
      <c r="I428" s="122" t="e">
        <f>VLOOKUP(B428,'Gebouwgegevens Allacker'!$J$5:$Q$83,7,0)</f>
        <v>#N/A</v>
      </c>
      <c r="J428" s="118" t="e">
        <f>VLOOKUP(B428,'Gebouwgegevens Allacker'!$J$5:$Q$83,8,0)</f>
        <v>#N/A</v>
      </c>
      <c r="K428" s="118" t="e">
        <f>(G428-H428)/(G428-$B$4)</f>
        <v>#N/A</v>
      </c>
      <c r="L428" s="98"/>
      <c r="M428" s="98"/>
      <c r="N428" s="98"/>
      <c r="O428" s="98"/>
      <c r="P428" s="96"/>
    </row>
    <row r="429" spans="1:16" ht="16.5" customHeight="1" thickTop="1" thickBot="1" x14ac:dyDescent="0.3">
      <c r="A429" s="95"/>
      <c r="B429" s="123"/>
      <c r="C429" s="139"/>
      <c r="D429" s="122"/>
      <c r="E429" s="122"/>
      <c r="F429" s="122"/>
      <c r="G429" s="122"/>
      <c r="H429" s="122"/>
      <c r="I429" s="122"/>
      <c r="J429" s="118"/>
      <c r="K429" s="118"/>
      <c r="L429" s="98"/>
      <c r="M429" s="98"/>
      <c r="N429" s="98"/>
      <c r="O429" s="98"/>
      <c r="P429" s="96"/>
    </row>
    <row r="430" spans="1:16" ht="16.5" customHeight="1" thickTop="1" thickBot="1" x14ac:dyDescent="0.3">
      <c r="A430" s="95"/>
      <c r="B430" s="123"/>
      <c r="C430" s="139"/>
      <c r="D430" s="122"/>
      <c r="E430" s="122"/>
      <c r="F430" s="122"/>
      <c r="G430" s="122"/>
      <c r="H430" s="122"/>
      <c r="I430" s="122"/>
      <c r="J430" s="118"/>
      <c r="K430" s="118"/>
      <c r="L430" s="98"/>
      <c r="M430" s="98"/>
      <c r="N430" s="98"/>
      <c r="O430" s="98"/>
      <c r="P430" s="96"/>
    </row>
    <row r="431" spans="1:16" ht="16.5" customHeight="1" thickTop="1" thickBot="1" x14ac:dyDescent="0.3">
      <c r="A431" s="95"/>
      <c r="B431" s="123"/>
      <c r="C431" s="139"/>
      <c r="D431" s="122"/>
      <c r="E431" s="122"/>
      <c r="F431" s="122"/>
      <c r="G431" s="122"/>
      <c r="H431" s="122"/>
      <c r="I431" s="122"/>
      <c r="J431" s="118"/>
      <c r="K431" s="118"/>
      <c r="L431" s="98"/>
      <c r="M431" s="98"/>
      <c r="N431" s="98"/>
      <c r="O431" s="98"/>
      <c r="P431" s="96"/>
    </row>
    <row r="432" spans="1:16" ht="16.5" customHeight="1" thickTop="1" thickBot="1" x14ac:dyDescent="0.3">
      <c r="A432" s="95"/>
      <c r="B432" s="123"/>
      <c r="C432" s="139"/>
      <c r="D432" s="122"/>
      <c r="E432" s="122"/>
      <c r="F432" s="122"/>
      <c r="G432" s="122"/>
      <c r="H432" s="122"/>
      <c r="I432" s="122"/>
      <c r="J432" s="118"/>
      <c r="K432" s="118"/>
      <c r="L432" s="98"/>
      <c r="M432" s="98"/>
      <c r="N432" s="98"/>
      <c r="O432" s="98"/>
      <c r="P432" s="96"/>
    </row>
    <row r="433" spans="1:16" ht="16.5" customHeight="1" thickTop="1" thickBot="1" x14ac:dyDescent="0.3">
      <c r="A433" s="95"/>
      <c r="B433" s="123"/>
      <c r="C433" s="139"/>
      <c r="D433" s="122"/>
      <c r="E433" s="122"/>
      <c r="F433" s="122"/>
      <c r="G433" s="122"/>
      <c r="H433" s="122"/>
      <c r="I433" s="122"/>
      <c r="J433" s="118"/>
      <c r="K433" s="118"/>
      <c r="L433" s="98"/>
      <c r="M433" s="98"/>
      <c r="N433" s="98"/>
      <c r="O433" s="98"/>
      <c r="P433" s="96"/>
    </row>
    <row r="434" spans="1:16" ht="15.75" customHeight="1" thickTop="1" x14ac:dyDescent="0.25">
      <c r="A434" s="95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8"/>
      <c r="M434" s="98"/>
      <c r="N434" s="98"/>
      <c r="O434" s="98"/>
      <c r="P434" s="96"/>
    </row>
    <row r="435" spans="1:16" ht="15" customHeight="1" x14ac:dyDescent="0.25">
      <c r="A435" s="95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6"/>
    </row>
    <row r="436" spans="1:16" ht="15.75" customHeight="1" x14ac:dyDescent="0.25">
      <c r="A436" s="103" t="s">
        <v>192</v>
      </c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6"/>
    </row>
    <row r="437" spans="1:16" ht="16.5" customHeight="1" x14ac:dyDescent="0.25">
      <c r="A437" s="124" t="s">
        <v>193</v>
      </c>
      <c r="B437" s="118" t="e">
        <f>SUMPRODUCT(H400:H411,I400:I411)+SUMPRODUCT(G416:G420,H416:H420)+SUMPRODUCT(J424:J433,K424:K433)</f>
        <v>#N/A</v>
      </c>
      <c r="C437" s="118" t="s">
        <v>107</v>
      </c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6"/>
    </row>
    <row r="438" spans="1:16" ht="16.5" customHeight="1" x14ac:dyDescent="0.25">
      <c r="A438" s="124" t="s">
        <v>167</v>
      </c>
      <c r="B438" s="118" t="e">
        <f>B437*(G424-$B$4)</f>
        <v>#N/A</v>
      </c>
      <c r="C438" s="118" t="s">
        <v>169</v>
      </c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6"/>
    </row>
    <row r="439" spans="1:16" ht="15.75" customHeight="1" thickBot="1" x14ac:dyDescent="0.3">
      <c r="A439" s="109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1"/>
    </row>
    <row r="440" spans="1:16" ht="15.75" customHeight="1" thickTop="1" x14ac:dyDescent="0.25">
      <c r="A440" s="343" t="s">
        <v>194</v>
      </c>
      <c r="B440" s="343"/>
      <c r="C440" s="343"/>
      <c r="D440" s="125" t="s">
        <v>222</v>
      </c>
      <c r="E440" s="328"/>
      <c r="F440" s="328"/>
      <c r="G440" s="328"/>
      <c r="H440" s="328"/>
      <c r="I440" s="328"/>
      <c r="J440" s="328"/>
      <c r="K440" s="328"/>
      <c r="L440" s="328"/>
      <c r="M440" s="328"/>
      <c r="N440" s="328"/>
      <c r="O440" s="328"/>
      <c r="P440" s="94"/>
    </row>
    <row r="441" spans="1:16" ht="15" customHeight="1" x14ac:dyDescent="0.25">
      <c r="A441" s="95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6"/>
    </row>
    <row r="442" spans="1:16" ht="15" customHeight="1" thickBot="1" x14ac:dyDescent="0.3">
      <c r="A442" s="126" t="s">
        <v>195</v>
      </c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6"/>
    </row>
    <row r="443" spans="1:16" ht="15" customHeight="1" thickTop="1" thickBot="1" x14ac:dyDescent="0.3">
      <c r="A443" s="127" t="s">
        <v>196</v>
      </c>
      <c r="B443" s="121">
        <v>8</v>
      </c>
      <c r="C443" s="120" t="s">
        <v>197</v>
      </c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6"/>
    </row>
    <row r="444" spans="1:16" ht="15" customHeight="1" thickTop="1" thickBot="1" x14ac:dyDescent="0.3">
      <c r="A444" s="127" t="s">
        <v>198</v>
      </c>
      <c r="B444" s="121">
        <v>0.03</v>
      </c>
      <c r="C444" s="120" t="s">
        <v>199</v>
      </c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6"/>
    </row>
    <row r="445" spans="1:16" ht="15.75" customHeight="1" thickTop="1" thickBot="1" x14ac:dyDescent="0.3">
      <c r="A445" s="127" t="s">
        <v>200</v>
      </c>
      <c r="B445" s="121">
        <v>1</v>
      </c>
      <c r="C445" s="120" t="s">
        <v>201</v>
      </c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6"/>
    </row>
    <row r="446" spans="1:16" ht="16.5" customHeight="1" thickTop="1" x14ac:dyDescent="0.25">
      <c r="A446" s="124" t="s">
        <v>202</v>
      </c>
      <c r="B446" s="118" t="e">
        <f>2*VLOOKUP(B394,'Gebouwgegevens Allacker'!$A$35:$F$46,6,0)*B443*B444*B445</f>
        <v>#N/A</v>
      </c>
      <c r="C446" s="118" t="s">
        <v>203</v>
      </c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6"/>
    </row>
    <row r="447" spans="1:16" ht="15.75" customHeight="1" x14ac:dyDescent="0.25">
      <c r="A447" s="95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6"/>
    </row>
    <row r="448" spans="1:16" ht="15" customHeight="1" x14ac:dyDescent="0.25">
      <c r="A448" s="126" t="s">
        <v>204</v>
      </c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6"/>
    </row>
    <row r="449" spans="1:16" ht="15.75" customHeight="1" x14ac:dyDescent="0.25">
      <c r="A449" s="95" t="s">
        <v>180</v>
      </c>
      <c r="B449" s="98" t="e">
        <f>VLOOKUP(B394,'Gebouwgegevens Allacker'!$A$35:$F$46,6,0)</f>
        <v>#N/A</v>
      </c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6"/>
    </row>
    <row r="450" spans="1:16" ht="16.5" customHeight="1" x14ac:dyDescent="0.25">
      <c r="A450" s="124" t="s">
        <v>205</v>
      </c>
      <c r="B450" s="128" t="e">
        <f>B449*3.6</f>
        <v>#N/A</v>
      </c>
      <c r="C450" s="118" t="s">
        <v>203</v>
      </c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6"/>
    </row>
    <row r="451" spans="1:16" ht="15.75" customHeight="1" x14ac:dyDescent="0.25">
      <c r="A451" s="138"/>
      <c r="B451" s="58"/>
      <c r="C451" s="5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6"/>
    </row>
    <row r="452" spans="1:16" ht="15.75" customHeight="1" x14ac:dyDescent="0.25">
      <c r="A452" s="138"/>
      <c r="B452" s="58"/>
      <c r="C452" s="5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6"/>
    </row>
    <row r="453" spans="1:16" ht="16.5" customHeight="1" x14ac:dyDescent="0.25">
      <c r="A453" s="124" t="s">
        <v>207</v>
      </c>
      <c r="B453" s="118" t="e">
        <f>MAX(B446,B450)</f>
        <v>#N/A</v>
      </c>
      <c r="C453" s="118" t="s">
        <v>203</v>
      </c>
      <c r="D453" s="98"/>
      <c r="E453" s="98"/>
      <c r="F453" s="118" t="s">
        <v>208</v>
      </c>
      <c r="G453" s="118" t="e">
        <f>B453/VLOOKUP(B394,'Gebouwgegevens Allacker'!$A$35:$B$46,2,0)</f>
        <v>#N/A</v>
      </c>
      <c r="H453" s="98"/>
      <c r="I453" s="98"/>
      <c r="J453" s="98"/>
      <c r="K453" s="98"/>
      <c r="L453" s="98"/>
      <c r="M453" s="98"/>
      <c r="N453" s="98"/>
      <c r="O453" s="98"/>
      <c r="P453" s="96"/>
    </row>
    <row r="454" spans="1:16" ht="16.5" customHeight="1" x14ac:dyDescent="0.25">
      <c r="A454" s="138"/>
      <c r="B454" s="58"/>
      <c r="C454" s="5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6"/>
    </row>
    <row r="455" spans="1:16" ht="16.5" customHeight="1" x14ac:dyDescent="0.25">
      <c r="A455" s="124" t="s">
        <v>209</v>
      </c>
      <c r="B455" s="118" t="e">
        <f>0.34*B453</f>
        <v>#N/A</v>
      </c>
      <c r="C455" s="118" t="s">
        <v>107</v>
      </c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6"/>
    </row>
    <row r="456" spans="1:16" ht="16.5" customHeight="1" x14ac:dyDescent="0.25">
      <c r="A456" s="124" t="s">
        <v>167</v>
      </c>
      <c r="B456" s="118" t="e">
        <f>B455*('Gebouwgegevens Allacker'!E416-$B$4)</f>
        <v>#N/A</v>
      </c>
      <c r="C456" s="118" t="s">
        <v>169</v>
      </c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6"/>
    </row>
    <row r="457" spans="1:16" ht="15.75" customHeight="1" thickBot="1" x14ac:dyDescent="0.3">
      <c r="A457" s="140"/>
      <c r="B457" s="141"/>
      <c r="C457" s="141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1"/>
    </row>
    <row r="458" spans="1:16" ht="15.75" customHeight="1" thickTop="1" x14ac:dyDescent="0.25">
      <c r="A458" s="343" t="s">
        <v>210</v>
      </c>
      <c r="B458" s="343"/>
      <c r="C458" s="343"/>
      <c r="D458" s="343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6"/>
    </row>
    <row r="459" spans="1:16" ht="15" customHeight="1" thickBot="1" x14ac:dyDescent="0.3">
      <c r="A459" s="95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6"/>
    </row>
    <row r="460" spans="1:16" ht="15" customHeight="1" thickTop="1" thickBot="1" x14ac:dyDescent="0.3">
      <c r="A460" s="127" t="s">
        <v>211</v>
      </c>
      <c r="B460" s="121">
        <v>22</v>
      </c>
      <c r="C460" s="58" t="s">
        <v>232</v>
      </c>
      <c r="D460" s="5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6"/>
    </row>
    <row r="461" spans="1:16" ht="15.75" customHeight="1" thickTop="1" x14ac:dyDescent="0.25">
      <c r="A461" s="3" t="s">
        <v>113</v>
      </c>
      <c r="B461" s="58" t="e">
        <f>VLOOKUP(B394,'Gebouwgegevens Allacker'!$A$35:$F$46,6,0)</f>
        <v>#N/A</v>
      </c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6"/>
    </row>
    <row r="462" spans="1:16" ht="16.5" customHeight="1" x14ac:dyDescent="0.25">
      <c r="A462" s="124" t="s">
        <v>213</v>
      </c>
      <c r="B462" s="118" t="e">
        <f>B463/('Gebouwgegevens Allacker'!E416-'Verwarming Tabula 2zone RefULG2'!$B$4)</f>
        <v>#N/A</v>
      </c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6"/>
    </row>
    <row r="463" spans="1:16" ht="16.5" customHeight="1" x14ac:dyDescent="0.25">
      <c r="A463" s="124" t="s">
        <v>167</v>
      </c>
      <c r="B463" s="118" t="e">
        <f>B460*B461</f>
        <v>#N/A</v>
      </c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6"/>
    </row>
    <row r="464" spans="1:16" ht="15.75" customHeight="1" x14ac:dyDescent="0.25">
      <c r="A464" s="95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6"/>
    </row>
    <row r="465" spans="1:16" ht="15.75" customHeight="1" thickBot="1" x14ac:dyDescent="0.3">
      <c r="A465" s="95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6"/>
    </row>
    <row r="466" spans="1:16" ht="15.75" customHeight="1" thickTop="1" thickBot="1" x14ac:dyDescent="0.3">
      <c r="A466" s="129" t="s">
        <v>214</v>
      </c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1"/>
    </row>
    <row r="467" spans="1:16" ht="16.5" customHeight="1" thickTop="1" x14ac:dyDescent="0.25">
      <c r="A467" s="124" t="s">
        <v>215</v>
      </c>
      <c r="B467" s="118" t="e">
        <f>SUM(B437,B455,B462)</f>
        <v>#N/A</v>
      </c>
      <c r="C467" s="118" t="s">
        <v>107</v>
      </c>
      <c r="D467" s="132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  <c r="O467" s="132"/>
      <c r="P467" s="133"/>
    </row>
    <row r="468" spans="1:16" ht="16.5" customHeight="1" x14ac:dyDescent="0.25">
      <c r="A468" s="124" t="s">
        <v>167</v>
      </c>
      <c r="B468" s="118" t="e">
        <f>SUM(B438,B456,B463)</f>
        <v>#N/A</v>
      </c>
      <c r="C468" s="118" t="s">
        <v>169</v>
      </c>
      <c r="D468" s="132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  <c r="O468" s="132"/>
      <c r="P468" s="133"/>
    </row>
    <row r="469" spans="1:16" ht="16.5" customHeight="1" thickBot="1" x14ac:dyDescent="0.3">
      <c r="A469" s="134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6"/>
    </row>
    <row r="470" spans="1:16" ht="15.75" customHeight="1" thickTop="1" thickBot="1" x14ac:dyDescent="0.3">
      <c r="A470" s="137"/>
      <c r="B470" s="137"/>
      <c r="C470" s="137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</row>
    <row r="471" spans="1:16" ht="15" customHeight="1" thickTop="1" thickBot="1" x14ac:dyDescent="0.3">
      <c r="A471" s="93"/>
      <c r="B471" s="328"/>
      <c r="C471" s="328"/>
      <c r="D471" s="328"/>
      <c r="E471" s="328"/>
      <c r="F471" s="328"/>
      <c r="G471" s="328"/>
      <c r="H471" s="328"/>
      <c r="I471" s="328"/>
      <c r="J471" s="328"/>
      <c r="K471" s="328"/>
      <c r="L471" s="328"/>
      <c r="M471" s="328"/>
      <c r="N471" s="328"/>
      <c r="O471" s="328"/>
      <c r="P471" s="94"/>
    </row>
    <row r="472" spans="1:16" ht="17.25" customHeight="1" thickTop="1" thickBot="1" x14ac:dyDescent="0.35">
      <c r="A472" s="97" t="s">
        <v>166</v>
      </c>
      <c r="B472" s="92">
        <v>7</v>
      </c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6"/>
    </row>
    <row r="473" spans="1:16" ht="15.75" customHeight="1" thickTop="1" x14ac:dyDescent="0.25">
      <c r="A473" s="343" t="s">
        <v>168</v>
      </c>
      <c r="B473" s="343"/>
      <c r="C473" s="343"/>
      <c r="D473" s="343"/>
      <c r="E473" s="328"/>
      <c r="F473" s="328"/>
      <c r="G473" s="328"/>
      <c r="H473" s="328"/>
      <c r="I473" s="328"/>
      <c r="J473" s="328"/>
      <c r="K473" s="328"/>
      <c r="L473" s="328"/>
      <c r="M473" s="328"/>
      <c r="N473" s="328"/>
      <c r="O473" s="328"/>
      <c r="P473" s="94"/>
    </row>
    <row r="474" spans="1:16" ht="15" customHeight="1" x14ac:dyDescent="0.25">
      <c r="A474" s="95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6"/>
    </row>
    <row r="475" spans="1:16" ht="15" customHeight="1" x14ac:dyDescent="0.25">
      <c r="A475" s="103" t="s">
        <v>170</v>
      </c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6"/>
    </row>
    <row r="476" spans="1:16" ht="15" customHeight="1" x14ac:dyDescent="0.25">
      <c r="A476" s="95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6"/>
    </row>
    <row r="477" spans="1:16" ht="15.75" customHeight="1" thickBot="1" x14ac:dyDescent="0.3">
      <c r="A477" s="95"/>
      <c r="B477" s="104" t="s">
        <v>10</v>
      </c>
      <c r="C477" s="104" t="s">
        <v>171</v>
      </c>
      <c r="D477" s="104" t="s">
        <v>172</v>
      </c>
      <c r="E477" s="104" t="s">
        <v>173</v>
      </c>
      <c r="F477" s="104" t="s">
        <v>174</v>
      </c>
      <c r="G477" s="104" t="s">
        <v>16</v>
      </c>
      <c r="H477" s="105" t="s">
        <v>17</v>
      </c>
      <c r="I477" s="105" t="s">
        <v>175</v>
      </c>
      <c r="J477" s="98"/>
      <c r="K477" s="98"/>
      <c r="L477" s="98"/>
      <c r="M477" s="98"/>
      <c r="N477" s="98"/>
      <c r="O477" s="98"/>
      <c r="P477" s="96"/>
    </row>
    <row r="478" spans="1:16" ht="16.5" customHeight="1" thickTop="1" thickBot="1" x14ac:dyDescent="0.3">
      <c r="A478" s="95"/>
      <c r="B478" s="106" t="s">
        <v>102</v>
      </c>
      <c r="C478" s="107">
        <f>VLOOKUP(B478,'Gebouwgegevens Allacker'!$J$5:$Q$83,3,0)</f>
        <v>2</v>
      </c>
      <c r="D478" s="107" t="str">
        <f>VLOOKUP(B478,'Gebouwgegevens Allacker'!$J$5:$Q$83,4,0)</f>
        <v>Wall internal</v>
      </c>
      <c r="E478" s="107">
        <f>VLOOKUP(B478,'Gebouwgegevens Allacker'!$J$5:$Q$83,5,0)</f>
        <v>14.24</v>
      </c>
      <c r="F478" s="107">
        <f>VLOOKUP(B478,'Gebouwgegevens Allacker'!$J$5:$Q$83,6,0)</f>
        <v>0</v>
      </c>
      <c r="G478" s="107">
        <f>VLOOKUP(B478,'Gebouwgegevens Allacker'!$J$5:$Q$83,7,0)</f>
        <v>1.9926199261992623</v>
      </c>
      <c r="H478" s="108">
        <f>VLOOKUP(B478,'Gebouwgegevens Allacker'!$J$5:$Q$83,8,0)</f>
        <v>28.374907749077497</v>
      </c>
      <c r="I478" s="108">
        <v>1</v>
      </c>
      <c r="J478" s="98"/>
      <c r="K478" s="98"/>
      <c r="L478" s="98"/>
      <c r="M478" s="98"/>
      <c r="N478" s="98"/>
      <c r="O478" s="98"/>
      <c r="P478" s="96"/>
    </row>
    <row r="479" spans="1:16" ht="16.5" customHeight="1" thickTop="1" thickBot="1" x14ac:dyDescent="0.3">
      <c r="A479" s="95"/>
      <c r="B479" s="106" t="s">
        <v>102</v>
      </c>
      <c r="C479" s="107">
        <f>VLOOKUP(B479,'Gebouwgegevens Allacker'!$J$5:$Q$83,3,0)</f>
        <v>2</v>
      </c>
      <c r="D479" s="107" t="str">
        <f>VLOOKUP(B479,'Gebouwgegevens Allacker'!$J$5:$Q$83,4,0)</f>
        <v>Wall internal</v>
      </c>
      <c r="E479" s="107">
        <f>VLOOKUP(B479,'Gebouwgegevens Allacker'!$J$5:$Q$83,5,0)</f>
        <v>14.24</v>
      </c>
      <c r="F479" s="107">
        <f>VLOOKUP(B479,'Gebouwgegevens Allacker'!$J$5:$Q$83,6,0)</f>
        <v>0</v>
      </c>
      <c r="G479" s="107">
        <f>VLOOKUP(B479,'Gebouwgegevens Allacker'!$J$5:$Q$83,7,0)</f>
        <v>1.9926199261992623</v>
      </c>
      <c r="H479" s="108">
        <f>VLOOKUP(B479,'Gebouwgegevens Allacker'!$J$5:$Q$83,8,0)</f>
        <v>28.374907749077497</v>
      </c>
      <c r="I479" s="108">
        <v>1</v>
      </c>
      <c r="J479" s="98"/>
      <c r="K479" s="98"/>
      <c r="L479" s="98"/>
      <c r="M479" s="98"/>
      <c r="N479" s="98"/>
      <c r="O479" s="98"/>
      <c r="P479" s="96"/>
    </row>
    <row r="480" spans="1:16" ht="16.5" customHeight="1" thickTop="1" thickBot="1" x14ac:dyDescent="0.3">
      <c r="A480" s="95"/>
      <c r="B480" s="106" t="s">
        <v>241</v>
      </c>
      <c r="C480" s="107" t="e">
        <f>VLOOKUP(B480,'Gebouwgegevens Allacker'!$J$5:$Q$83,3,0)</f>
        <v>#N/A</v>
      </c>
      <c r="D480" s="107" t="e">
        <f>VLOOKUP(B480,'Gebouwgegevens Allacker'!$J$5:$Q$83,4,0)</f>
        <v>#N/A</v>
      </c>
      <c r="E480" s="107" t="e">
        <f>VLOOKUP(B480,'Gebouwgegevens Allacker'!$J$5:$Q$83,5,0)</f>
        <v>#N/A</v>
      </c>
      <c r="F480" s="107" t="e">
        <f>VLOOKUP(B480,'Gebouwgegevens Allacker'!$J$5:$Q$83,6,0)</f>
        <v>#N/A</v>
      </c>
      <c r="G480" s="107" t="e">
        <f>VLOOKUP(B480,'Gebouwgegevens Allacker'!$J$5:$Q$83,7,0)</f>
        <v>#N/A</v>
      </c>
      <c r="H480" s="108" t="e">
        <f>VLOOKUP(B480,'Gebouwgegevens Allacker'!$J$5:$Q$83,8,0)</f>
        <v>#N/A</v>
      </c>
      <c r="I480" s="108">
        <v>1</v>
      </c>
      <c r="J480" s="98"/>
      <c r="K480" s="98"/>
      <c r="L480" s="98"/>
      <c r="M480" s="98"/>
      <c r="N480" s="98"/>
      <c r="O480" s="98"/>
      <c r="P480" s="96"/>
    </row>
    <row r="481" spans="1:16" ht="16.5" customHeight="1" thickTop="1" thickBot="1" x14ac:dyDescent="0.3">
      <c r="A481" s="95"/>
      <c r="B481" s="106" t="s">
        <v>242</v>
      </c>
      <c r="C481" s="107" t="e">
        <f>VLOOKUP(B481,'Gebouwgegevens Allacker'!$J$5:$Q$83,3,0)</f>
        <v>#N/A</v>
      </c>
      <c r="D481" s="107" t="e">
        <f>VLOOKUP(B481,'Gebouwgegevens Allacker'!$J$5:$Q$83,4,0)</f>
        <v>#N/A</v>
      </c>
      <c r="E481" s="107" t="e">
        <f>VLOOKUP(B481,'Gebouwgegevens Allacker'!$J$5:$Q$83,5,0)</f>
        <v>#N/A</v>
      </c>
      <c r="F481" s="107" t="e">
        <f>VLOOKUP(B481,'Gebouwgegevens Allacker'!$J$5:$Q$83,6,0)</f>
        <v>#N/A</v>
      </c>
      <c r="G481" s="107" t="e">
        <f>VLOOKUP(B481,'Gebouwgegevens Allacker'!$J$5:$Q$83,7,0)</f>
        <v>#N/A</v>
      </c>
      <c r="H481" s="108" t="e">
        <f>VLOOKUP(B481,'Gebouwgegevens Allacker'!$J$5:$Q$83,8,0)</f>
        <v>#N/A</v>
      </c>
      <c r="I481" s="108">
        <v>1</v>
      </c>
      <c r="J481" s="98"/>
      <c r="K481" s="98"/>
      <c r="L481" s="98"/>
      <c r="M481" s="98"/>
      <c r="N481" s="98"/>
      <c r="O481" s="98"/>
      <c r="P481" s="96"/>
    </row>
    <row r="482" spans="1:16" ht="16.5" customHeight="1" thickTop="1" thickBot="1" x14ac:dyDescent="0.3">
      <c r="A482" s="95"/>
      <c r="B482" s="106" t="s">
        <v>243</v>
      </c>
      <c r="C482" s="107" t="e">
        <f>VLOOKUP(B482,'Gebouwgegevens Allacker'!$J$5:$Q$83,3,0)</f>
        <v>#N/A</v>
      </c>
      <c r="D482" s="107" t="e">
        <f>VLOOKUP(B482,'Gebouwgegevens Allacker'!$J$5:$Q$83,4,0)</f>
        <v>#N/A</v>
      </c>
      <c r="E482" s="107" t="e">
        <f>VLOOKUP(B482,'Gebouwgegevens Allacker'!$J$5:$Q$83,5,0)</f>
        <v>#N/A</v>
      </c>
      <c r="F482" s="107" t="e">
        <f>VLOOKUP(B482,'Gebouwgegevens Allacker'!$J$5:$Q$83,6,0)</f>
        <v>#N/A</v>
      </c>
      <c r="G482" s="107" t="e">
        <f>VLOOKUP(B482,'Gebouwgegevens Allacker'!$J$5:$Q$83,7,0)</f>
        <v>#N/A</v>
      </c>
      <c r="H482" s="108" t="e">
        <f>VLOOKUP(B482,'Gebouwgegevens Allacker'!$J$5:$Q$83,8,0)</f>
        <v>#N/A</v>
      </c>
      <c r="I482" s="108">
        <v>1</v>
      </c>
      <c r="J482" s="98"/>
      <c r="K482" s="98"/>
      <c r="L482" s="98"/>
      <c r="M482" s="98"/>
      <c r="N482" s="98"/>
      <c r="O482" s="98"/>
      <c r="P482" s="96"/>
    </row>
    <row r="483" spans="1:16" ht="16.5" customHeight="1" thickTop="1" thickBot="1" x14ac:dyDescent="0.3">
      <c r="A483" s="95"/>
      <c r="B483" s="106" t="s">
        <v>244</v>
      </c>
      <c r="C483" s="107" t="e">
        <f>VLOOKUP(B483,'Gebouwgegevens Allacker'!$J$5:$Q$83,3,0)</f>
        <v>#N/A</v>
      </c>
      <c r="D483" s="107" t="e">
        <f>VLOOKUP(B483,'Gebouwgegevens Allacker'!$J$5:$Q$83,4,0)</f>
        <v>#N/A</v>
      </c>
      <c r="E483" s="107" t="e">
        <f>VLOOKUP(B483,'Gebouwgegevens Allacker'!$J$5:$Q$83,5,0)</f>
        <v>#N/A</v>
      </c>
      <c r="F483" s="107" t="e">
        <f>VLOOKUP(B483,'Gebouwgegevens Allacker'!$J$5:$Q$83,6,0)</f>
        <v>#N/A</v>
      </c>
      <c r="G483" s="107" t="e">
        <f>VLOOKUP(B483,'Gebouwgegevens Allacker'!$J$5:$Q$83,7,0)</f>
        <v>#N/A</v>
      </c>
      <c r="H483" s="108" t="e">
        <f>VLOOKUP(B483,'Gebouwgegevens Allacker'!$J$5:$Q$83,8,0)</f>
        <v>#N/A</v>
      </c>
      <c r="I483" s="108">
        <v>1</v>
      </c>
      <c r="J483" s="98"/>
      <c r="K483" s="98"/>
      <c r="L483" s="98"/>
      <c r="M483" s="98"/>
      <c r="N483" s="98"/>
      <c r="O483" s="98"/>
      <c r="P483" s="96"/>
    </row>
    <row r="484" spans="1:16" ht="16.5" customHeight="1" thickTop="1" thickBot="1" x14ac:dyDescent="0.3">
      <c r="A484" s="95"/>
      <c r="B484" s="106"/>
      <c r="C484" s="107"/>
      <c r="D484" s="107"/>
      <c r="E484" s="107"/>
      <c r="F484" s="107"/>
      <c r="G484" s="107"/>
      <c r="H484" s="108"/>
      <c r="I484" s="108"/>
      <c r="J484" s="98"/>
      <c r="K484" s="98"/>
      <c r="L484" s="98"/>
      <c r="M484" s="98"/>
      <c r="N484" s="98"/>
      <c r="O484" s="98"/>
      <c r="P484" s="96"/>
    </row>
    <row r="485" spans="1:16" ht="16.5" customHeight="1" thickTop="1" thickBot="1" x14ac:dyDescent="0.3">
      <c r="A485" s="95"/>
      <c r="B485" s="106"/>
      <c r="C485" s="107"/>
      <c r="D485" s="107"/>
      <c r="E485" s="107"/>
      <c r="F485" s="107"/>
      <c r="G485" s="107"/>
      <c r="H485" s="108"/>
      <c r="I485" s="108"/>
      <c r="J485" s="98"/>
      <c r="K485" s="98"/>
      <c r="L485" s="98"/>
      <c r="M485" s="98"/>
      <c r="N485" s="98"/>
      <c r="O485" s="98"/>
      <c r="P485" s="96"/>
    </row>
    <row r="486" spans="1:16" ht="16.5" customHeight="1" thickTop="1" thickBot="1" x14ac:dyDescent="0.3">
      <c r="A486" s="95"/>
      <c r="B486" s="106"/>
      <c r="C486" s="107"/>
      <c r="D486" s="107"/>
      <c r="E486" s="107"/>
      <c r="F486" s="107"/>
      <c r="G486" s="107"/>
      <c r="H486" s="108"/>
      <c r="I486" s="108"/>
      <c r="J486" s="98"/>
      <c r="K486" s="98"/>
      <c r="L486" s="98"/>
      <c r="M486" s="98"/>
      <c r="N486" s="98"/>
      <c r="O486" s="98"/>
      <c r="P486" s="96"/>
    </row>
    <row r="487" spans="1:16" ht="16.5" customHeight="1" thickTop="1" thickBot="1" x14ac:dyDescent="0.3">
      <c r="A487" s="95"/>
      <c r="B487" s="106"/>
      <c r="C487" s="107"/>
      <c r="D487" s="107"/>
      <c r="E487" s="107"/>
      <c r="F487" s="107"/>
      <c r="G487" s="107"/>
      <c r="H487" s="108"/>
      <c r="I487" s="108"/>
      <c r="J487" s="98"/>
      <c r="K487" s="98"/>
      <c r="L487" s="98"/>
      <c r="M487" s="98"/>
      <c r="N487" s="98"/>
      <c r="O487" s="98"/>
      <c r="P487" s="96"/>
    </row>
    <row r="488" spans="1:16" ht="16.5" customHeight="1" thickTop="1" thickBot="1" x14ac:dyDescent="0.3">
      <c r="A488" s="95"/>
      <c r="B488" s="106"/>
      <c r="C488" s="107"/>
      <c r="D488" s="107"/>
      <c r="E488" s="107"/>
      <c r="F488" s="107"/>
      <c r="G488" s="107"/>
      <c r="H488" s="108"/>
      <c r="I488" s="108"/>
      <c r="J488" s="98"/>
      <c r="K488" s="98"/>
      <c r="L488" s="98"/>
      <c r="M488" s="98"/>
      <c r="N488" s="98"/>
      <c r="O488" s="98"/>
      <c r="P488" s="96"/>
    </row>
    <row r="489" spans="1:16" ht="16.5" customHeight="1" thickTop="1" thickBot="1" x14ac:dyDescent="0.3">
      <c r="A489" s="95"/>
      <c r="B489" s="106"/>
      <c r="C489" s="107"/>
      <c r="D489" s="107"/>
      <c r="E489" s="107"/>
      <c r="F489" s="107"/>
      <c r="G489" s="107"/>
      <c r="H489" s="108"/>
      <c r="I489" s="108"/>
      <c r="J489" s="98"/>
      <c r="K489" s="98"/>
      <c r="L489" s="98"/>
      <c r="M489" s="98"/>
      <c r="N489" s="98"/>
      <c r="O489" s="98"/>
      <c r="P489" s="96"/>
    </row>
    <row r="490" spans="1:16" ht="15.75" customHeight="1" thickTop="1" x14ac:dyDescent="0.25">
      <c r="A490" s="95"/>
      <c r="B490" s="58"/>
      <c r="C490" s="58"/>
      <c r="D490" s="58"/>
      <c r="E490" s="58"/>
      <c r="F490" s="58"/>
      <c r="G490" s="114"/>
      <c r="H490" s="58"/>
      <c r="I490" s="58"/>
      <c r="J490" s="98"/>
      <c r="K490" s="98"/>
      <c r="L490" s="98"/>
      <c r="M490" s="98"/>
      <c r="N490" s="98"/>
      <c r="O490" s="98"/>
      <c r="P490" s="96"/>
    </row>
    <row r="491" spans="1:16" ht="15" customHeight="1" x14ac:dyDescent="0.25">
      <c r="A491" s="95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6"/>
    </row>
    <row r="492" spans="1:16" ht="15" customHeight="1" x14ac:dyDescent="0.25">
      <c r="A492" s="103" t="s">
        <v>177</v>
      </c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6"/>
    </row>
    <row r="493" spans="1:16" ht="15.75" customHeight="1" x14ac:dyDescent="0.25">
      <c r="A493" s="95"/>
      <c r="B493" s="58" t="s">
        <v>10</v>
      </c>
      <c r="C493" s="58" t="s">
        <v>178</v>
      </c>
      <c r="D493" s="58" t="s">
        <v>172</v>
      </c>
      <c r="E493" s="58" t="s">
        <v>179</v>
      </c>
      <c r="F493" s="58" t="s">
        <v>16</v>
      </c>
      <c r="G493" s="114" t="s">
        <v>17</v>
      </c>
      <c r="H493" s="114" t="s">
        <v>175</v>
      </c>
      <c r="I493" s="58" t="s">
        <v>180</v>
      </c>
      <c r="J493" s="58" t="s">
        <v>181</v>
      </c>
      <c r="K493" s="58" t="s">
        <v>182</v>
      </c>
      <c r="L493" s="115" t="s">
        <v>183</v>
      </c>
      <c r="M493" s="115" t="s">
        <v>184</v>
      </c>
      <c r="N493" s="115" t="s">
        <v>185</v>
      </c>
      <c r="O493" s="98"/>
      <c r="P493" s="96"/>
    </row>
    <row r="494" spans="1:16" ht="16.5" customHeight="1" thickBot="1" x14ac:dyDescent="0.3">
      <c r="A494" s="95"/>
      <c r="B494" s="116"/>
      <c r="C494" s="117"/>
      <c r="D494" s="117"/>
      <c r="E494" s="117"/>
      <c r="F494" s="117"/>
      <c r="G494" s="118"/>
      <c r="H494" s="118"/>
      <c r="I494" s="117"/>
      <c r="J494" s="116"/>
      <c r="K494" s="116"/>
      <c r="L494" s="119"/>
      <c r="M494" s="119"/>
      <c r="N494" s="120"/>
      <c r="O494" s="98"/>
      <c r="P494" s="96"/>
    </row>
    <row r="495" spans="1:16" ht="16.5" customHeight="1" thickTop="1" thickBot="1" x14ac:dyDescent="0.3">
      <c r="A495" s="95"/>
      <c r="B495" s="116"/>
      <c r="C495" s="117"/>
      <c r="D495" s="117"/>
      <c r="E495" s="117"/>
      <c r="F495" s="117"/>
      <c r="G495" s="118"/>
      <c r="H495" s="118"/>
      <c r="I495" s="117"/>
      <c r="J495" s="116"/>
      <c r="K495" s="116"/>
      <c r="L495" s="119"/>
      <c r="M495" s="119"/>
      <c r="N495" s="120"/>
      <c r="O495" s="98"/>
      <c r="P495" s="96"/>
    </row>
    <row r="496" spans="1:16" ht="16.5" customHeight="1" thickTop="1" thickBot="1" x14ac:dyDescent="0.3">
      <c r="A496" s="95"/>
      <c r="B496" s="116"/>
      <c r="C496" s="117"/>
      <c r="D496" s="117"/>
      <c r="E496" s="117"/>
      <c r="F496" s="117"/>
      <c r="G496" s="118"/>
      <c r="H496" s="118"/>
      <c r="I496" s="117"/>
      <c r="J496" s="116"/>
      <c r="K496" s="116"/>
      <c r="L496" s="119"/>
      <c r="M496" s="119"/>
      <c r="N496" s="120"/>
      <c r="O496" s="98"/>
      <c r="P496" s="96"/>
    </row>
    <row r="497" spans="1:16" ht="16.5" customHeight="1" thickTop="1" thickBot="1" x14ac:dyDescent="0.3">
      <c r="A497" s="95"/>
      <c r="B497" s="116"/>
      <c r="C497" s="117"/>
      <c r="D497" s="117"/>
      <c r="E497" s="117"/>
      <c r="F497" s="117"/>
      <c r="G497" s="118"/>
      <c r="H497" s="118"/>
      <c r="I497" s="117"/>
      <c r="J497" s="116"/>
      <c r="K497" s="116"/>
      <c r="L497" s="119"/>
      <c r="M497" s="119"/>
      <c r="N497" s="120"/>
      <c r="O497" s="98"/>
      <c r="P497" s="96"/>
    </row>
    <row r="498" spans="1:16" ht="16.5" customHeight="1" thickTop="1" thickBot="1" x14ac:dyDescent="0.3">
      <c r="A498" s="138"/>
      <c r="B498" s="116"/>
      <c r="C498" s="117"/>
      <c r="D498" s="117"/>
      <c r="E498" s="117"/>
      <c r="F498" s="117"/>
      <c r="G498" s="118"/>
      <c r="H498" s="118"/>
      <c r="I498" s="117"/>
      <c r="J498" s="116"/>
      <c r="K498" s="116"/>
      <c r="L498" s="119"/>
      <c r="M498" s="119"/>
      <c r="N498" s="120"/>
      <c r="O498" s="98"/>
      <c r="P498" s="96"/>
    </row>
    <row r="499" spans="1:16" ht="15.75" customHeight="1" thickTop="1" x14ac:dyDescent="0.25">
      <c r="A499" s="95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6"/>
    </row>
    <row r="500" spans="1:16" ht="15" customHeight="1" x14ac:dyDescent="0.25">
      <c r="A500" s="103" t="s">
        <v>186</v>
      </c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6"/>
    </row>
    <row r="501" spans="1:16" ht="15.75" customHeight="1" thickBot="1" x14ac:dyDescent="0.3">
      <c r="A501" s="95"/>
      <c r="B501" s="58" t="s">
        <v>10</v>
      </c>
      <c r="C501" s="58" t="s">
        <v>187</v>
      </c>
      <c r="D501" s="58" t="s">
        <v>188</v>
      </c>
      <c r="E501" s="58" t="s">
        <v>135</v>
      </c>
      <c r="F501" s="58" t="s">
        <v>189</v>
      </c>
      <c r="G501" s="58" t="s">
        <v>190</v>
      </c>
      <c r="H501" s="58" t="s">
        <v>191</v>
      </c>
      <c r="I501" s="58" t="s">
        <v>16</v>
      </c>
      <c r="J501" s="114" t="s">
        <v>17</v>
      </c>
      <c r="K501" s="114" t="s">
        <v>175</v>
      </c>
      <c r="L501" s="98"/>
      <c r="M501" s="98"/>
      <c r="N501" s="98"/>
      <c r="O501" s="98"/>
      <c r="P501" s="96"/>
    </row>
    <row r="502" spans="1:16" ht="16.5" customHeight="1" thickTop="1" thickBot="1" x14ac:dyDescent="0.3">
      <c r="A502" s="95"/>
      <c r="B502" s="116" t="s">
        <v>237</v>
      </c>
      <c r="C502" s="122" t="e">
        <f>IF(VLOOKUP(B502,'Gebouwgegevens Allacker'!$J$5:$Q$83,2,0)=$B$472,VLOOKUP(B502,'Gebouwgegevens Allacker'!$J$5:$Q$83,2,0),VLOOKUP(B502,'Gebouwgegevens Allacker'!$J$5:$Q$83,3,0))</f>
        <v>#N/A</v>
      </c>
      <c r="D502" s="122" t="e">
        <f>IF(VLOOKUP(B502,'Gebouwgegevens Allacker'!$J$5:$Q$83,2,0)=$B$472,VLOOKUP(B502,'Gebouwgegevens Allacker'!$J$5:$Q$83,3,0),VLOOKUP(B502,'Gebouwgegevens Allacker'!$J$5:$Q$83,2,0))</f>
        <v>#N/A</v>
      </c>
      <c r="E502" s="122" t="e">
        <f>VLOOKUP(B502,'Gebouwgegevens Allacker'!$J$5:$Q$83,4,0)</f>
        <v>#N/A</v>
      </c>
      <c r="F502" s="122" t="e">
        <f>VLOOKUP(B502,'Gebouwgegevens Allacker'!$J$5:$Q$83,5,0)</f>
        <v>#N/A</v>
      </c>
      <c r="G502" s="122" t="e">
        <f>VLOOKUP('Verwarming Tabula 2zone RefULG2'!C502,'Gebouwgegevens Allacker'!$A$35:$F$46,5,0)</f>
        <v>#N/A</v>
      </c>
      <c r="H502" s="122" t="e">
        <f>VLOOKUP('Verwarming Tabula 2zone RefULG2'!D502,'Gebouwgegevens Allacker'!$A$35:$F$46,5,0)</f>
        <v>#N/A</v>
      </c>
      <c r="I502" s="122" t="e">
        <f>VLOOKUP(B502,'Gebouwgegevens Allacker'!$J$5:$Q$83,7,0)</f>
        <v>#N/A</v>
      </c>
      <c r="J502" s="118" t="e">
        <f>VLOOKUP(B502,'Gebouwgegevens Allacker'!$J$5:$Q$83,8,0)</f>
        <v>#N/A</v>
      </c>
      <c r="K502" s="118" t="e">
        <f>(G502-H502)/(G502-$B$4)</f>
        <v>#N/A</v>
      </c>
      <c r="L502" s="98"/>
      <c r="M502" s="98"/>
      <c r="N502" s="98"/>
      <c r="O502" s="98"/>
      <c r="P502" s="96"/>
    </row>
    <row r="503" spans="1:16" ht="16.5" customHeight="1" thickTop="1" thickBot="1" x14ac:dyDescent="0.3">
      <c r="A503" s="95"/>
      <c r="B503" s="116" t="s">
        <v>221</v>
      </c>
      <c r="C503" s="122" t="e">
        <f>IF(VLOOKUP(B503,'Gebouwgegevens Allacker'!$J$5:$Q$83,2,0)=$B$472,VLOOKUP(B503,'Gebouwgegevens Allacker'!$J$5:$Q$83,2,0),VLOOKUP(B503,'Gebouwgegevens Allacker'!$J$5:$Q$83,3,0))</f>
        <v>#N/A</v>
      </c>
      <c r="D503" s="122" t="e">
        <f>IF(VLOOKUP(B503,'Gebouwgegevens Allacker'!$J$5:$Q$83,2,0)=$B$472,VLOOKUP(B503,'Gebouwgegevens Allacker'!$J$5:$Q$83,3,0),VLOOKUP(B503,'Gebouwgegevens Allacker'!$J$5:$Q$83,2,0))</f>
        <v>#N/A</v>
      </c>
      <c r="E503" s="122" t="e">
        <f>VLOOKUP(B503,'Gebouwgegevens Allacker'!$J$5:$Q$83,4,0)</f>
        <v>#N/A</v>
      </c>
      <c r="F503" s="122" t="e">
        <f>VLOOKUP(B503,'Gebouwgegevens Allacker'!$J$5:$Q$83,5,0)</f>
        <v>#N/A</v>
      </c>
      <c r="G503" s="122" t="e">
        <f>VLOOKUP('Verwarming Tabula 2zone RefULG2'!C503,'Gebouwgegevens Allacker'!$A$35:$F$46,5,0)</f>
        <v>#N/A</v>
      </c>
      <c r="H503" s="122" t="e">
        <f>VLOOKUP('Verwarming Tabula 2zone RefULG2'!D503,'Gebouwgegevens Allacker'!$A$35:$F$46,5,0)</f>
        <v>#N/A</v>
      </c>
      <c r="I503" s="122" t="e">
        <f>VLOOKUP(B503,'Gebouwgegevens Allacker'!$J$5:$Q$83,7,0)</f>
        <v>#N/A</v>
      </c>
      <c r="J503" s="118" t="e">
        <f>VLOOKUP(B503,'Gebouwgegevens Allacker'!$J$5:$Q$83,8,0)</f>
        <v>#N/A</v>
      </c>
      <c r="K503" s="118" t="e">
        <f>(G503-H503)/(G503-$B$4)</f>
        <v>#N/A</v>
      </c>
      <c r="L503" s="98"/>
      <c r="M503" s="98"/>
      <c r="N503" s="98"/>
      <c r="O503" s="98"/>
      <c r="P503" s="96"/>
    </row>
    <row r="504" spans="1:16" ht="16.5" customHeight="1" thickTop="1" thickBot="1" x14ac:dyDescent="0.3">
      <c r="A504" s="95"/>
      <c r="B504" s="116" t="s">
        <v>245</v>
      </c>
      <c r="C504" s="122" t="e">
        <f>IF(VLOOKUP(B504,'Gebouwgegevens Allacker'!$J$5:$Q$83,2,0)=$B$472,VLOOKUP(B504,'Gebouwgegevens Allacker'!$J$5:$Q$83,2,0),VLOOKUP(B504,'Gebouwgegevens Allacker'!$J$5:$Q$83,3,0))</f>
        <v>#N/A</v>
      </c>
      <c r="D504" s="122" t="e">
        <f>IF(VLOOKUP(B504,'Gebouwgegevens Allacker'!$J$5:$Q$83,2,0)=$B$472,VLOOKUP(B504,'Gebouwgegevens Allacker'!$J$5:$Q$83,3,0),VLOOKUP(B504,'Gebouwgegevens Allacker'!$J$5:$Q$83,2,0))</f>
        <v>#N/A</v>
      </c>
      <c r="E504" s="122" t="e">
        <f>VLOOKUP(B504,'Gebouwgegevens Allacker'!$J$5:$Q$83,4,0)</f>
        <v>#N/A</v>
      </c>
      <c r="F504" s="122" t="e">
        <f>VLOOKUP(B504,'Gebouwgegevens Allacker'!$J$5:$Q$83,5,0)</f>
        <v>#N/A</v>
      </c>
      <c r="G504" s="122" t="e">
        <f>VLOOKUP('Verwarming Tabula 2zone RefULG2'!C504,'Gebouwgegevens Allacker'!$A$35:$F$46,5,0)</f>
        <v>#N/A</v>
      </c>
      <c r="H504" s="122" t="e">
        <f>VLOOKUP('Verwarming Tabula 2zone RefULG2'!D504,'Gebouwgegevens Allacker'!$A$35:$F$46,5,0)</f>
        <v>#N/A</v>
      </c>
      <c r="I504" s="122" t="e">
        <f>VLOOKUP(B504,'Gebouwgegevens Allacker'!$J$5:$Q$83,7,0)</f>
        <v>#N/A</v>
      </c>
      <c r="J504" s="118" t="e">
        <f>VLOOKUP(B504,'Gebouwgegevens Allacker'!$J$5:$Q$83,8,0)</f>
        <v>#N/A</v>
      </c>
      <c r="K504" s="118" t="e">
        <f>(G504-H504)/(G504-$B$4)</f>
        <v>#N/A</v>
      </c>
      <c r="L504" s="98"/>
      <c r="M504" s="98"/>
      <c r="N504" s="98"/>
      <c r="O504" s="98"/>
      <c r="P504" s="96"/>
    </row>
    <row r="505" spans="1:16" ht="16.5" customHeight="1" thickTop="1" thickBot="1" x14ac:dyDescent="0.3">
      <c r="A505" s="95"/>
      <c r="B505" s="116"/>
      <c r="C505" s="122"/>
      <c r="D505" s="122"/>
      <c r="E505" s="122"/>
      <c r="F505" s="122"/>
      <c r="G505" s="122"/>
      <c r="H505" s="122"/>
      <c r="I505" s="122"/>
      <c r="J505" s="118"/>
      <c r="K505" s="118"/>
      <c r="L505" s="98"/>
      <c r="M505" s="98"/>
      <c r="N505" s="98"/>
      <c r="O505" s="98"/>
      <c r="P505" s="96"/>
    </row>
    <row r="506" spans="1:16" ht="16.5" customHeight="1" thickTop="1" thickBot="1" x14ac:dyDescent="0.3">
      <c r="A506" s="95"/>
      <c r="B506" s="145"/>
      <c r="C506" s="122"/>
      <c r="D506" s="122"/>
      <c r="E506" s="122"/>
      <c r="F506" s="122"/>
      <c r="G506" s="122"/>
      <c r="H506" s="122"/>
      <c r="I506" s="122"/>
      <c r="J506" s="118"/>
      <c r="K506" s="118"/>
      <c r="L506" s="98"/>
      <c r="M506" s="98"/>
      <c r="N506" s="98"/>
      <c r="O506" s="98"/>
      <c r="P506" s="96"/>
    </row>
    <row r="507" spans="1:16" ht="16.5" customHeight="1" thickTop="1" thickBot="1" x14ac:dyDescent="0.3">
      <c r="A507" s="95"/>
      <c r="B507" s="123"/>
      <c r="C507" s="139"/>
      <c r="D507" s="122"/>
      <c r="E507" s="122"/>
      <c r="F507" s="122"/>
      <c r="G507" s="122"/>
      <c r="H507" s="122"/>
      <c r="I507" s="122"/>
      <c r="J507" s="118"/>
      <c r="K507" s="118"/>
      <c r="L507" s="98"/>
      <c r="M507" s="98"/>
      <c r="N507" s="98"/>
      <c r="O507" s="98"/>
      <c r="P507" s="96"/>
    </row>
    <row r="508" spans="1:16" ht="16.5" customHeight="1" thickTop="1" thickBot="1" x14ac:dyDescent="0.3">
      <c r="A508" s="95"/>
      <c r="B508" s="123"/>
      <c r="C508" s="139"/>
      <c r="D508" s="122"/>
      <c r="E508" s="122"/>
      <c r="F508" s="122"/>
      <c r="G508" s="122"/>
      <c r="H508" s="122"/>
      <c r="I508" s="122"/>
      <c r="J508" s="118"/>
      <c r="K508" s="118"/>
      <c r="L508" s="98"/>
      <c r="M508" s="98"/>
      <c r="N508" s="98"/>
      <c r="O508" s="98"/>
      <c r="P508" s="96"/>
    </row>
    <row r="509" spans="1:16" ht="16.5" customHeight="1" thickTop="1" thickBot="1" x14ac:dyDescent="0.3">
      <c r="A509" s="95"/>
      <c r="B509" s="123"/>
      <c r="C509" s="139"/>
      <c r="D509" s="122"/>
      <c r="E509" s="122"/>
      <c r="F509" s="122"/>
      <c r="G509" s="122"/>
      <c r="H509" s="122"/>
      <c r="I509" s="122"/>
      <c r="J509" s="118"/>
      <c r="K509" s="118"/>
      <c r="L509" s="98"/>
      <c r="M509" s="98"/>
      <c r="N509" s="98"/>
      <c r="O509" s="98"/>
      <c r="P509" s="96"/>
    </row>
    <row r="510" spans="1:16" ht="16.5" customHeight="1" thickTop="1" thickBot="1" x14ac:dyDescent="0.3">
      <c r="A510" s="95"/>
      <c r="B510" s="123"/>
      <c r="C510" s="139"/>
      <c r="D510" s="122"/>
      <c r="E510" s="122"/>
      <c r="F510" s="122"/>
      <c r="G510" s="122"/>
      <c r="H510" s="122"/>
      <c r="I510" s="122"/>
      <c r="J510" s="118"/>
      <c r="K510" s="118"/>
      <c r="L510" s="98"/>
      <c r="M510" s="98"/>
      <c r="N510" s="98"/>
      <c r="O510" s="98"/>
      <c r="P510" s="96"/>
    </row>
    <row r="511" spans="1:16" ht="16.5" customHeight="1" thickTop="1" thickBot="1" x14ac:dyDescent="0.3">
      <c r="A511" s="95"/>
      <c r="B511" s="123"/>
      <c r="C511" s="139"/>
      <c r="D511" s="122"/>
      <c r="E511" s="122"/>
      <c r="F511" s="122"/>
      <c r="G511" s="122"/>
      <c r="H511" s="122"/>
      <c r="I511" s="122"/>
      <c r="J511" s="118"/>
      <c r="K511" s="118"/>
      <c r="L511" s="98"/>
      <c r="M511" s="98"/>
      <c r="N511" s="98"/>
      <c r="O511" s="98"/>
      <c r="P511" s="96"/>
    </row>
    <row r="512" spans="1:16" ht="15.75" customHeight="1" thickTop="1" x14ac:dyDescent="0.25">
      <c r="A512" s="95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8"/>
      <c r="M512" s="98"/>
      <c r="N512" s="98"/>
      <c r="O512" s="98"/>
      <c r="P512" s="96"/>
    </row>
    <row r="513" spans="1:16" ht="15" customHeight="1" x14ac:dyDescent="0.25">
      <c r="A513" s="95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6"/>
    </row>
    <row r="514" spans="1:16" ht="15.75" customHeight="1" x14ac:dyDescent="0.25">
      <c r="A514" s="103" t="s">
        <v>192</v>
      </c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6"/>
    </row>
    <row r="515" spans="1:16" ht="16.5" customHeight="1" x14ac:dyDescent="0.25">
      <c r="A515" s="124" t="s">
        <v>193</v>
      </c>
      <c r="B515" s="118" t="e">
        <f>SUMPRODUCT(H478:H489,I478:I489)+SUMPRODUCT(G494:G498,H494:H498)+SUMPRODUCT(J502:J511,K502:K511)</f>
        <v>#N/A</v>
      </c>
      <c r="C515" s="118" t="s">
        <v>107</v>
      </c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6"/>
    </row>
    <row r="516" spans="1:16" ht="16.5" customHeight="1" x14ac:dyDescent="0.25">
      <c r="A516" s="124" t="s">
        <v>167</v>
      </c>
      <c r="B516" s="118" t="e">
        <f>B515*(G502-$B$4)</f>
        <v>#N/A</v>
      </c>
      <c r="C516" s="118" t="s">
        <v>169</v>
      </c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6"/>
    </row>
    <row r="517" spans="1:16" ht="15.75" customHeight="1" thickBot="1" x14ac:dyDescent="0.3">
      <c r="A517" s="109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1"/>
    </row>
    <row r="518" spans="1:16" ht="15.75" customHeight="1" thickTop="1" x14ac:dyDescent="0.25">
      <c r="A518" s="343" t="s">
        <v>194</v>
      </c>
      <c r="B518" s="343"/>
      <c r="C518" s="343"/>
      <c r="D518" s="125" t="s">
        <v>222</v>
      </c>
      <c r="E518" s="328"/>
      <c r="F518" s="328"/>
      <c r="G518" s="328"/>
      <c r="H518" s="328"/>
      <c r="I518" s="328"/>
      <c r="J518" s="328"/>
      <c r="K518" s="328"/>
      <c r="L518" s="328"/>
      <c r="M518" s="328"/>
      <c r="N518" s="328"/>
      <c r="O518" s="328"/>
      <c r="P518" s="94"/>
    </row>
    <row r="519" spans="1:16" ht="15" customHeight="1" x14ac:dyDescent="0.25">
      <c r="A519" s="95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6"/>
    </row>
    <row r="520" spans="1:16" ht="15" customHeight="1" thickBot="1" x14ac:dyDescent="0.3">
      <c r="A520" s="126" t="s">
        <v>195</v>
      </c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6"/>
    </row>
    <row r="521" spans="1:16" ht="15" customHeight="1" thickTop="1" thickBot="1" x14ac:dyDescent="0.3">
      <c r="A521" s="127" t="s">
        <v>196</v>
      </c>
      <c r="B521" s="121">
        <v>8</v>
      </c>
      <c r="C521" s="120" t="s">
        <v>197</v>
      </c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6"/>
    </row>
    <row r="522" spans="1:16" ht="15" customHeight="1" thickTop="1" thickBot="1" x14ac:dyDescent="0.3">
      <c r="A522" s="127" t="s">
        <v>198</v>
      </c>
      <c r="B522" s="121">
        <v>0.03</v>
      </c>
      <c r="C522" s="120" t="s">
        <v>199</v>
      </c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6"/>
    </row>
    <row r="523" spans="1:16" ht="15.75" customHeight="1" thickTop="1" thickBot="1" x14ac:dyDescent="0.3">
      <c r="A523" s="127" t="s">
        <v>200</v>
      </c>
      <c r="B523" s="121">
        <v>1</v>
      </c>
      <c r="C523" s="120" t="s">
        <v>201</v>
      </c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6"/>
    </row>
    <row r="524" spans="1:16" ht="16.5" customHeight="1" thickTop="1" x14ac:dyDescent="0.25">
      <c r="A524" s="124" t="s">
        <v>202</v>
      </c>
      <c r="B524" s="118" t="e">
        <f>2*VLOOKUP(B472,'Gebouwgegevens Allacker'!$A$35:$F$46,6,0)*B521*B522*B523</f>
        <v>#N/A</v>
      </c>
      <c r="C524" s="118" t="s">
        <v>203</v>
      </c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6"/>
    </row>
    <row r="525" spans="1:16" ht="15.75" customHeight="1" x14ac:dyDescent="0.25">
      <c r="A525" s="138"/>
      <c r="B525" s="58"/>
      <c r="C525" s="5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6"/>
    </row>
    <row r="526" spans="1:16" ht="15" customHeight="1" x14ac:dyDescent="0.25">
      <c r="A526" s="146" t="s">
        <v>204</v>
      </c>
      <c r="B526" s="58"/>
      <c r="C526" s="5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6"/>
    </row>
    <row r="527" spans="1:16" ht="15.75" customHeight="1" x14ac:dyDescent="0.25">
      <c r="A527" s="138" t="s">
        <v>180</v>
      </c>
      <c r="B527" s="58" t="e">
        <f>VLOOKUP(B472,'Gebouwgegevens Allacker'!$A$35:$F$46,6,0)</f>
        <v>#N/A</v>
      </c>
      <c r="C527" s="5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6"/>
    </row>
    <row r="528" spans="1:16" ht="16.5" customHeight="1" x14ac:dyDescent="0.25">
      <c r="A528" s="124" t="s">
        <v>205</v>
      </c>
      <c r="B528" s="128" t="e">
        <f>B527*3.6</f>
        <v>#N/A</v>
      </c>
      <c r="C528" s="118" t="s">
        <v>203</v>
      </c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6"/>
    </row>
    <row r="529" spans="1:16" ht="15.75" customHeight="1" x14ac:dyDescent="0.25">
      <c r="A529" s="138"/>
      <c r="B529" s="58"/>
      <c r="C529" s="5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6"/>
    </row>
    <row r="530" spans="1:16" ht="15.75" customHeight="1" x14ac:dyDescent="0.25">
      <c r="A530" s="138"/>
      <c r="B530" s="58"/>
      <c r="C530" s="5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6"/>
    </row>
    <row r="531" spans="1:16" ht="16.5" customHeight="1" x14ac:dyDescent="0.25">
      <c r="A531" s="124" t="s">
        <v>207</v>
      </c>
      <c r="B531" s="118" t="e">
        <f>MAX(B524,B528)</f>
        <v>#N/A</v>
      </c>
      <c r="C531" s="118" t="s">
        <v>203</v>
      </c>
      <c r="D531" s="98"/>
      <c r="E531" s="98"/>
      <c r="F531" s="118" t="s">
        <v>208</v>
      </c>
      <c r="G531" s="118" t="e">
        <f>B531/VLOOKUP(B472,'Gebouwgegevens Allacker'!$A$35:$B$46,2,0)</f>
        <v>#N/A</v>
      </c>
      <c r="H531" s="98"/>
      <c r="I531" s="98"/>
      <c r="J531" s="98"/>
      <c r="K531" s="98"/>
      <c r="L531" s="98"/>
      <c r="M531" s="98"/>
      <c r="N531" s="98"/>
      <c r="O531" s="98"/>
      <c r="P531" s="96"/>
    </row>
    <row r="532" spans="1:16" ht="16.5" customHeight="1" x14ac:dyDescent="0.25">
      <c r="A532" s="138"/>
      <c r="B532" s="58"/>
      <c r="C532" s="5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6"/>
    </row>
    <row r="533" spans="1:16" ht="16.5" customHeight="1" x14ac:dyDescent="0.25">
      <c r="A533" s="124" t="s">
        <v>209</v>
      </c>
      <c r="B533" s="118" t="e">
        <f>0.34*B531</f>
        <v>#N/A</v>
      </c>
      <c r="C533" s="118" t="s">
        <v>107</v>
      </c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6"/>
    </row>
    <row r="534" spans="1:16" ht="16.5" customHeight="1" x14ac:dyDescent="0.25">
      <c r="A534" s="124" t="s">
        <v>167</v>
      </c>
      <c r="B534" s="118" t="e">
        <f>B533*('Gebouwgegevens Allacker'!E494-$B$4)</f>
        <v>#N/A</v>
      </c>
      <c r="C534" s="118" t="s">
        <v>169</v>
      </c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6"/>
    </row>
    <row r="535" spans="1:16" ht="15.75" customHeight="1" thickBot="1" x14ac:dyDescent="0.3">
      <c r="A535" s="140"/>
      <c r="B535" s="141"/>
      <c r="C535" s="141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1"/>
    </row>
    <row r="536" spans="1:16" ht="15.75" customHeight="1" thickTop="1" x14ac:dyDescent="0.25">
      <c r="A536" s="343" t="s">
        <v>210</v>
      </c>
      <c r="B536" s="343"/>
      <c r="C536" s="343"/>
      <c r="D536" s="343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6"/>
    </row>
    <row r="537" spans="1:16" ht="15" customHeight="1" thickBot="1" x14ac:dyDescent="0.3">
      <c r="A537" s="95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6"/>
    </row>
    <row r="538" spans="1:16" ht="15" customHeight="1" thickTop="1" thickBot="1" x14ac:dyDescent="0.3">
      <c r="A538" s="127" t="s">
        <v>211</v>
      </c>
      <c r="B538" s="121">
        <v>22</v>
      </c>
      <c r="C538" s="58" t="s">
        <v>232</v>
      </c>
      <c r="D538" s="5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6"/>
    </row>
    <row r="539" spans="1:16" ht="15.75" customHeight="1" thickTop="1" x14ac:dyDescent="0.25">
      <c r="A539" s="91" t="s">
        <v>113</v>
      </c>
      <c r="B539" s="98" t="e">
        <f>VLOOKUP(B472,'Gebouwgegevens Allacker'!$A$35:$F$46,6,0)</f>
        <v>#N/A</v>
      </c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6"/>
    </row>
    <row r="540" spans="1:16" ht="16.5" customHeight="1" x14ac:dyDescent="0.25">
      <c r="A540" s="124" t="s">
        <v>213</v>
      </c>
      <c r="B540" s="118" t="e">
        <f>B541/('Gebouwgegevens Allacker'!E494-'Verwarming Tabula 2zone RefULG2'!$B$4)</f>
        <v>#N/A</v>
      </c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6"/>
    </row>
    <row r="541" spans="1:16" ht="16.5" customHeight="1" x14ac:dyDescent="0.25">
      <c r="A541" s="124" t="s">
        <v>167</v>
      </c>
      <c r="B541" s="118" t="e">
        <f>B538*B539</f>
        <v>#N/A</v>
      </c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6"/>
    </row>
    <row r="542" spans="1:16" ht="15.75" customHeight="1" x14ac:dyDescent="0.25">
      <c r="A542" s="95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6"/>
    </row>
    <row r="543" spans="1:16" ht="15.75" customHeight="1" thickBot="1" x14ac:dyDescent="0.3">
      <c r="A543" s="95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6"/>
    </row>
    <row r="544" spans="1:16" ht="15.75" customHeight="1" thickTop="1" thickBot="1" x14ac:dyDescent="0.3">
      <c r="A544" s="129" t="s">
        <v>214</v>
      </c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1"/>
    </row>
    <row r="545" spans="1:16" ht="16.5" customHeight="1" thickTop="1" x14ac:dyDescent="0.25">
      <c r="A545" s="124" t="s">
        <v>215</v>
      </c>
      <c r="B545" s="118" t="e">
        <f>SUM(B515,B533,B540)</f>
        <v>#N/A</v>
      </c>
      <c r="C545" s="118" t="s">
        <v>107</v>
      </c>
      <c r="D545" s="132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  <c r="O545" s="132"/>
      <c r="P545" s="133"/>
    </row>
    <row r="546" spans="1:16" ht="16.5" customHeight="1" x14ac:dyDescent="0.25">
      <c r="A546" s="124" t="s">
        <v>167</v>
      </c>
      <c r="B546" s="118" t="e">
        <f>SUM(B516,B534,B541)</f>
        <v>#N/A</v>
      </c>
      <c r="C546" s="118" t="s">
        <v>169</v>
      </c>
      <c r="D546" s="132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  <c r="O546" s="132"/>
      <c r="P546" s="133"/>
    </row>
    <row r="547" spans="1:16" ht="16.5" customHeight="1" thickBot="1" x14ac:dyDescent="0.3">
      <c r="A547" s="134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6"/>
    </row>
    <row r="548" spans="1:16" ht="15" customHeight="1" thickTop="1" x14ac:dyDescent="0.25">
      <c r="A548" s="137"/>
      <c r="B548" s="137"/>
      <c r="C548" s="137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</row>
    <row r="549" spans="1:16" ht="15.75" customHeight="1" thickBot="1" x14ac:dyDescent="0.3">
      <c r="A549" s="137"/>
      <c r="B549" s="137"/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</row>
    <row r="550" spans="1:16" ht="15" customHeight="1" thickTop="1" thickBot="1" x14ac:dyDescent="0.3">
      <c r="A550" s="93"/>
      <c r="B550" s="328"/>
      <c r="C550" s="328"/>
      <c r="D550" s="328"/>
      <c r="E550" s="328"/>
      <c r="F550" s="328"/>
      <c r="G550" s="328"/>
      <c r="H550" s="328"/>
      <c r="I550" s="328"/>
      <c r="J550" s="328"/>
      <c r="K550" s="328"/>
      <c r="L550" s="328"/>
      <c r="M550" s="328"/>
      <c r="N550" s="328"/>
      <c r="O550" s="328"/>
      <c r="P550" s="94"/>
    </row>
    <row r="551" spans="1:16" ht="17.25" customHeight="1" thickTop="1" thickBot="1" x14ac:dyDescent="0.35">
      <c r="A551" s="97" t="s">
        <v>166</v>
      </c>
      <c r="B551" s="92">
        <v>8</v>
      </c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6"/>
    </row>
    <row r="552" spans="1:16" ht="15.75" customHeight="1" thickTop="1" x14ac:dyDescent="0.25">
      <c r="A552" s="343" t="s">
        <v>168</v>
      </c>
      <c r="B552" s="343"/>
      <c r="C552" s="343"/>
      <c r="D552" s="343"/>
      <c r="E552" s="328"/>
      <c r="F552" s="328"/>
      <c r="G552" s="328"/>
      <c r="H552" s="328"/>
      <c r="I552" s="328"/>
      <c r="J552" s="328"/>
      <c r="K552" s="328"/>
      <c r="L552" s="328"/>
      <c r="M552" s="328"/>
      <c r="N552" s="328"/>
      <c r="O552" s="328"/>
      <c r="P552" s="94"/>
    </row>
    <row r="553" spans="1:16" ht="15" customHeight="1" x14ac:dyDescent="0.25">
      <c r="A553" s="95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6"/>
    </row>
    <row r="554" spans="1:16" ht="15" customHeight="1" x14ac:dyDescent="0.25">
      <c r="A554" s="103" t="s">
        <v>170</v>
      </c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6"/>
    </row>
    <row r="555" spans="1:16" ht="15" customHeight="1" x14ac:dyDescent="0.25">
      <c r="A555" s="95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6"/>
    </row>
    <row r="556" spans="1:16" ht="15.75" customHeight="1" thickBot="1" x14ac:dyDescent="0.3">
      <c r="A556" s="95"/>
      <c r="B556" s="104" t="s">
        <v>10</v>
      </c>
      <c r="C556" s="104" t="s">
        <v>171</v>
      </c>
      <c r="D556" s="104" t="s">
        <v>172</v>
      </c>
      <c r="E556" s="104" t="s">
        <v>173</v>
      </c>
      <c r="F556" s="104" t="s">
        <v>174</v>
      </c>
      <c r="G556" s="104" t="s">
        <v>16</v>
      </c>
      <c r="H556" s="105" t="s">
        <v>17</v>
      </c>
      <c r="I556" s="105" t="s">
        <v>175</v>
      </c>
      <c r="J556" s="98"/>
      <c r="K556" s="98"/>
      <c r="L556" s="98"/>
      <c r="M556" s="98"/>
      <c r="N556" s="98"/>
      <c r="O556" s="98"/>
      <c r="P556" s="96"/>
    </row>
    <row r="557" spans="1:16" ht="16.5" customHeight="1" thickTop="1" thickBot="1" x14ac:dyDescent="0.3">
      <c r="A557" s="95"/>
      <c r="B557" s="106" t="s">
        <v>246</v>
      </c>
      <c r="C557" s="107" t="e">
        <f>VLOOKUP(B557,'Gebouwgegevens Allacker'!$J$5:$Q$83,3,0)</f>
        <v>#N/A</v>
      </c>
      <c r="D557" s="107" t="e">
        <f>VLOOKUP(B557,'Gebouwgegevens Allacker'!$J$5:$Q$83,4,0)</f>
        <v>#N/A</v>
      </c>
      <c r="E557" s="107" t="e">
        <f>VLOOKUP(B557,'Gebouwgegevens Allacker'!$J$5:$Q$83,5,0)</f>
        <v>#N/A</v>
      </c>
      <c r="F557" s="107" t="e">
        <f>VLOOKUP(B557,'Gebouwgegevens Allacker'!$J$5:$Q$83,6,0)</f>
        <v>#N/A</v>
      </c>
      <c r="G557" s="107" t="e">
        <f>VLOOKUP(B557,'Gebouwgegevens Allacker'!$J$5:$Q$83,7,0)</f>
        <v>#N/A</v>
      </c>
      <c r="H557" s="108" t="e">
        <f>VLOOKUP(B557,'Gebouwgegevens Allacker'!$J$5:$Q$83,8,0)</f>
        <v>#N/A</v>
      </c>
      <c r="I557" s="108">
        <v>1</v>
      </c>
      <c r="J557" s="98"/>
      <c r="K557" s="98"/>
      <c r="L557" s="98"/>
      <c r="M557" s="98"/>
      <c r="N557" s="98"/>
      <c r="O557" s="98"/>
      <c r="P557" s="96"/>
    </row>
    <row r="558" spans="1:16" ht="16.5" customHeight="1" thickTop="1" thickBot="1" x14ac:dyDescent="0.3">
      <c r="A558" s="95"/>
      <c r="B558" s="106" t="s">
        <v>247</v>
      </c>
      <c r="C558" s="107" t="e">
        <f>VLOOKUP(B558,'Gebouwgegevens Allacker'!$J$5:$Q$83,3,0)</f>
        <v>#N/A</v>
      </c>
      <c r="D558" s="107" t="e">
        <f>VLOOKUP(B558,'Gebouwgegevens Allacker'!$J$5:$Q$83,4,0)</f>
        <v>#N/A</v>
      </c>
      <c r="E558" s="107" t="e">
        <f>VLOOKUP(B558,'Gebouwgegevens Allacker'!$J$5:$Q$83,5,0)</f>
        <v>#N/A</v>
      </c>
      <c r="F558" s="107" t="e">
        <f>VLOOKUP(B558,'Gebouwgegevens Allacker'!$J$5:$Q$83,6,0)</f>
        <v>#N/A</v>
      </c>
      <c r="G558" s="107" t="e">
        <f>VLOOKUP(B558,'Gebouwgegevens Allacker'!$J$5:$Q$83,7,0)</f>
        <v>#N/A</v>
      </c>
      <c r="H558" s="108" t="e">
        <f>VLOOKUP(B558,'Gebouwgegevens Allacker'!$J$5:$Q$83,8,0)</f>
        <v>#N/A</v>
      </c>
      <c r="I558" s="108">
        <v>1</v>
      </c>
      <c r="J558" s="98"/>
      <c r="K558" s="98"/>
      <c r="L558" s="98"/>
      <c r="M558" s="98"/>
      <c r="N558" s="98"/>
      <c r="O558" s="98"/>
      <c r="P558" s="96"/>
    </row>
    <row r="559" spans="1:16" ht="16.5" customHeight="1" thickTop="1" thickBot="1" x14ac:dyDescent="0.3">
      <c r="A559" s="95"/>
      <c r="B559" s="106" t="s">
        <v>248</v>
      </c>
      <c r="C559" s="107" t="e">
        <f>VLOOKUP(B559,'Gebouwgegevens Allacker'!$J$5:$Q$83,3,0)</f>
        <v>#N/A</v>
      </c>
      <c r="D559" s="107" t="e">
        <f>VLOOKUP(B559,'Gebouwgegevens Allacker'!$J$5:$Q$83,4,0)</f>
        <v>#N/A</v>
      </c>
      <c r="E559" s="107" t="e">
        <f>VLOOKUP(B559,'Gebouwgegevens Allacker'!$J$5:$Q$83,5,0)</f>
        <v>#N/A</v>
      </c>
      <c r="F559" s="107" t="e">
        <f>VLOOKUP(B559,'Gebouwgegevens Allacker'!$J$5:$Q$83,6,0)</f>
        <v>#N/A</v>
      </c>
      <c r="G559" s="107" t="e">
        <f>VLOOKUP(B559,'Gebouwgegevens Allacker'!$J$5:$Q$83,7,0)</f>
        <v>#N/A</v>
      </c>
      <c r="H559" s="108" t="e">
        <f>VLOOKUP(B559,'Gebouwgegevens Allacker'!$J$5:$Q$83,8,0)</f>
        <v>#N/A</v>
      </c>
      <c r="I559" s="108">
        <v>1</v>
      </c>
      <c r="J559" s="98"/>
      <c r="K559" s="98"/>
      <c r="L559" s="98"/>
      <c r="M559" s="98"/>
      <c r="N559" s="98"/>
      <c r="O559" s="98"/>
      <c r="P559" s="96"/>
    </row>
    <row r="560" spans="1:16" ht="16.5" customHeight="1" thickTop="1" thickBot="1" x14ac:dyDescent="0.3">
      <c r="A560" s="95"/>
      <c r="B560" s="106"/>
      <c r="C560" s="107"/>
      <c r="D560" s="107"/>
      <c r="E560" s="107"/>
      <c r="F560" s="107"/>
      <c r="G560" s="107"/>
      <c r="H560" s="108"/>
      <c r="I560" s="108"/>
      <c r="J560" s="98"/>
      <c r="K560" s="98"/>
      <c r="L560" s="98"/>
      <c r="M560" s="98"/>
      <c r="N560" s="98"/>
      <c r="O560" s="98"/>
      <c r="P560" s="96"/>
    </row>
    <row r="561" spans="1:16" ht="16.5" customHeight="1" thickTop="1" thickBot="1" x14ac:dyDescent="0.3">
      <c r="A561" s="95"/>
      <c r="B561" s="106"/>
      <c r="C561" s="107"/>
      <c r="D561" s="107"/>
      <c r="E561" s="107"/>
      <c r="F561" s="107"/>
      <c r="G561" s="107"/>
      <c r="H561" s="108"/>
      <c r="I561" s="108"/>
      <c r="J561" s="98"/>
      <c r="K561" s="98"/>
      <c r="L561" s="98"/>
      <c r="M561" s="98"/>
      <c r="N561" s="98"/>
      <c r="O561" s="98"/>
      <c r="P561" s="96"/>
    </row>
    <row r="562" spans="1:16" ht="16.5" customHeight="1" thickTop="1" thickBot="1" x14ac:dyDescent="0.3">
      <c r="A562" s="95"/>
      <c r="B562" s="106"/>
      <c r="C562" s="107"/>
      <c r="D562" s="107"/>
      <c r="E562" s="107"/>
      <c r="F562" s="107"/>
      <c r="G562" s="107"/>
      <c r="H562" s="108"/>
      <c r="I562" s="108"/>
      <c r="J562" s="98"/>
      <c r="K562" s="98"/>
      <c r="L562" s="98"/>
      <c r="M562" s="98"/>
      <c r="N562" s="98"/>
      <c r="O562" s="98"/>
      <c r="P562" s="96"/>
    </row>
    <row r="563" spans="1:16" ht="16.5" customHeight="1" thickTop="1" thickBot="1" x14ac:dyDescent="0.3">
      <c r="A563" s="95"/>
      <c r="B563" s="106"/>
      <c r="C563" s="107"/>
      <c r="D563" s="107"/>
      <c r="E563" s="107"/>
      <c r="F563" s="107"/>
      <c r="G563" s="107"/>
      <c r="H563" s="108"/>
      <c r="I563" s="108"/>
      <c r="J563" s="98"/>
      <c r="K563" s="98"/>
      <c r="L563" s="98"/>
      <c r="M563" s="98"/>
      <c r="N563" s="98"/>
      <c r="O563" s="98"/>
      <c r="P563" s="96"/>
    </row>
    <row r="564" spans="1:16" ht="16.5" customHeight="1" thickTop="1" thickBot="1" x14ac:dyDescent="0.3">
      <c r="A564" s="95"/>
      <c r="B564" s="106"/>
      <c r="C564" s="107"/>
      <c r="D564" s="107"/>
      <c r="E564" s="107"/>
      <c r="F564" s="107"/>
      <c r="G564" s="107"/>
      <c r="H564" s="108"/>
      <c r="I564" s="108"/>
      <c r="J564" s="98"/>
      <c r="K564" s="98"/>
      <c r="L564" s="98"/>
      <c r="M564" s="98"/>
      <c r="N564" s="98"/>
      <c r="O564" s="98"/>
      <c r="P564" s="96"/>
    </row>
    <row r="565" spans="1:16" ht="16.5" customHeight="1" thickTop="1" thickBot="1" x14ac:dyDescent="0.3">
      <c r="A565" s="95"/>
      <c r="B565" s="106"/>
      <c r="C565" s="107"/>
      <c r="D565" s="107"/>
      <c r="E565" s="107"/>
      <c r="F565" s="107"/>
      <c r="G565" s="107"/>
      <c r="H565" s="108"/>
      <c r="I565" s="108"/>
      <c r="J565" s="98"/>
      <c r="K565" s="98"/>
      <c r="L565" s="98"/>
      <c r="M565" s="98"/>
      <c r="N565" s="98"/>
      <c r="O565" s="98"/>
      <c r="P565" s="96"/>
    </row>
    <row r="566" spans="1:16" ht="16.5" customHeight="1" thickTop="1" thickBot="1" x14ac:dyDescent="0.3">
      <c r="A566" s="95"/>
      <c r="B566" s="106"/>
      <c r="C566" s="107"/>
      <c r="D566" s="107"/>
      <c r="E566" s="107"/>
      <c r="F566" s="107"/>
      <c r="G566" s="107"/>
      <c r="H566" s="108"/>
      <c r="I566" s="108"/>
      <c r="J566" s="98"/>
      <c r="K566" s="98"/>
      <c r="L566" s="98"/>
      <c r="M566" s="98"/>
      <c r="N566" s="98"/>
      <c r="O566" s="98"/>
      <c r="P566" s="96"/>
    </row>
    <row r="567" spans="1:16" ht="16.5" customHeight="1" thickTop="1" thickBot="1" x14ac:dyDescent="0.3">
      <c r="A567" s="95"/>
      <c r="B567" s="106"/>
      <c r="C567" s="107"/>
      <c r="D567" s="107"/>
      <c r="E567" s="107"/>
      <c r="F567" s="107"/>
      <c r="G567" s="107"/>
      <c r="H567" s="108"/>
      <c r="I567" s="108"/>
      <c r="J567" s="98"/>
      <c r="K567" s="98"/>
      <c r="L567" s="98"/>
      <c r="M567" s="98"/>
      <c r="N567" s="98"/>
      <c r="O567" s="98"/>
      <c r="P567" s="96"/>
    </row>
    <row r="568" spans="1:16" ht="16.5" customHeight="1" thickTop="1" thickBot="1" x14ac:dyDescent="0.3">
      <c r="A568" s="95"/>
      <c r="B568" s="106"/>
      <c r="C568" s="107"/>
      <c r="D568" s="107"/>
      <c r="E568" s="107"/>
      <c r="F568" s="107"/>
      <c r="G568" s="107"/>
      <c r="H568" s="108"/>
      <c r="I568" s="108"/>
      <c r="J568" s="98"/>
      <c r="K568" s="98"/>
      <c r="L568" s="98"/>
      <c r="M568" s="98"/>
      <c r="N568" s="98"/>
      <c r="O568" s="98"/>
      <c r="P568" s="96"/>
    </row>
    <row r="569" spans="1:16" ht="15.75" customHeight="1" thickTop="1" x14ac:dyDescent="0.25">
      <c r="A569" s="95"/>
      <c r="B569" s="58"/>
      <c r="C569" s="58"/>
      <c r="D569" s="58"/>
      <c r="E569" s="58"/>
      <c r="F569" s="58"/>
      <c r="G569" s="114"/>
      <c r="H569" s="58"/>
      <c r="I569" s="58"/>
      <c r="J569" s="98"/>
      <c r="K569" s="98"/>
      <c r="L569" s="98"/>
      <c r="M569" s="98"/>
      <c r="N569" s="98"/>
      <c r="O569" s="98"/>
      <c r="P569" s="96"/>
    </row>
    <row r="570" spans="1:16" ht="15" customHeight="1" x14ac:dyDescent="0.25">
      <c r="A570" s="95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6"/>
    </row>
    <row r="571" spans="1:16" ht="15" customHeight="1" x14ac:dyDescent="0.25">
      <c r="A571" s="103" t="s">
        <v>177</v>
      </c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6"/>
    </row>
    <row r="572" spans="1:16" ht="15.75" customHeight="1" x14ac:dyDescent="0.25">
      <c r="A572" s="95"/>
      <c r="B572" s="58" t="s">
        <v>10</v>
      </c>
      <c r="C572" s="58" t="s">
        <v>178</v>
      </c>
      <c r="D572" s="58" t="s">
        <v>172</v>
      </c>
      <c r="E572" s="58" t="s">
        <v>179</v>
      </c>
      <c r="F572" s="58" t="s">
        <v>16</v>
      </c>
      <c r="G572" s="114" t="s">
        <v>17</v>
      </c>
      <c r="H572" s="114" t="s">
        <v>175</v>
      </c>
      <c r="I572" s="58" t="s">
        <v>180</v>
      </c>
      <c r="J572" s="58" t="s">
        <v>181</v>
      </c>
      <c r="K572" s="58" t="s">
        <v>182</v>
      </c>
      <c r="L572" s="115" t="s">
        <v>183</v>
      </c>
      <c r="M572" s="115" t="s">
        <v>184</v>
      </c>
      <c r="N572" s="115" t="s">
        <v>185</v>
      </c>
      <c r="O572" s="98"/>
      <c r="P572" s="96"/>
    </row>
    <row r="573" spans="1:16" ht="16.5" customHeight="1" thickBot="1" x14ac:dyDescent="0.3">
      <c r="A573" s="95"/>
      <c r="B573" s="116" t="s">
        <v>249</v>
      </c>
      <c r="C573" s="117" t="e">
        <f>VLOOKUP(B573,'Gebouwgegevens Allacker'!$J$5:$Q$83,3,0)</f>
        <v>#N/A</v>
      </c>
      <c r="D573" s="117" t="e">
        <f>VLOOKUP(B573,'Gebouwgegevens Allacker'!$J$5:$Q$83,4,0)</f>
        <v>#N/A</v>
      </c>
      <c r="E573" s="117" t="e">
        <f>VLOOKUP(B573,'Gebouwgegevens Allacker'!$J$5:$Q$83,5,0)</f>
        <v>#N/A</v>
      </c>
      <c r="F573" s="117" t="e">
        <f>VLOOKUP(B573,'Gebouwgegevens Allacker'!$J$5:$Q$83,7,0)</f>
        <v>#N/A</v>
      </c>
      <c r="G573" s="118" t="e">
        <f>VLOOKUP(B573,'Gebouwgegevens Allacker'!$J$5:$Q$83,8,0)</f>
        <v>#N/A</v>
      </c>
      <c r="H573" s="118" t="e">
        <f>N573/F573</f>
        <v>#N/A</v>
      </c>
      <c r="I573" s="117" t="e">
        <f>VLOOKUP(C573,'Gebouwgegevens Allacker'!$A$35:$F$46,6,0)</f>
        <v>#N/A</v>
      </c>
      <c r="J573" s="116">
        <v>6.11</v>
      </c>
      <c r="K573" s="116">
        <v>0.33</v>
      </c>
      <c r="L573" s="119" t="e">
        <f>I573/(0.5*J573)</f>
        <v>#N/A</v>
      </c>
      <c r="M573" s="119" t="e">
        <f>K573+2*(1/F573)</f>
        <v>#N/A</v>
      </c>
      <c r="N573" s="120" t="e">
        <f>IF(M573&lt;L573,2*2/(PI()*L573+M573)*LN(PI()*L573/M573+1),2/(0.457*L573+M573))</f>
        <v>#N/A</v>
      </c>
      <c r="O573" s="98"/>
      <c r="P573" s="96"/>
    </row>
    <row r="574" spans="1:16" ht="16.5" customHeight="1" thickTop="1" thickBot="1" x14ac:dyDescent="0.3">
      <c r="A574" s="95"/>
      <c r="B574" s="116"/>
      <c r="C574" s="117"/>
      <c r="D574" s="117"/>
      <c r="E574" s="117"/>
      <c r="F574" s="117"/>
      <c r="G574" s="118"/>
      <c r="H574" s="118"/>
      <c r="I574" s="117"/>
      <c r="J574" s="116"/>
      <c r="K574" s="116"/>
      <c r="L574" s="119"/>
      <c r="M574" s="119"/>
      <c r="N574" s="120"/>
      <c r="O574" s="98"/>
      <c r="P574" s="96"/>
    </row>
    <row r="575" spans="1:16" ht="16.5" customHeight="1" thickTop="1" thickBot="1" x14ac:dyDescent="0.3">
      <c r="A575" s="95"/>
      <c r="B575" s="116"/>
      <c r="C575" s="117"/>
      <c r="D575" s="117"/>
      <c r="E575" s="117"/>
      <c r="F575" s="117"/>
      <c r="G575" s="118"/>
      <c r="H575" s="118"/>
      <c r="I575" s="117"/>
      <c r="J575" s="116"/>
      <c r="K575" s="116"/>
      <c r="L575" s="119"/>
      <c r="M575" s="119"/>
      <c r="N575" s="120"/>
      <c r="O575" s="98"/>
      <c r="P575" s="96"/>
    </row>
    <row r="576" spans="1:16" ht="16.5" customHeight="1" thickTop="1" thickBot="1" x14ac:dyDescent="0.3">
      <c r="A576" s="95"/>
      <c r="B576" s="116"/>
      <c r="C576" s="117"/>
      <c r="D576" s="117"/>
      <c r="E576" s="117"/>
      <c r="F576" s="117"/>
      <c r="G576" s="118"/>
      <c r="H576" s="118"/>
      <c r="I576" s="117"/>
      <c r="J576" s="116"/>
      <c r="K576" s="116"/>
      <c r="L576" s="119"/>
      <c r="M576" s="119"/>
      <c r="N576" s="120"/>
      <c r="O576" s="98"/>
      <c r="P576" s="96"/>
    </row>
    <row r="577" spans="1:16" ht="16.5" customHeight="1" thickTop="1" thickBot="1" x14ac:dyDescent="0.3">
      <c r="A577" s="138"/>
      <c r="B577" s="116"/>
      <c r="C577" s="117"/>
      <c r="D577" s="117"/>
      <c r="E577" s="117"/>
      <c r="F577" s="117"/>
      <c r="G577" s="118"/>
      <c r="H577" s="118"/>
      <c r="I577" s="117"/>
      <c r="J577" s="116"/>
      <c r="K577" s="116"/>
      <c r="L577" s="119"/>
      <c r="M577" s="119"/>
      <c r="N577" s="120"/>
      <c r="O577" s="98"/>
      <c r="P577" s="96"/>
    </row>
    <row r="578" spans="1:16" ht="15.75" customHeight="1" thickTop="1" x14ac:dyDescent="0.25">
      <c r="A578" s="95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6"/>
    </row>
    <row r="579" spans="1:16" ht="15" customHeight="1" x14ac:dyDescent="0.25">
      <c r="A579" s="103" t="s">
        <v>186</v>
      </c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6"/>
    </row>
    <row r="580" spans="1:16" ht="15.75" customHeight="1" thickBot="1" x14ac:dyDescent="0.3">
      <c r="A580" s="95"/>
      <c r="B580" s="58" t="s">
        <v>10</v>
      </c>
      <c r="C580" s="58" t="s">
        <v>187</v>
      </c>
      <c r="D580" s="58" t="s">
        <v>188</v>
      </c>
      <c r="E580" s="58" t="s">
        <v>135</v>
      </c>
      <c r="F580" s="58" t="s">
        <v>189</v>
      </c>
      <c r="G580" s="58" t="s">
        <v>190</v>
      </c>
      <c r="H580" s="58" t="s">
        <v>191</v>
      </c>
      <c r="I580" s="58" t="s">
        <v>16</v>
      </c>
      <c r="J580" s="114" t="s">
        <v>17</v>
      </c>
      <c r="K580" s="114" t="s">
        <v>175</v>
      </c>
      <c r="L580" s="98"/>
      <c r="M580" s="98"/>
      <c r="N580" s="98"/>
      <c r="O580" s="98"/>
      <c r="P580" s="96"/>
    </row>
    <row r="581" spans="1:16" ht="16.5" customHeight="1" thickTop="1" thickBot="1" x14ac:dyDescent="0.3">
      <c r="A581" s="95"/>
      <c r="B581" s="116" t="s">
        <v>250</v>
      </c>
      <c r="C581" s="122" t="e">
        <f>IF(VLOOKUP(B581,'Gebouwgegevens Allacker'!$J$5:$Q$83,2,0)=$B$551,VLOOKUP(B581,'Gebouwgegevens Allacker'!$J$5:$Q$83,2,0),VLOOKUP(B581,'Gebouwgegevens Allacker'!$J$5:$Q$83,3,0))</f>
        <v>#N/A</v>
      </c>
      <c r="D581" s="122" t="e">
        <f>IF(VLOOKUP(B581,'Gebouwgegevens Allacker'!$J$5:$Q$83,2,0)=$B$551,VLOOKUP(B581,'Gebouwgegevens Allacker'!$J$5:$Q$83,3,0),VLOOKUP(B581,'Gebouwgegevens Allacker'!$J$5:$Q$83,2,0))</f>
        <v>#N/A</v>
      </c>
      <c r="E581" s="122" t="e">
        <f>VLOOKUP(B581,'Gebouwgegevens Allacker'!$J$5:$Q$83,4,0)</f>
        <v>#N/A</v>
      </c>
      <c r="F581" s="122" t="e">
        <f>VLOOKUP(B581,'Gebouwgegevens Allacker'!$J$5:$Q$83,5,0)</f>
        <v>#N/A</v>
      </c>
      <c r="G581" s="122" t="e">
        <f>VLOOKUP('Verwarming Tabula 2zone RefULG2'!C581,'Gebouwgegevens Allacker'!$A$35:$F$46,5,0)</f>
        <v>#N/A</v>
      </c>
      <c r="H581" s="122" t="e">
        <f>VLOOKUP('Verwarming Tabula 2zone RefULG2'!D581,'Gebouwgegevens Allacker'!$A$35:$F$46,5,0)</f>
        <v>#N/A</v>
      </c>
      <c r="I581" s="122" t="e">
        <f>VLOOKUP(B581,'Gebouwgegevens Allacker'!$J$5:$Q$83,7,0)</f>
        <v>#N/A</v>
      </c>
      <c r="J581" s="118" t="e">
        <f>VLOOKUP(B581,'Gebouwgegevens Allacker'!$J$5:$Q$83,8,0)</f>
        <v>#N/A</v>
      </c>
      <c r="K581" s="118" t="e">
        <f>(G581-H581)/(G581-$B$4)</f>
        <v>#N/A</v>
      </c>
      <c r="L581" s="98"/>
      <c r="M581" s="98"/>
      <c r="N581" s="98"/>
      <c r="O581" s="98"/>
      <c r="P581" s="96"/>
    </row>
    <row r="582" spans="1:16" ht="16.5" customHeight="1" thickTop="1" thickBot="1" x14ac:dyDescent="0.3">
      <c r="A582" s="95"/>
      <c r="B582" s="116" t="s">
        <v>224</v>
      </c>
      <c r="C582" s="122" t="e">
        <f>IF(VLOOKUP(B582,'Gebouwgegevens Allacker'!$J$5:$Q$83,2,0)=$B$551,VLOOKUP(B582,'Gebouwgegevens Allacker'!$J$5:$Q$83,2,0),VLOOKUP(B582,'Gebouwgegevens Allacker'!$J$5:$Q$83,3,0))</f>
        <v>#N/A</v>
      </c>
      <c r="D582" s="122" t="e">
        <f>IF(VLOOKUP(B582,'Gebouwgegevens Allacker'!$J$5:$Q$83,2,0)=$B$551,VLOOKUP(B582,'Gebouwgegevens Allacker'!$J$5:$Q$83,3,0),VLOOKUP(B582,'Gebouwgegevens Allacker'!$J$5:$Q$83,2,0))</f>
        <v>#N/A</v>
      </c>
      <c r="E582" s="122" t="e">
        <f>VLOOKUP(B582,'Gebouwgegevens Allacker'!$J$5:$Q$83,4,0)</f>
        <v>#N/A</v>
      </c>
      <c r="F582" s="122" t="e">
        <f>VLOOKUP(B582,'Gebouwgegevens Allacker'!$J$5:$Q$83,5,0)</f>
        <v>#N/A</v>
      </c>
      <c r="G582" s="122" t="e">
        <f>VLOOKUP('Verwarming Tabula 2zone RefULG2'!C582,'Gebouwgegevens Allacker'!$A$35:$F$46,5,0)</f>
        <v>#N/A</v>
      </c>
      <c r="H582" s="122" t="e">
        <f>VLOOKUP('Verwarming Tabula 2zone RefULG2'!D582,'Gebouwgegevens Allacker'!$A$35:$F$46,5,0)</f>
        <v>#N/A</v>
      </c>
      <c r="I582" s="122" t="e">
        <f>VLOOKUP(B582,'Gebouwgegevens Allacker'!$J$5:$Q$83,7,0)</f>
        <v>#N/A</v>
      </c>
      <c r="J582" s="118" t="e">
        <f>VLOOKUP(B582,'Gebouwgegevens Allacker'!$J$5:$Q$83,8,0)</f>
        <v>#N/A</v>
      </c>
      <c r="K582" s="118" t="e">
        <f>(G582-H582)/(G582-$B$4)</f>
        <v>#N/A</v>
      </c>
      <c r="L582" s="98"/>
      <c r="M582" s="98"/>
      <c r="N582" s="98"/>
      <c r="O582" s="98"/>
      <c r="P582" s="96"/>
    </row>
    <row r="583" spans="1:16" ht="16.5" customHeight="1" thickTop="1" thickBot="1" x14ac:dyDescent="0.3">
      <c r="A583" s="95"/>
      <c r="B583" s="116" t="s">
        <v>230</v>
      </c>
      <c r="C583" s="122" t="e">
        <f>IF(VLOOKUP(B583,'Gebouwgegevens Allacker'!$J$5:$Q$83,2,0)=$B$551,VLOOKUP(B583,'Gebouwgegevens Allacker'!$J$5:$Q$83,2,0),VLOOKUP(B583,'Gebouwgegevens Allacker'!$J$5:$Q$83,3,0))</f>
        <v>#N/A</v>
      </c>
      <c r="D583" s="122" t="e">
        <f>IF(VLOOKUP(B583,'Gebouwgegevens Allacker'!$J$5:$Q$83,2,0)=$B$551,VLOOKUP(B583,'Gebouwgegevens Allacker'!$J$5:$Q$83,3,0),VLOOKUP(B583,'Gebouwgegevens Allacker'!$J$5:$Q$83,2,0))</f>
        <v>#N/A</v>
      </c>
      <c r="E583" s="122" t="e">
        <f>VLOOKUP(B583,'Gebouwgegevens Allacker'!$J$5:$Q$83,4,0)</f>
        <v>#N/A</v>
      </c>
      <c r="F583" s="122" t="e">
        <f>VLOOKUP(B583,'Gebouwgegevens Allacker'!$J$5:$Q$83,5,0)</f>
        <v>#N/A</v>
      </c>
      <c r="G583" s="122" t="e">
        <f>VLOOKUP('Verwarming Tabula 2zone RefULG2'!C583,'Gebouwgegevens Allacker'!$A$35:$F$46,5,0)</f>
        <v>#N/A</v>
      </c>
      <c r="H583" s="122" t="e">
        <f>VLOOKUP('Verwarming Tabula 2zone RefULG2'!D583,'Gebouwgegevens Allacker'!$A$35:$F$46,5,0)</f>
        <v>#N/A</v>
      </c>
      <c r="I583" s="122" t="e">
        <f>VLOOKUP(B583,'Gebouwgegevens Allacker'!$J$5:$Q$83,7,0)</f>
        <v>#N/A</v>
      </c>
      <c r="J583" s="118" t="e">
        <f>VLOOKUP(B583,'Gebouwgegevens Allacker'!$J$5:$Q$83,8,0)</f>
        <v>#N/A</v>
      </c>
      <c r="K583" s="118" t="e">
        <f>(G583-H583)/(G583-$B$4)</f>
        <v>#N/A</v>
      </c>
      <c r="L583" s="98"/>
      <c r="M583" s="98"/>
      <c r="N583" s="98"/>
      <c r="O583" s="98"/>
      <c r="P583" s="96"/>
    </row>
    <row r="584" spans="1:16" ht="16.5" customHeight="1" thickTop="1" thickBot="1" x14ac:dyDescent="0.3">
      <c r="A584" s="95"/>
      <c r="B584" s="116"/>
      <c r="C584" s="122"/>
      <c r="D584" s="122"/>
      <c r="E584" s="122"/>
      <c r="F584" s="122"/>
      <c r="G584" s="122"/>
      <c r="H584" s="122"/>
      <c r="I584" s="122"/>
      <c r="J584" s="118"/>
      <c r="K584" s="118"/>
      <c r="L584" s="98"/>
      <c r="M584" s="98"/>
      <c r="N584" s="98"/>
      <c r="O584" s="98"/>
      <c r="P584" s="96"/>
    </row>
    <row r="585" spans="1:16" ht="16.5" customHeight="1" thickTop="1" thickBot="1" x14ac:dyDescent="0.3">
      <c r="A585" s="95"/>
      <c r="B585" s="145"/>
      <c r="C585" s="122"/>
      <c r="D585" s="122"/>
      <c r="E585" s="122"/>
      <c r="F585" s="122"/>
      <c r="G585" s="122"/>
      <c r="H585" s="122"/>
      <c r="I585" s="122"/>
      <c r="J585" s="118"/>
      <c r="K585" s="118"/>
      <c r="L585" s="98"/>
      <c r="M585" s="98"/>
      <c r="N585" s="98"/>
      <c r="O585" s="98"/>
      <c r="P585" s="96"/>
    </row>
    <row r="586" spans="1:16" ht="16.5" customHeight="1" thickTop="1" thickBot="1" x14ac:dyDescent="0.3">
      <c r="A586" s="95"/>
      <c r="B586" s="123"/>
      <c r="C586" s="139"/>
      <c r="D586" s="122"/>
      <c r="E586" s="122"/>
      <c r="F586" s="122"/>
      <c r="G586" s="122"/>
      <c r="H586" s="122"/>
      <c r="I586" s="122"/>
      <c r="J586" s="118"/>
      <c r="K586" s="118"/>
      <c r="L586" s="98"/>
      <c r="M586" s="98"/>
      <c r="N586" s="98"/>
      <c r="O586" s="98"/>
      <c r="P586" s="96"/>
    </row>
    <row r="587" spans="1:16" ht="16.5" customHeight="1" thickTop="1" thickBot="1" x14ac:dyDescent="0.3">
      <c r="A587" s="95"/>
      <c r="B587" s="123"/>
      <c r="C587" s="139"/>
      <c r="D587" s="122"/>
      <c r="E587" s="122"/>
      <c r="F587" s="122"/>
      <c r="G587" s="122"/>
      <c r="H587" s="122"/>
      <c r="I587" s="122"/>
      <c r="J587" s="118"/>
      <c r="K587" s="118"/>
      <c r="L587" s="98"/>
      <c r="M587" s="98"/>
      <c r="N587" s="98"/>
      <c r="O587" s="98"/>
      <c r="P587" s="96"/>
    </row>
    <row r="588" spans="1:16" ht="16.5" customHeight="1" thickTop="1" thickBot="1" x14ac:dyDescent="0.3">
      <c r="A588" s="95"/>
      <c r="B588" s="123"/>
      <c r="C588" s="139"/>
      <c r="D588" s="122"/>
      <c r="E588" s="122"/>
      <c r="F588" s="122"/>
      <c r="G588" s="122"/>
      <c r="H588" s="122"/>
      <c r="I588" s="122"/>
      <c r="J588" s="118"/>
      <c r="K588" s="118"/>
      <c r="L588" s="98"/>
      <c r="M588" s="98"/>
      <c r="N588" s="98"/>
      <c r="O588" s="98"/>
      <c r="P588" s="96"/>
    </row>
    <row r="589" spans="1:16" ht="16.5" customHeight="1" thickTop="1" thickBot="1" x14ac:dyDescent="0.3">
      <c r="A589" s="95"/>
      <c r="B589" s="123"/>
      <c r="C589" s="139"/>
      <c r="D589" s="122"/>
      <c r="E589" s="122"/>
      <c r="F589" s="122"/>
      <c r="G589" s="122"/>
      <c r="H589" s="122"/>
      <c r="I589" s="122"/>
      <c r="J589" s="118"/>
      <c r="K589" s="118"/>
      <c r="L589" s="98"/>
      <c r="M589" s="98"/>
      <c r="N589" s="98"/>
      <c r="O589" s="98"/>
      <c r="P589" s="96"/>
    </row>
    <row r="590" spans="1:16" ht="16.5" customHeight="1" thickTop="1" thickBot="1" x14ac:dyDescent="0.3">
      <c r="A590" s="95"/>
      <c r="B590" s="123"/>
      <c r="C590" s="139"/>
      <c r="D590" s="122"/>
      <c r="E590" s="122"/>
      <c r="F590" s="122"/>
      <c r="G590" s="122"/>
      <c r="H590" s="122"/>
      <c r="I590" s="122"/>
      <c r="J590" s="118"/>
      <c r="K590" s="118"/>
      <c r="L590" s="98"/>
      <c r="M590" s="98"/>
      <c r="N590" s="98"/>
      <c r="O590" s="98"/>
      <c r="P590" s="96"/>
    </row>
    <row r="591" spans="1:16" ht="15.75" customHeight="1" thickTop="1" x14ac:dyDescent="0.25">
      <c r="A591" s="95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8"/>
      <c r="M591" s="98"/>
      <c r="N591" s="98"/>
      <c r="O591" s="98"/>
      <c r="P591" s="96"/>
    </row>
    <row r="592" spans="1:16" ht="15" customHeight="1" x14ac:dyDescent="0.25">
      <c r="A592" s="95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6"/>
    </row>
    <row r="593" spans="1:16" ht="15.75" customHeight="1" x14ac:dyDescent="0.25">
      <c r="A593" s="103" t="s">
        <v>192</v>
      </c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6"/>
    </row>
    <row r="594" spans="1:16" ht="16.5" customHeight="1" x14ac:dyDescent="0.25">
      <c r="A594" s="124" t="s">
        <v>193</v>
      </c>
      <c r="B594" s="118" t="e">
        <f>SUMPRODUCT(H557:H568,I557:I568)+SUMPRODUCT(G573:G577,H573:H577)+SUMPRODUCT(J581:J590,K581:K590)</f>
        <v>#N/A</v>
      </c>
      <c r="C594" s="118" t="s">
        <v>107</v>
      </c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6"/>
    </row>
    <row r="595" spans="1:16" ht="16.5" customHeight="1" x14ac:dyDescent="0.25">
      <c r="A595" s="124" t="s">
        <v>167</v>
      </c>
      <c r="B595" s="118" t="e">
        <f>B594*(G581-$B$4)</f>
        <v>#N/A</v>
      </c>
      <c r="C595" s="118" t="s">
        <v>169</v>
      </c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6"/>
    </row>
    <row r="596" spans="1:16" ht="15.75" customHeight="1" thickBot="1" x14ac:dyDescent="0.3">
      <c r="A596" s="109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1"/>
    </row>
    <row r="597" spans="1:16" ht="15.75" customHeight="1" thickTop="1" x14ac:dyDescent="0.25">
      <c r="A597" s="343" t="s">
        <v>194</v>
      </c>
      <c r="B597" s="343"/>
      <c r="C597" s="343"/>
      <c r="D597" s="125" t="s">
        <v>222</v>
      </c>
      <c r="E597" s="328"/>
      <c r="F597" s="328"/>
      <c r="G597" s="328"/>
      <c r="H597" s="328"/>
      <c r="I597" s="328"/>
      <c r="J597" s="328"/>
      <c r="K597" s="328"/>
      <c r="L597" s="328"/>
      <c r="M597" s="328"/>
      <c r="N597" s="328"/>
      <c r="O597" s="328"/>
      <c r="P597" s="94"/>
    </row>
    <row r="598" spans="1:16" ht="15" customHeight="1" x14ac:dyDescent="0.25">
      <c r="A598" s="95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6"/>
    </row>
    <row r="599" spans="1:16" ht="15" customHeight="1" thickBot="1" x14ac:dyDescent="0.3">
      <c r="A599" s="126" t="s">
        <v>195</v>
      </c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6"/>
    </row>
    <row r="600" spans="1:16" ht="15" customHeight="1" thickTop="1" thickBot="1" x14ac:dyDescent="0.3">
      <c r="A600" s="127" t="s">
        <v>196</v>
      </c>
      <c r="B600" s="121">
        <v>8</v>
      </c>
      <c r="C600" s="120" t="s">
        <v>197</v>
      </c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6"/>
    </row>
    <row r="601" spans="1:16" ht="15" customHeight="1" thickTop="1" thickBot="1" x14ac:dyDescent="0.3">
      <c r="A601" s="127" t="s">
        <v>198</v>
      </c>
      <c r="B601" s="121">
        <v>0.03</v>
      </c>
      <c r="C601" s="120" t="s">
        <v>199</v>
      </c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6"/>
    </row>
    <row r="602" spans="1:16" ht="15.75" customHeight="1" thickTop="1" thickBot="1" x14ac:dyDescent="0.3">
      <c r="A602" s="127" t="s">
        <v>200</v>
      </c>
      <c r="B602" s="121">
        <v>1</v>
      </c>
      <c r="C602" s="120" t="s">
        <v>201</v>
      </c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6"/>
    </row>
    <row r="603" spans="1:16" ht="16.5" customHeight="1" thickTop="1" x14ac:dyDescent="0.25">
      <c r="A603" s="124" t="s">
        <v>202</v>
      </c>
      <c r="B603" s="118" t="e">
        <f>2*VLOOKUP(B551,'Gebouwgegevens Allacker'!$A$35:$F$46,6,0)*B600*B601*B602</f>
        <v>#N/A</v>
      </c>
      <c r="C603" s="118" t="s">
        <v>203</v>
      </c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6"/>
    </row>
    <row r="604" spans="1:16" ht="15.75" customHeight="1" x14ac:dyDescent="0.25">
      <c r="A604" s="138"/>
      <c r="B604" s="58"/>
      <c r="C604" s="5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6"/>
    </row>
    <row r="605" spans="1:16" ht="15" customHeight="1" x14ac:dyDescent="0.25">
      <c r="A605" s="146" t="s">
        <v>204</v>
      </c>
      <c r="B605" s="58"/>
      <c r="C605" s="5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6"/>
    </row>
    <row r="606" spans="1:16" ht="15.75" customHeight="1" x14ac:dyDescent="0.25">
      <c r="A606" s="138" t="s">
        <v>180</v>
      </c>
      <c r="B606" s="58" t="e">
        <f>VLOOKUP(B551,'Gebouwgegevens Allacker'!$A$35:$F$46,6,0)</f>
        <v>#N/A</v>
      </c>
      <c r="C606" s="5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6"/>
    </row>
    <row r="607" spans="1:16" ht="16.5" customHeight="1" x14ac:dyDescent="0.25">
      <c r="A607" s="124" t="s">
        <v>205</v>
      </c>
      <c r="B607" s="128" t="e">
        <f>B606*3.6</f>
        <v>#N/A</v>
      </c>
      <c r="C607" s="118" t="s">
        <v>203</v>
      </c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6"/>
    </row>
    <row r="608" spans="1:16" ht="15.75" customHeight="1" x14ac:dyDescent="0.25">
      <c r="A608" s="138"/>
      <c r="B608" s="58"/>
      <c r="C608" s="5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6"/>
    </row>
    <row r="609" spans="1:16" ht="15.75" customHeight="1" x14ac:dyDescent="0.25">
      <c r="A609" s="138"/>
      <c r="B609" s="58"/>
      <c r="C609" s="5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6"/>
    </row>
    <row r="610" spans="1:16" ht="16.5" customHeight="1" x14ac:dyDescent="0.25">
      <c r="A610" s="124" t="s">
        <v>207</v>
      </c>
      <c r="B610" s="118" t="e">
        <f>MAX(B603,B607)</f>
        <v>#N/A</v>
      </c>
      <c r="C610" s="118" t="s">
        <v>203</v>
      </c>
      <c r="D610" s="98"/>
      <c r="E610" s="98"/>
      <c r="F610" s="118" t="s">
        <v>208</v>
      </c>
      <c r="G610" s="118" t="e">
        <f>B610/VLOOKUP(B551,'Gebouwgegevens Allacker'!$A$35:$B$46,2,0)</f>
        <v>#N/A</v>
      </c>
      <c r="H610" s="98"/>
      <c r="I610" s="98"/>
      <c r="J610" s="98"/>
      <c r="K610" s="98"/>
      <c r="L610" s="98"/>
      <c r="M610" s="98"/>
      <c r="N610" s="98"/>
      <c r="O610" s="98"/>
      <c r="P610" s="96"/>
    </row>
    <row r="611" spans="1:16" ht="16.5" customHeight="1" x14ac:dyDescent="0.25">
      <c r="A611" s="138"/>
      <c r="B611" s="58"/>
      <c r="C611" s="5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6"/>
    </row>
    <row r="612" spans="1:16" ht="16.5" customHeight="1" x14ac:dyDescent="0.25">
      <c r="A612" s="124" t="s">
        <v>209</v>
      </c>
      <c r="B612" s="118" t="e">
        <f>0.34*B610</f>
        <v>#N/A</v>
      </c>
      <c r="C612" s="118" t="s">
        <v>107</v>
      </c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6"/>
    </row>
    <row r="613" spans="1:16" ht="16.5" customHeight="1" x14ac:dyDescent="0.25">
      <c r="A613" s="124" t="s">
        <v>167</v>
      </c>
      <c r="B613" s="118" t="e">
        <f>B612*('Gebouwgegevens Allacker'!E573-$B$4)</f>
        <v>#N/A</v>
      </c>
      <c r="C613" s="118" t="s">
        <v>169</v>
      </c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6"/>
    </row>
    <row r="614" spans="1:16" ht="15.75" customHeight="1" thickBot="1" x14ac:dyDescent="0.3">
      <c r="A614" s="140"/>
      <c r="B614" s="141"/>
      <c r="C614" s="141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1"/>
    </row>
    <row r="615" spans="1:16" ht="15.75" customHeight="1" thickTop="1" x14ac:dyDescent="0.25">
      <c r="A615" s="343" t="s">
        <v>210</v>
      </c>
      <c r="B615" s="343"/>
      <c r="C615" s="343"/>
      <c r="D615" s="343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6"/>
    </row>
    <row r="616" spans="1:16" ht="15" customHeight="1" thickBot="1" x14ac:dyDescent="0.3">
      <c r="A616" s="95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6"/>
    </row>
    <row r="617" spans="1:16" ht="15" customHeight="1" thickTop="1" thickBot="1" x14ac:dyDescent="0.3">
      <c r="A617" s="127" t="s">
        <v>211</v>
      </c>
      <c r="B617" s="121">
        <v>45</v>
      </c>
      <c r="C617" s="58" t="s">
        <v>232</v>
      </c>
      <c r="D617" s="5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6"/>
    </row>
    <row r="618" spans="1:16" ht="15.75" customHeight="1" thickTop="1" x14ac:dyDescent="0.25">
      <c r="A618" s="3" t="s">
        <v>113</v>
      </c>
      <c r="B618" s="58" t="e">
        <f>VLOOKUP(B551,'Gebouwgegevens Allacker'!$A$35:$F$46,6,0)</f>
        <v>#N/A</v>
      </c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6"/>
    </row>
    <row r="619" spans="1:16" ht="16.5" customHeight="1" x14ac:dyDescent="0.25">
      <c r="A619" s="124" t="s">
        <v>213</v>
      </c>
      <c r="B619" s="118" t="e">
        <f>B620/('Gebouwgegevens Allacker'!E573-'Verwarming Tabula 2zone RefULG2'!$B$4)</f>
        <v>#N/A</v>
      </c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6"/>
    </row>
    <row r="620" spans="1:16" ht="16.5" customHeight="1" x14ac:dyDescent="0.25">
      <c r="A620" s="124" t="s">
        <v>167</v>
      </c>
      <c r="B620" s="118" t="e">
        <f>B617*B618</f>
        <v>#N/A</v>
      </c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6"/>
    </row>
    <row r="621" spans="1:16" ht="15.75" customHeight="1" x14ac:dyDescent="0.25">
      <c r="A621" s="95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6"/>
    </row>
    <row r="622" spans="1:16" ht="15.75" customHeight="1" thickBot="1" x14ac:dyDescent="0.3">
      <c r="A622" s="95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6"/>
    </row>
    <row r="623" spans="1:16" ht="15.75" customHeight="1" thickTop="1" thickBot="1" x14ac:dyDescent="0.3">
      <c r="A623" s="129" t="s">
        <v>214</v>
      </c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1"/>
    </row>
    <row r="624" spans="1:16" ht="16.5" customHeight="1" thickTop="1" x14ac:dyDescent="0.25">
      <c r="A624" s="124" t="s">
        <v>215</v>
      </c>
      <c r="B624" s="118" t="e">
        <f>SUM(B594,B612,B619)</f>
        <v>#N/A</v>
      </c>
      <c r="C624" s="118" t="s">
        <v>107</v>
      </c>
      <c r="D624" s="132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  <c r="O624" s="132"/>
      <c r="P624" s="133"/>
    </row>
    <row r="625" spans="1:16" ht="16.5" customHeight="1" x14ac:dyDescent="0.25">
      <c r="A625" s="124" t="s">
        <v>167</v>
      </c>
      <c r="B625" s="118" t="e">
        <f>SUM(B595,B613,B620)</f>
        <v>#N/A</v>
      </c>
      <c r="C625" s="118" t="s">
        <v>169</v>
      </c>
      <c r="D625" s="132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  <c r="O625" s="132"/>
      <c r="P625" s="133"/>
    </row>
    <row r="626" spans="1:16" ht="16.5" customHeight="1" thickBot="1" x14ac:dyDescent="0.3">
      <c r="A626" s="134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6"/>
    </row>
    <row r="627" spans="1:16" ht="15" customHeight="1" thickTop="1" x14ac:dyDescent="0.25">
      <c r="A627" s="137"/>
      <c r="B627" s="137"/>
      <c r="C627" s="137"/>
      <c r="D627" s="137"/>
      <c r="E627" s="137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</row>
    <row r="628" spans="1:16" ht="15.75" customHeight="1" thickBot="1" x14ac:dyDescent="0.3">
      <c r="A628" s="137"/>
      <c r="B628" s="137"/>
      <c r="C628" s="137"/>
      <c r="D628" s="137"/>
      <c r="E628" s="137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</row>
    <row r="629" spans="1:16" ht="15" customHeight="1" thickTop="1" thickBot="1" x14ac:dyDescent="0.3">
      <c r="A629" s="93"/>
      <c r="B629" s="328"/>
      <c r="C629" s="328"/>
      <c r="D629" s="328"/>
      <c r="E629" s="328"/>
      <c r="F629" s="328"/>
      <c r="G629" s="328"/>
      <c r="H629" s="328"/>
      <c r="I629" s="328"/>
      <c r="J629" s="328"/>
      <c r="K629" s="328"/>
      <c r="L629" s="328"/>
      <c r="M629" s="328"/>
      <c r="N629" s="328"/>
      <c r="O629" s="328"/>
      <c r="P629" s="94"/>
    </row>
    <row r="630" spans="1:16" ht="17.25" customHeight="1" thickTop="1" thickBot="1" x14ac:dyDescent="0.35">
      <c r="A630" s="97" t="s">
        <v>166</v>
      </c>
      <c r="B630" s="92">
        <v>9</v>
      </c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6"/>
    </row>
    <row r="631" spans="1:16" ht="15.75" customHeight="1" thickTop="1" x14ac:dyDescent="0.25">
      <c r="A631" s="343" t="s">
        <v>168</v>
      </c>
      <c r="B631" s="343"/>
      <c r="C631" s="343"/>
      <c r="D631" s="343"/>
      <c r="E631" s="328"/>
      <c r="F631" s="328"/>
      <c r="G631" s="328"/>
      <c r="H631" s="328"/>
      <c r="I631" s="328"/>
      <c r="J631" s="328"/>
      <c r="K631" s="328"/>
      <c r="L631" s="328"/>
      <c r="M631" s="328"/>
      <c r="N631" s="328"/>
      <c r="O631" s="328"/>
      <c r="P631" s="94"/>
    </row>
    <row r="632" spans="1:16" ht="15" customHeight="1" x14ac:dyDescent="0.25">
      <c r="A632" s="95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6"/>
    </row>
    <row r="633" spans="1:16" ht="15" customHeight="1" x14ac:dyDescent="0.25">
      <c r="A633" s="103" t="s">
        <v>170</v>
      </c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6"/>
    </row>
    <row r="634" spans="1:16" ht="15" customHeight="1" x14ac:dyDescent="0.25">
      <c r="A634" s="95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6"/>
    </row>
    <row r="635" spans="1:16" ht="15.75" customHeight="1" thickBot="1" x14ac:dyDescent="0.3">
      <c r="A635" s="95"/>
      <c r="B635" s="104" t="s">
        <v>10</v>
      </c>
      <c r="C635" s="104" t="s">
        <v>171</v>
      </c>
      <c r="D635" s="104" t="s">
        <v>172</v>
      </c>
      <c r="E635" s="104" t="s">
        <v>173</v>
      </c>
      <c r="F635" s="104" t="s">
        <v>174</v>
      </c>
      <c r="G635" s="104" t="s">
        <v>16</v>
      </c>
      <c r="H635" s="105" t="s">
        <v>17</v>
      </c>
      <c r="I635" s="105" t="s">
        <v>175</v>
      </c>
      <c r="J635" s="98"/>
      <c r="K635" s="98"/>
      <c r="L635" s="98"/>
      <c r="M635" s="98"/>
      <c r="N635" s="98"/>
      <c r="O635" s="98"/>
      <c r="P635" s="96"/>
    </row>
    <row r="636" spans="1:16" ht="16.5" customHeight="1" thickTop="1" thickBot="1" x14ac:dyDescent="0.3">
      <c r="A636" s="95"/>
      <c r="B636" s="106" t="s">
        <v>251</v>
      </c>
      <c r="C636" s="107" t="e">
        <f>VLOOKUP(B636,'Gebouwgegevens Allacker'!$J$5:$Q$83,3,0)</f>
        <v>#N/A</v>
      </c>
      <c r="D636" s="107" t="e">
        <f>VLOOKUP(B636,'Gebouwgegevens Allacker'!$J$5:$Q$83,4,0)</f>
        <v>#N/A</v>
      </c>
      <c r="E636" s="107" t="e">
        <f>VLOOKUP(B636,'Gebouwgegevens Allacker'!$J$5:$Q$83,5,0)</f>
        <v>#N/A</v>
      </c>
      <c r="F636" s="107" t="e">
        <f>VLOOKUP(B636,'Gebouwgegevens Allacker'!$J$5:$Q$83,6,0)</f>
        <v>#N/A</v>
      </c>
      <c r="G636" s="107" t="e">
        <f>VLOOKUP(B636,'Gebouwgegevens Allacker'!$J$5:$Q$83,7,0)</f>
        <v>#N/A</v>
      </c>
      <c r="H636" s="108" t="e">
        <f>VLOOKUP(B636,'Gebouwgegevens Allacker'!$J$5:$Q$83,8,0)</f>
        <v>#N/A</v>
      </c>
      <c r="I636" s="108">
        <v>1</v>
      </c>
      <c r="J636" s="98"/>
      <c r="K636" s="98"/>
      <c r="L636" s="98"/>
      <c r="M636" s="98"/>
      <c r="N636" s="98"/>
      <c r="O636" s="98"/>
      <c r="P636" s="96"/>
    </row>
    <row r="637" spans="1:16" ht="16.5" customHeight="1" thickTop="1" thickBot="1" x14ac:dyDescent="0.3">
      <c r="A637" s="95"/>
      <c r="B637" s="106" t="s">
        <v>252</v>
      </c>
      <c r="C637" s="107" t="e">
        <f>VLOOKUP(B637,'Gebouwgegevens Allacker'!$J$5:$Q$83,3,0)</f>
        <v>#N/A</v>
      </c>
      <c r="D637" s="107" t="e">
        <f>VLOOKUP(B637,'Gebouwgegevens Allacker'!$J$5:$Q$83,4,0)</f>
        <v>#N/A</v>
      </c>
      <c r="E637" s="107" t="e">
        <f>VLOOKUP(B637,'Gebouwgegevens Allacker'!$J$5:$Q$83,5,0)</f>
        <v>#N/A</v>
      </c>
      <c r="F637" s="107" t="e">
        <f>VLOOKUP(B637,'Gebouwgegevens Allacker'!$J$5:$Q$83,6,0)</f>
        <v>#N/A</v>
      </c>
      <c r="G637" s="107" t="e">
        <f>VLOOKUP(B637,'Gebouwgegevens Allacker'!$J$5:$Q$83,7,0)</f>
        <v>#N/A</v>
      </c>
      <c r="H637" s="108" t="e">
        <f>VLOOKUP(B637,'Gebouwgegevens Allacker'!$J$5:$Q$83,8,0)</f>
        <v>#N/A</v>
      </c>
      <c r="I637" s="108">
        <v>1</v>
      </c>
      <c r="J637" s="98"/>
      <c r="K637" s="98"/>
      <c r="L637" s="98"/>
      <c r="M637" s="98"/>
      <c r="N637" s="98"/>
      <c r="O637" s="98"/>
      <c r="P637" s="96"/>
    </row>
    <row r="638" spans="1:16" ht="16.5" customHeight="1" thickTop="1" thickBot="1" x14ac:dyDescent="0.3">
      <c r="A638" s="95"/>
      <c r="B638" s="106"/>
      <c r="C638" s="107"/>
      <c r="D638" s="107"/>
      <c r="E638" s="107"/>
      <c r="F638" s="107"/>
      <c r="G638" s="107"/>
      <c r="H638" s="108"/>
      <c r="I638" s="108"/>
      <c r="J638" s="98"/>
      <c r="K638" s="98"/>
      <c r="L638" s="98"/>
      <c r="M638" s="98"/>
      <c r="N638" s="98"/>
      <c r="O638" s="98"/>
      <c r="P638" s="96"/>
    </row>
    <row r="639" spans="1:16" ht="16.5" customHeight="1" thickTop="1" thickBot="1" x14ac:dyDescent="0.3">
      <c r="A639" s="95"/>
      <c r="B639" s="106"/>
      <c r="C639" s="107"/>
      <c r="D639" s="107"/>
      <c r="E639" s="107"/>
      <c r="F639" s="107"/>
      <c r="G639" s="107"/>
      <c r="H639" s="108"/>
      <c r="I639" s="108"/>
      <c r="J639" s="98"/>
      <c r="K639" s="98"/>
      <c r="L639" s="98"/>
      <c r="M639" s="98"/>
      <c r="N639" s="98"/>
      <c r="O639" s="98"/>
      <c r="P639" s="96"/>
    </row>
    <row r="640" spans="1:16" ht="16.5" customHeight="1" thickTop="1" thickBot="1" x14ac:dyDescent="0.3">
      <c r="A640" s="95"/>
      <c r="B640" s="106"/>
      <c r="C640" s="107"/>
      <c r="D640" s="107"/>
      <c r="E640" s="107"/>
      <c r="F640" s="107"/>
      <c r="G640" s="107"/>
      <c r="H640" s="108"/>
      <c r="I640" s="108"/>
      <c r="J640" s="98"/>
      <c r="K640" s="98"/>
      <c r="L640" s="98"/>
      <c r="M640" s="98"/>
      <c r="N640" s="98"/>
      <c r="O640" s="98"/>
      <c r="P640" s="96"/>
    </row>
    <row r="641" spans="1:16" ht="16.5" customHeight="1" thickTop="1" thickBot="1" x14ac:dyDescent="0.3">
      <c r="A641" s="95"/>
      <c r="B641" s="106"/>
      <c r="C641" s="107"/>
      <c r="D641" s="107"/>
      <c r="E641" s="107"/>
      <c r="F641" s="107"/>
      <c r="G641" s="107"/>
      <c r="H641" s="108"/>
      <c r="I641" s="108"/>
      <c r="J641" s="98"/>
      <c r="K641" s="98"/>
      <c r="L641" s="98"/>
      <c r="M641" s="98"/>
      <c r="N641" s="98"/>
      <c r="O641" s="98"/>
      <c r="P641" s="96"/>
    </row>
    <row r="642" spans="1:16" ht="16.5" customHeight="1" thickTop="1" thickBot="1" x14ac:dyDescent="0.3">
      <c r="A642" s="95"/>
      <c r="B642" s="106"/>
      <c r="C642" s="107"/>
      <c r="D642" s="107"/>
      <c r="E642" s="107"/>
      <c r="F642" s="107"/>
      <c r="G642" s="107"/>
      <c r="H642" s="108"/>
      <c r="I642" s="108"/>
      <c r="J642" s="98"/>
      <c r="K642" s="98"/>
      <c r="L642" s="98"/>
      <c r="M642" s="98"/>
      <c r="N642" s="98"/>
      <c r="O642" s="98"/>
      <c r="P642" s="96"/>
    </row>
    <row r="643" spans="1:16" ht="16.5" customHeight="1" thickTop="1" thickBot="1" x14ac:dyDescent="0.3">
      <c r="A643" s="95"/>
      <c r="B643" s="106"/>
      <c r="C643" s="107"/>
      <c r="D643" s="107"/>
      <c r="E643" s="107"/>
      <c r="F643" s="107"/>
      <c r="G643" s="107"/>
      <c r="H643" s="108"/>
      <c r="I643" s="108"/>
      <c r="J643" s="98"/>
      <c r="K643" s="98"/>
      <c r="L643" s="98"/>
      <c r="M643" s="98"/>
      <c r="N643" s="98"/>
      <c r="O643" s="98"/>
      <c r="P643" s="96"/>
    </row>
    <row r="644" spans="1:16" ht="16.5" customHeight="1" thickTop="1" thickBot="1" x14ac:dyDescent="0.3">
      <c r="A644" s="95"/>
      <c r="B644" s="106"/>
      <c r="C644" s="107"/>
      <c r="D644" s="107"/>
      <c r="E644" s="107"/>
      <c r="F644" s="107"/>
      <c r="G644" s="107"/>
      <c r="H644" s="108"/>
      <c r="I644" s="108"/>
      <c r="J644" s="98"/>
      <c r="K644" s="98"/>
      <c r="L644" s="98"/>
      <c r="M644" s="98"/>
      <c r="N644" s="98"/>
      <c r="O644" s="98"/>
      <c r="P644" s="96"/>
    </row>
    <row r="645" spans="1:16" ht="16.5" customHeight="1" thickTop="1" thickBot="1" x14ac:dyDescent="0.3">
      <c r="A645" s="95"/>
      <c r="B645" s="106"/>
      <c r="C645" s="107"/>
      <c r="D645" s="107"/>
      <c r="E645" s="107"/>
      <c r="F645" s="107"/>
      <c r="G645" s="107"/>
      <c r="H645" s="108"/>
      <c r="I645" s="108"/>
      <c r="J645" s="98"/>
      <c r="K645" s="98"/>
      <c r="L645" s="98"/>
      <c r="M645" s="98"/>
      <c r="N645" s="98"/>
      <c r="O645" s="98"/>
      <c r="P645" s="96"/>
    </row>
    <row r="646" spans="1:16" ht="16.5" customHeight="1" thickTop="1" thickBot="1" x14ac:dyDescent="0.3">
      <c r="A646" s="95"/>
      <c r="B646" s="106"/>
      <c r="C646" s="107"/>
      <c r="D646" s="107"/>
      <c r="E646" s="107"/>
      <c r="F646" s="107"/>
      <c r="G646" s="107"/>
      <c r="H646" s="108"/>
      <c r="I646" s="108"/>
      <c r="J646" s="98"/>
      <c r="K646" s="98"/>
      <c r="L646" s="98"/>
      <c r="M646" s="98"/>
      <c r="N646" s="98"/>
      <c r="O646" s="98"/>
      <c r="P646" s="96"/>
    </row>
    <row r="647" spans="1:16" ht="16.5" customHeight="1" thickTop="1" thickBot="1" x14ac:dyDescent="0.3">
      <c r="A647" s="95"/>
      <c r="B647" s="106"/>
      <c r="C647" s="107"/>
      <c r="D647" s="107"/>
      <c r="E647" s="107"/>
      <c r="F647" s="107"/>
      <c r="G647" s="107"/>
      <c r="H647" s="108"/>
      <c r="I647" s="108"/>
      <c r="J647" s="98"/>
      <c r="K647" s="98"/>
      <c r="L647" s="98"/>
      <c r="M647" s="98"/>
      <c r="N647" s="98"/>
      <c r="O647" s="98"/>
      <c r="P647" s="96"/>
    </row>
    <row r="648" spans="1:16" ht="15.75" customHeight="1" thickTop="1" x14ac:dyDescent="0.25">
      <c r="A648" s="95"/>
      <c r="B648" s="58"/>
      <c r="C648" s="58"/>
      <c r="D648" s="58"/>
      <c r="E648" s="58"/>
      <c r="F648" s="58"/>
      <c r="G648" s="114"/>
      <c r="H648" s="58"/>
      <c r="I648" s="58"/>
      <c r="J648" s="98"/>
      <c r="K648" s="98"/>
      <c r="L648" s="98"/>
      <c r="M648" s="98"/>
      <c r="N648" s="98"/>
      <c r="O648" s="98"/>
      <c r="P648" s="96"/>
    </row>
    <row r="649" spans="1:16" ht="15" customHeight="1" x14ac:dyDescent="0.25">
      <c r="A649" s="95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6"/>
    </row>
    <row r="650" spans="1:16" ht="15" customHeight="1" x14ac:dyDescent="0.25">
      <c r="A650" s="103" t="s">
        <v>177</v>
      </c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6"/>
    </row>
    <row r="651" spans="1:16" ht="15.75" customHeight="1" x14ac:dyDescent="0.25">
      <c r="A651" s="95"/>
      <c r="B651" s="58" t="s">
        <v>10</v>
      </c>
      <c r="C651" s="58" t="s">
        <v>178</v>
      </c>
      <c r="D651" s="58" t="s">
        <v>172</v>
      </c>
      <c r="E651" s="58" t="s">
        <v>179</v>
      </c>
      <c r="F651" s="58" t="s">
        <v>16</v>
      </c>
      <c r="G651" s="114" t="s">
        <v>17</v>
      </c>
      <c r="H651" s="114" t="s">
        <v>175</v>
      </c>
      <c r="I651" s="58" t="s">
        <v>180</v>
      </c>
      <c r="J651" s="58" t="s">
        <v>181</v>
      </c>
      <c r="K651" s="58" t="s">
        <v>182</v>
      </c>
      <c r="L651" s="115" t="s">
        <v>183</v>
      </c>
      <c r="M651" s="115" t="s">
        <v>184</v>
      </c>
      <c r="N651" s="115" t="s">
        <v>185</v>
      </c>
      <c r="O651" s="98"/>
      <c r="P651" s="96"/>
    </row>
    <row r="652" spans="1:16" ht="16.5" customHeight="1" thickBot="1" x14ac:dyDescent="0.3">
      <c r="A652" s="95"/>
      <c r="B652" s="116" t="s">
        <v>253</v>
      </c>
      <c r="C652" s="117" t="e">
        <f>VLOOKUP(B652,'Gebouwgegevens Allacker'!$J$5:$Q$83,3,0)</f>
        <v>#N/A</v>
      </c>
      <c r="D652" s="117" t="e">
        <f>VLOOKUP(B652,'Gebouwgegevens Allacker'!$J$5:$Q$83,4,0)</f>
        <v>#N/A</v>
      </c>
      <c r="E652" s="117" t="e">
        <f>VLOOKUP(B652,'Gebouwgegevens Allacker'!$J$5:$Q$83,5,0)</f>
        <v>#N/A</v>
      </c>
      <c r="F652" s="117" t="e">
        <f>VLOOKUP(B652,'Gebouwgegevens Allacker'!$J$5:$Q$83,7,0)</f>
        <v>#N/A</v>
      </c>
      <c r="G652" s="118" t="e">
        <f>VLOOKUP(B652,'Gebouwgegevens Allacker'!$J$5:$Q$83,8,0)</f>
        <v>#N/A</v>
      </c>
      <c r="H652" s="118" t="e">
        <f>N652/F652</f>
        <v>#N/A</v>
      </c>
      <c r="I652" s="117" t="e">
        <f>VLOOKUP(C652,'Gebouwgegevens Allacker'!$A$35:$F$46,6,0)</f>
        <v>#N/A</v>
      </c>
      <c r="J652" s="116">
        <v>6.52</v>
      </c>
      <c r="K652" s="116">
        <v>0.33</v>
      </c>
      <c r="L652" s="119" t="e">
        <f>I652/(0.5*J652)</f>
        <v>#N/A</v>
      </c>
      <c r="M652" s="119" t="e">
        <f>K652+2*(1/F652)</f>
        <v>#N/A</v>
      </c>
      <c r="N652" s="120" t="e">
        <f>IF(M652&lt;L652,2*2/(PI()*L652+M652)*LN(PI()*L652/M652+1),2/(0.457*L652+M652))</f>
        <v>#N/A</v>
      </c>
      <c r="O652" s="98"/>
      <c r="P652" s="96"/>
    </row>
    <row r="653" spans="1:16" ht="16.5" customHeight="1" thickTop="1" thickBot="1" x14ac:dyDescent="0.3">
      <c r="A653" s="95"/>
      <c r="B653" s="116"/>
      <c r="C653" s="117"/>
      <c r="D653" s="117"/>
      <c r="E653" s="117"/>
      <c r="F653" s="117"/>
      <c r="G653" s="118"/>
      <c r="H653" s="118"/>
      <c r="I653" s="117"/>
      <c r="J653" s="116"/>
      <c r="K653" s="116"/>
      <c r="L653" s="119"/>
      <c r="M653" s="119"/>
      <c r="N653" s="120"/>
      <c r="O653" s="98"/>
      <c r="P653" s="96"/>
    </row>
    <row r="654" spans="1:16" ht="16.5" customHeight="1" thickTop="1" thickBot="1" x14ac:dyDescent="0.3">
      <c r="A654" s="95"/>
      <c r="B654" s="116"/>
      <c r="C654" s="117"/>
      <c r="D654" s="117"/>
      <c r="E654" s="117"/>
      <c r="F654" s="117"/>
      <c r="G654" s="118"/>
      <c r="H654" s="118"/>
      <c r="I654" s="117"/>
      <c r="J654" s="116"/>
      <c r="K654" s="116"/>
      <c r="L654" s="119"/>
      <c r="M654" s="119"/>
      <c r="N654" s="120"/>
      <c r="O654" s="98"/>
      <c r="P654" s="96"/>
    </row>
    <row r="655" spans="1:16" ht="16.5" customHeight="1" thickTop="1" thickBot="1" x14ac:dyDescent="0.3">
      <c r="A655" s="95"/>
      <c r="B655" s="116"/>
      <c r="C655" s="117"/>
      <c r="D655" s="117"/>
      <c r="E655" s="117"/>
      <c r="F655" s="117"/>
      <c r="G655" s="118"/>
      <c r="H655" s="118"/>
      <c r="I655" s="117"/>
      <c r="J655" s="116"/>
      <c r="K655" s="116"/>
      <c r="L655" s="119"/>
      <c r="M655" s="119"/>
      <c r="N655" s="120"/>
      <c r="O655" s="98"/>
      <c r="P655" s="96"/>
    </row>
    <row r="656" spans="1:16" ht="16.5" customHeight="1" thickTop="1" thickBot="1" x14ac:dyDescent="0.3">
      <c r="A656" s="138"/>
      <c r="B656" s="116"/>
      <c r="C656" s="117"/>
      <c r="D656" s="117"/>
      <c r="E656" s="117"/>
      <c r="F656" s="117"/>
      <c r="G656" s="118"/>
      <c r="H656" s="118"/>
      <c r="I656" s="117"/>
      <c r="J656" s="116"/>
      <c r="K656" s="116"/>
      <c r="L656" s="119"/>
      <c r="M656" s="119"/>
      <c r="N656" s="120"/>
      <c r="O656" s="98"/>
      <c r="P656" s="96"/>
    </row>
    <row r="657" spans="1:16" ht="15.75" customHeight="1" thickTop="1" x14ac:dyDescent="0.25">
      <c r="A657" s="95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6"/>
    </row>
    <row r="658" spans="1:16" ht="15" customHeight="1" x14ac:dyDescent="0.25">
      <c r="A658" s="103" t="s">
        <v>186</v>
      </c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6"/>
    </row>
    <row r="659" spans="1:16" ht="15.75" customHeight="1" thickBot="1" x14ac:dyDescent="0.3">
      <c r="A659" s="95"/>
      <c r="B659" s="58" t="s">
        <v>10</v>
      </c>
      <c r="C659" s="58" t="s">
        <v>187</v>
      </c>
      <c r="D659" s="58" t="s">
        <v>188</v>
      </c>
      <c r="E659" s="58" t="s">
        <v>135</v>
      </c>
      <c r="F659" s="58" t="s">
        <v>189</v>
      </c>
      <c r="G659" s="58" t="s">
        <v>190</v>
      </c>
      <c r="H659" s="58" t="s">
        <v>191</v>
      </c>
      <c r="I659" s="58" t="s">
        <v>16</v>
      </c>
      <c r="J659" s="114" t="s">
        <v>17</v>
      </c>
      <c r="K659" s="114" t="s">
        <v>175</v>
      </c>
      <c r="L659" s="98"/>
      <c r="M659" s="98"/>
      <c r="N659" s="98"/>
      <c r="O659" s="98"/>
      <c r="P659" s="96"/>
    </row>
    <row r="660" spans="1:16" ht="16.5" customHeight="1" thickTop="1" thickBot="1" x14ac:dyDescent="0.3">
      <c r="A660" s="95"/>
      <c r="B660" s="116" t="s">
        <v>219</v>
      </c>
      <c r="C660" s="122" t="e">
        <f>IF(VLOOKUP(B660,'Gebouwgegevens Allacker'!$J$5:$Q$83,2,0)=$B$630,VLOOKUP(B660,'Gebouwgegevens Allacker'!$J$5:$Q$83,2,0),VLOOKUP(B660,'Gebouwgegevens Allacker'!$J$5:$Q$83,3,0))</f>
        <v>#N/A</v>
      </c>
      <c r="D660" s="122" t="e">
        <f>IF(VLOOKUP(B660,'Gebouwgegevens Allacker'!$J$5:$Q$83,2,0)=$B$630,VLOOKUP(B660,'Gebouwgegevens Allacker'!$J$5:$Q$83,3,0),VLOOKUP(B660,'Gebouwgegevens Allacker'!$J$5:$Q$83,2,0))</f>
        <v>#N/A</v>
      </c>
      <c r="E660" s="122" t="e">
        <f>VLOOKUP(B660,'Gebouwgegevens Allacker'!$J$5:$Q$83,4,0)</f>
        <v>#N/A</v>
      </c>
      <c r="F660" s="122" t="e">
        <f>VLOOKUP(B660,'Gebouwgegevens Allacker'!$J$5:$Q$83,5,0)</f>
        <v>#N/A</v>
      </c>
      <c r="G660" s="122" t="e">
        <f>VLOOKUP('Verwarming Tabula 2zone RefULG2'!C660,'Gebouwgegevens Allacker'!$A$35:$F$46,5,0)</f>
        <v>#N/A</v>
      </c>
      <c r="H660" s="122" t="e">
        <f>VLOOKUP('Verwarming Tabula 2zone RefULG2'!D660,'Gebouwgegevens Allacker'!$A$35:$F$46,5,0)</f>
        <v>#N/A</v>
      </c>
      <c r="I660" s="122" t="e">
        <f>VLOOKUP(B660,'Gebouwgegevens Allacker'!$J$5:$Q$83,7,0)</f>
        <v>#N/A</v>
      </c>
      <c r="J660" s="118" t="e">
        <f>VLOOKUP(B660,'Gebouwgegevens Allacker'!$J$5:$Q$83,8,0)</f>
        <v>#N/A</v>
      </c>
      <c r="K660" s="118" t="e">
        <f>(G660-H660)/(G660-$B$4)</f>
        <v>#N/A</v>
      </c>
      <c r="L660" s="98"/>
      <c r="M660" s="98"/>
      <c r="N660" s="98"/>
      <c r="O660" s="98"/>
      <c r="P660" s="96"/>
    </row>
    <row r="661" spans="1:16" ht="16.5" customHeight="1" thickTop="1" thickBot="1" x14ac:dyDescent="0.3">
      <c r="A661" s="95"/>
      <c r="B661" s="116" t="s">
        <v>254</v>
      </c>
      <c r="C661" s="122" t="e">
        <f>IF(VLOOKUP(B661,'Gebouwgegevens Allacker'!$J$5:$Q$83,2,0)=$B$630,VLOOKUP(B661,'Gebouwgegevens Allacker'!$J$5:$Q$83,2,0),VLOOKUP(B661,'Gebouwgegevens Allacker'!$J$5:$Q$83,3,0))</f>
        <v>#N/A</v>
      </c>
      <c r="D661" s="122" t="e">
        <f>IF(VLOOKUP(B661,'Gebouwgegevens Allacker'!$J$5:$Q$83,2,0)=$B$630,VLOOKUP(B661,'Gebouwgegevens Allacker'!$J$5:$Q$83,3,0),VLOOKUP(B661,'Gebouwgegevens Allacker'!$J$5:$Q$83,2,0))</f>
        <v>#N/A</v>
      </c>
      <c r="E661" s="122" t="e">
        <f>VLOOKUP(B661,'Gebouwgegevens Allacker'!$J$5:$Q$83,4,0)</f>
        <v>#N/A</v>
      </c>
      <c r="F661" s="122" t="e">
        <f>VLOOKUP(B661,'Gebouwgegevens Allacker'!$J$5:$Q$83,5,0)</f>
        <v>#N/A</v>
      </c>
      <c r="G661" s="122" t="e">
        <f>VLOOKUP('Verwarming Tabula 2zone RefULG2'!C661,'Gebouwgegevens Allacker'!$A$35:$F$46,5,0)</f>
        <v>#N/A</v>
      </c>
      <c r="H661" s="122" t="e">
        <f>VLOOKUP('Verwarming Tabula 2zone RefULG2'!D661,'Gebouwgegevens Allacker'!$A$35:$F$46,5,0)</f>
        <v>#N/A</v>
      </c>
      <c r="I661" s="122" t="e">
        <f>VLOOKUP(B661,'Gebouwgegevens Allacker'!$J$5:$Q$83,7,0)</f>
        <v>#N/A</v>
      </c>
      <c r="J661" s="118" t="e">
        <f>VLOOKUP(B661,'Gebouwgegevens Allacker'!$J$5:$Q$83,8,0)</f>
        <v>#N/A</v>
      </c>
      <c r="K661" s="118" t="e">
        <f>(G661-H661)/(G661-$B$4)</f>
        <v>#N/A</v>
      </c>
      <c r="L661" s="98"/>
      <c r="M661" s="98"/>
      <c r="N661" s="98"/>
      <c r="O661" s="98"/>
      <c r="P661" s="96"/>
    </row>
    <row r="662" spans="1:16" ht="16.5" customHeight="1" thickTop="1" thickBot="1" x14ac:dyDescent="0.3">
      <c r="A662" s="95"/>
      <c r="B662" s="116"/>
      <c r="C662" s="122"/>
      <c r="D662" s="122"/>
      <c r="E662" s="122"/>
      <c r="F662" s="122"/>
      <c r="G662" s="122"/>
      <c r="H662" s="122"/>
      <c r="I662" s="122"/>
      <c r="J662" s="118"/>
      <c r="K662" s="118"/>
      <c r="L662" s="98"/>
      <c r="M662" s="98"/>
      <c r="N662" s="98"/>
      <c r="O662" s="98"/>
      <c r="P662" s="96"/>
    </row>
    <row r="663" spans="1:16" ht="16.5" customHeight="1" thickTop="1" thickBot="1" x14ac:dyDescent="0.3">
      <c r="A663" s="95"/>
      <c r="B663" s="116"/>
      <c r="C663" s="122"/>
      <c r="D663" s="122"/>
      <c r="E663" s="122"/>
      <c r="F663" s="122"/>
      <c r="G663" s="122"/>
      <c r="H663" s="122"/>
      <c r="I663" s="122"/>
      <c r="J663" s="118"/>
      <c r="K663" s="118"/>
      <c r="L663" s="98"/>
      <c r="M663" s="98"/>
      <c r="N663" s="98"/>
      <c r="O663" s="98"/>
      <c r="P663" s="96"/>
    </row>
    <row r="664" spans="1:16" ht="16.5" customHeight="1" thickTop="1" thickBot="1" x14ac:dyDescent="0.3">
      <c r="A664" s="95"/>
      <c r="B664" s="145"/>
      <c r="C664" s="122"/>
      <c r="D664" s="122"/>
      <c r="E664" s="122"/>
      <c r="F664" s="122"/>
      <c r="G664" s="122"/>
      <c r="H664" s="122"/>
      <c r="I664" s="122"/>
      <c r="J664" s="118"/>
      <c r="K664" s="118"/>
      <c r="L664" s="98"/>
      <c r="M664" s="98"/>
      <c r="N664" s="98"/>
      <c r="O664" s="98"/>
      <c r="P664" s="96"/>
    </row>
    <row r="665" spans="1:16" ht="16.5" customHeight="1" thickTop="1" thickBot="1" x14ac:dyDescent="0.3">
      <c r="A665" s="95"/>
      <c r="B665" s="123"/>
      <c r="C665" s="139"/>
      <c r="D665" s="122"/>
      <c r="E665" s="122"/>
      <c r="F665" s="122"/>
      <c r="G665" s="122"/>
      <c r="H665" s="122"/>
      <c r="I665" s="122"/>
      <c r="J665" s="118"/>
      <c r="K665" s="118"/>
      <c r="L665" s="98"/>
      <c r="M665" s="98"/>
      <c r="N665" s="98"/>
      <c r="O665" s="98"/>
      <c r="P665" s="96"/>
    </row>
    <row r="666" spans="1:16" ht="16.5" customHeight="1" thickTop="1" thickBot="1" x14ac:dyDescent="0.3">
      <c r="A666" s="95"/>
      <c r="B666" s="123"/>
      <c r="C666" s="139"/>
      <c r="D666" s="122"/>
      <c r="E666" s="122"/>
      <c r="F666" s="122"/>
      <c r="G666" s="122"/>
      <c r="H666" s="122"/>
      <c r="I666" s="122"/>
      <c r="J666" s="118"/>
      <c r="K666" s="118"/>
      <c r="L666" s="98"/>
      <c r="M666" s="98"/>
      <c r="N666" s="98"/>
      <c r="O666" s="98"/>
      <c r="P666" s="96"/>
    </row>
    <row r="667" spans="1:16" ht="16.5" customHeight="1" thickTop="1" thickBot="1" x14ac:dyDescent="0.3">
      <c r="A667" s="95"/>
      <c r="B667" s="123"/>
      <c r="C667" s="139"/>
      <c r="D667" s="122"/>
      <c r="E667" s="122"/>
      <c r="F667" s="122"/>
      <c r="G667" s="122"/>
      <c r="H667" s="122"/>
      <c r="I667" s="122"/>
      <c r="J667" s="118"/>
      <c r="K667" s="118"/>
      <c r="L667" s="98"/>
      <c r="M667" s="98"/>
      <c r="N667" s="98"/>
      <c r="O667" s="98"/>
      <c r="P667" s="96"/>
    </row>
    <row r="668" spans="1:16" ht="16.5" customHeight="1" thickTop="1" thickBot="1" x14ac:dyDescent="0.3">
      <c r="A668" s="95"/>
      <c r="B668" s="123"/>
      <c r="C668" s="139"/>
      <c r="D668" s="122"/>
      <c r="E668" s="122"/>
      <c r="F668" s="122"/>
      <c r="G668" s="122"/>
      <c r="H668" s="122"/>
      <c r="I668" s="122"/>
      <c r="J668" s="118"/>
      <c r="K668" s="118"/>
      <c r="L668" s="98"/>
      <c r="M668" s="98"/>
      <c r="N668" s="98"/>
      <c r="O668" s="98"/>
      <c r="P668" s="96"/>
    </row>
    <row r="669" spans="1:16" ht="16.5" customHeight="1" thickTop="1" thickBot="1" x14ac:dyDescent="0.3">
      <c r="A669" s="95"/>
      <c r="B669" s="123"/>
      <c r="C669" s="139"/>
      <c r="D669" s="122"/>
      <c r="E669" s="122"/>
      <c r="F669" s="122"/>
      <c r="G669" s="122"/>
      <c r="H669" s="122"/>
      <c r="I669" s="122"/>
      <c r="J669" s="118"/>
      <c r="K669" s="118"/>
      <c r="L669" s="98"/>
      <c r="M669" s="98"/>
      <c r="N669" s="98"/>
      <c r="O669" s="98"/>
      <c r="P669" s="96"/>
    </row>
    <row r="670" spans="1:16" ht="15.75" customHeight="1" thickTop="1" x14ac:dyDescent="0.25">
      <c r="A670" s="95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8"/>
      <c r="M670" s="98"/>
      <c r="N670" s="98"/>
      <c r="O670" s="98"/>
      <c r="P670" s="96"/>
    </row>
    <row r="671" spans="1:16" ht="15" customHeight="1" x14ac:dyDescent="0.25">
      <c r="A671" s="95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6"/>
    </row>
    <row r="672" spans="1:16" ht="15.75" customHeight="1" x14ac:dyDescent="0.25">
      <c r="A672" s="103" t="s">
        <v>192</v>
      </c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6"/>
    </row>
    <row r="673" spans="1:16" ht="16.5" customHeight="1" x14ac:dyDescent="0.25">
      <c r="A673" s="124" t="s">
        <v>193</v>
      </c>
      <c r="B673" s="118" t="e">
        <f>SUMPRODUCT(H636:H647,I636:I647)+SUMPRODUCT(G652:G656,H652:H656)+SUMPRODUCT(J660:J669,K660:K669)</f>
        <v>#N/A</v>
      </c>
      <c r="C673" s="118" t="s">
        <v>107</v>
      </c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6"/>
    </row>
    <row r="674" spans="1:16" ht="16.5" customHeight="1" x14ac:dyDescent="0.25">
      <c r="A674" s="124" t="s">
        <v>167</v>
      </c>
      <c r="B674" s="118" t="e">
        <f>B673*(G660-$B$4)</f>
        <v>#N/A</v>
      </c>
      <c r="C674" s="118" t="s">
        <v>169</v>
      </c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6"/>
    </row>
    <row r="675" spans="1:16" ht="15.75" customHeight="1" thickBot="1" x14ac:dyDescent="0.3">
      <c r="A675" s="109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1"/>
    </row>
    <row r="676" spans="1:16" ht="15.75" customHeight="1" thickTop="1" x14ac:dyDescent="0.25">
      <c r="A676" s="343" t="s">
        <v>194</v>
      </c>
      <c r="B676" s="343"/>
      <c r="C676" s="343"/>
      <c r="D676" s="125" t="s">
        <v>222</v>
      </c>
      <c r="E676" s="328"/>
      <c r="F676" s="328"/>
      <c r="G676" s="328"/>
      <c r="H676" s="328"/>
      <c r="I676" s="328"/>
      <c r="J676" s="328"/>
      <c r="K676" s="328"/>
      <c r="L676" s="328"/>
      <c r="M676" s="328"/>
      <c r="N676" s="328"/>
      <c r="O676" s="328"/>
      <c r="P676" s="94"/>
    </row>
    <row r="677" spans="1:16" ht="15" customHeight="1" x14ac:dyDescent="0.25">
      <c r="A677" s="95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6"/>
    </row>
    <row r="678" spans="1:16" ht="15" customHeight="1" thickBot="1" x14ac:dyDescent="0.3">
      <c r="A678" s="126" t="s">
        <v>195</v>
      </c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6"/>
    </row>
    <row r="679" spans="1:16" ht="15" customHeight="1" thickTop="1" thickBot="1" x14ac:dyDescent="0.3">
      <c r="A679" s="127" t="s">
        <v>196</v>
      </c>
      <c r="B679" s="121">
        <v>8</v>
      </c>
      <c r="C679" s="120" t="s">
        <v>197</v>
      </c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6"/>
    </row>
    <row r="680" spans="1:16" ht="15" customHeight="1" thickTop="1" thickBot="1" x14ac:dyDescent="0.3">
      <c r="A680" s="127" t="s">
        <v>198</v>
      </c>
      <c r="B680" s="121">
        <v>0.03</v>
      </c>
      <c r="C680" s="120" t="s">
        <v>199</v>
      </c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6"/>
    </row>
    <row r="681" spans="1:16" ht="15.75" customHeight="1" thickTop="1" thickBot="1" x14ac:dyDescent="0.3">
      <c r="A681" s="127" t="s">
        <v>200</v>
      </c>
      <c r="B681" s="121">
        <v>1</v>
      </c>
      <c r="C681" s="120" t="s">
        <v>201</v>
      </c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6"/>
    </row>
    <row r="682" spans="1:16" ht="16.5" customHeight="1" thickTop="1" x14ac:dyDescent="0.25">
      <c r="A682" s="124" t="s">
        <v>202</v>
      </c>
      <c r="B682" s="118" t="e">
        <f>2*VLOOKUP(B630,'Gebouwgegevens Allacker'!$A$35:$F$46,6,0)*B679*B680*B681</f>
        <v>#N/A</v>
      </c>
      <c r="C682" s="118" t="s">
        <v>203</v>
      </c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6"/>
    </row>
    <row r="683" spans="1:16" ht="15.75" customHeight="1" x14ac:dyDescent="0.25">
      <c r="A683" s="138"/>
      <c r="B683" s="58"/>
      <c r="C683" s="5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6"/>
    </row>
    <row r="684" spans="1:16" ht="15" customHeight="1" x14ac:dyDescent="0.25">
      <c r="A684" s="146" t="s">
        <v>204</v>
      </c>
      <c r="B684" s="58"/>
      <c r="C684" s="5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6"/>
    </row>
    <row r="685" spans="1:16" ht="15.75" customHeight="1" x14ac:dyDescent="0.25">
      <c r="A685" s="138" t="s">
        <v>180</v>
      </c>
      <c r="B685" s="58" t="e">
        <f>VLOOKUP(B630,'Gebouwgegevens Allacker'!$A$35:$F$46,6,0)</f>
        <v>#N/A</v>
      </c>
      <c r="C685" s="5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6"/>
    </row>
    <row r="686" spans="1:16" ht="16.5" customHeight="1" x14ac:dyDescent="0.25">
      <c r="A686" s="124" t="s">
        <v>205</v>
      </c>
      <c r="B686" s="128">
        <v>50</v>
      </c>
      <c r="C686" s="118" t="s">
        <v>203</v>
      </c>
      <c r="D686" s="147" t="s">
        <v>255</v>
      </c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6"/>
    </row>
    <row r="687" spans="1:16" ht="15.75" customHeight="1" x14ac:dyDescent="0.25">
      <c r="A687" s="138"/>
      <c r="B687" s="58"/>
      <c r="C687" s="5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6"/>
    </row>
    <row r="688" spans="1:16" ht="15.75" customHeight="1" x14ac:dyDescent="0.25">
      <c r="A688" s="138"/>
      <c r="B688" s="58"/>
      <c r="C688" s="5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6"/>
    </row>
    <row r="689" spans="1:16" ht="16.5" customHeight="1" x14ac:dyDescent="0.25">
      <c r="A689" s="124" t="s">
        <v>207</v>
      </c>
      <c r="B689" s="118" t="e">
        <f>MAX(B682,B686)</f>
        <v>#N/A</v>
      </c>
      <c r="C689" s="118" t="s">
        <v>203</v>
      </c>
      <c r="D689" s="98"/>
      <c r="E689" s="98"/>
      <c r="F689" s="118" t="s">
        <v>208</v>
      </c>
      <c r="G689" s="118" t="e">
        <f>B689/VLOOKUP(B630,'Gebouwgegevens Allacker'!$A$35:$B$46,2,0)</f>
        <v>#N/A</v>
      </c>
      <c r="H689" s="98"/>
      <c r="I689" s="98"/>
      <c r="J689" s="98"/>
      <c r="K689" s="98"/>
      <c r="L689" s="98"/>
      <c r="M689" s="98"/>
      <c r="N689" s="98"/>
      <c r="O689" s="98"/>
      <c r="P689" s="96"/>
    </row>
    <row r="690" spans="1:16" ht="16.5" customHeight="1" x14ac:dyDescent="0.25">
      <c r="A690" s="138"/>
      <c r="B690" s="58"/>
      <c r="C690" s="5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6"/>
    </row>
    <row r="691" spans="1:16" ht="16.5" customHeight="1" x14ac:dyDescent="0.25">
      <c r="A691" s="124" t="s">
        <v>209</v>
      </c>
      <c r="B691" s="118" t="e">
        <f>0.34*B689</f>
        <v>#N/A</v>
      </c>
      <c r="C691" s="118" t="s">
        <v>107</v>
      </c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6"/>
    </row>
    <row r="692" spans="1:16" ht="16.5" customHeight="1" x14ac:dyDescent="0.25">
      <c r="A692" s="124" t="s">
        <v>167</v>
      </c>
      <c r="B692" s="118" t="e">
        <f>B691*('Gebouwgegevens Allacker'!E652-$B$4)</f>
        <v>#N/A</v>
      </c>
      <c r="C692" s="118" t="s">
        <v>169</v>
      </c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6"/>
    </row>
    <row r="693" spans="1:16" ht="15.75" customHeight="1" thickBot="1" x14ac:dyDescent="0.3">
      <c r="A693" s="140"/>
      <c r="B693" s="141"/>
      <c r="C693" s="141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1"/>
    </row>
    <row r="694" spans="1:16" ht="15.75" customHeight="1" thickTop="1" x14ac:dyDescent="0.25">
      <c r="A694" s="343" t="s">
        <v>210</v>
      </c>
      <c r="B694" s="343"/>
      <c r="C694" s="343"/>
      <c r="D694" s="343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6"/>
    </row>
    <row r="695" spans="1:16" ht="15" customHeight="1" thickBot="1" x14ac:dyDescent="0.3">
      <c r="A695" s="95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6"/>
    </row>
    <row r="696" spans="1:16" ht="15" customHeight="1" thickTop="1" thickBot="1" x14ac:dyDescent="0.3">
      <c r="A696" s="127" t="s">
        <v>211</v>
      </c>
      <c r="B696" s="121">
        <v>0</v>
      </c>
      <c r="C696" s="58" t="s">
        <v>232</v>
      </c>
      <c r="D696" s="5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6"/>
    </row>
    <row r="697" spans="1:16" ht="15.75" customHeight="1" thickTop="1" x14ac:dyDescent="0.25">
      <c r="A697" s="3" t="s">
        <v>113</v>
      </c>
      <c r="B697" s="58" t="e">
        <f>VLOOKUP(B630,'Gebouwgegevens Allacker'!$A$35:$F$46,6,0)</f>
        <v>#N/A</v>
      </c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6"/>
    </row>
    <row r="698" spans="1:16" ht="16.5" customHeight="1" x14ac:dyDescent="0.25">
      <c r="A698" s="124" t="s">
        <v>213</v>
      </c>
      <c r="B698" s="118" t="e">
        <f>B699/('Gebouwgegevens Allacker'!E652-'Verwarming Tabula 2zone RefULG2'!$B$4)</f>
        <v>#N/A</v>
      </c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6"/>
    </row>
    <row r="699" spans="1:16" ht="16.5" customHeight="1" x14ac:dyDescent="0.25">
      <c r="A699" s="124" t="s">
        <v>167</v>
      </c>
      <c r="B699" s="118" t="e">
        <f>B696*B697</f>
        <v>#N/A</v>
      </c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6"/>
    </row>
    <row r="700" spans="1:16" ht="15.75" customHeight="1" x14ac:dyDescent="0.25">
      <c r="A700" s="95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6"/>
    </row>
    <row r="701" spans="1:16" ht="15.75" customHeight="1" thickBot="1" x14ac:dyDescent="0.3">
      <c r="A701" s="95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6"/>
    </row>
    <row r="702" spans="1:16" ht="15.75" customHeight="1" thickTop="1" thickBot="1" x14ac:dyDescent="0.3">
      <c r="A702" s="129" t="s">
        <v>214</v>
      </c>
      <c r="B702" s="130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1"/>
    </row>
    <row r="703" spans="1:16" ht="16.5" customHeight="1" thickTop="1" x14ac:dyDescent="0.25">
      <c r="A703" s="124" t="s">
        <v>215</v>
      </c>
      <c r="B703" s="118" t="e">
        <f>SUM(B673,B691,B698)</f>
        <v>#N/A</v>
      </c>
      <c r="C703" s="118" t="s">
        <v>107</v>
      </c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3"/>
    </row>
    <row r="704" spans="1:16" ht="16.5" customHeight="1" x14ac:dyDescent="0.25">
      <c r="A704" s="124" t="s">
        <v>167</v>
      </c>
      <c r="B704" s="118" t="e">
        <f>SUM(B674,B692,B699)</f>
        <v>#N/A</v>
      </c>
      <c r="C704" s="118" t="s">
        <v>169</v>
      </c>
      <c r="D704" s="132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  <c r="O704" s="132"/>
      <c r="P704" s="133"/>
    </row>
    <row r="705" spans="1:16" ht="16.5" customHeight="1" thickBot="1" x14ac:dyDescent="0.3">
      <c r="A705" s="134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6"/>
    </row>
    <row r="706" spans="1:16" ht="15" customHeight="1" thickTop="1" x14ac:dyDescent="0.25">
      <c r="A706" s="137"/>
      <c r="B706" s="137"/>
      <c r="C706" s="137"/>
      <c r="D706" s="137"/>
      <c r="E706" s="137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</row>
    <row r="707" spans="1:16" ht="15.75" customHeight="1" thickBot="1" x14ac:dyDescent="0.3">
      <c r="A707" s="137"/>
      <c r="B707" s="137"/>
      <c r="C707" s="137"/>
      <c r="D707" s="137"/>
      <c r="E707" s="137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</row>
    <row r="708" spans="1:16" ht="15" customHeight="1" thickTop="1" thickBot="1" x14ac:dyDescent="0.3">
      <c r="A708" s="93"/>
      <c r="B708" s="328"/>
      <c r="C708" s="328"/>
      <c r="D708" s="328"/>
      <c r="E708" s="328"/>
      <c r="F708" s="328"/>
      <c r="G708" s="328"/>
      <c r="H708" s="328"/>
      <c r="I708" s="328"/>
      <c r="J708" s="328"/>
      <c r="K708" s="328"/>
      <c r="L708" s="328"/>
      <c r="M708" s="328"/>
      <c r="N708" s="328"/>
      <c r="O708" s="328"/>
      <c r="P708" s="94"/>
    </row>
    <row r="709" spans="1:16" ht="17.25" customHeight="1" thickTop="1" thickBot="1" x14ac:dyDescent="0.35">
      <c r="A709" s="97" t="s">
        <v>166</v>
      </c>
      <c r="B709" s="92">
        <v>10</v>
      </c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6"/>
    </row>
    <row r="710" spans="1:16" ht="15.75" customHeight="1" thickTop="1" x14ac:dyDescent="0.25">
      <c r="A710" s="343" t="s">
        <v>168</v>
      </c>
      <c r="B710" s="343"/>
      <c r="C710" s="343"/>
      <c r="D710" s="343"/>
      <c r="E710" s="328"/>
      <c r="F710" s="328"/>
      <c r="G710" s="328"/>
      <c r="H710" s="328"/>
      <c r="I710" s="328"/>
      <c r="J710" s="328"/>
      <c r="K710" s="328"/>
      <c r="L710" s="328"/>
      <c r="M710" s="328"/>
      <c r="N710" s="328"/>
      <c r="O710" s="328"/>
      <c r="P710" s="94"/>
    </row>
    <row r="711" spans="1:16" ht="15" customHeight="1" x14ac:dyDescent="0.25">
      <c r="A711" s="95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6"/>
    </row>
    <row r="712" spans="1:16" ht="15" customHeight="1" x14ac:dyDescent="0.25">
      <c r="A712" s="103" t="s">
        <v>170</v>
      </c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6"/>
    </row>
    <row r="713" spans="1:16" ht="15" customHeight="1" x14ac:dyDescent="0.25">
      <c r="A713" s="95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6"/>
    </row>
    <row r="714" spans="1:16" ht="15.75" customHeight="1" thickBot="1" x14ac:dyDescent="0.3">
      <c r="A714" s="95"/>
      <c r="B714" s="104" t="s">
        <v>10</v>
      </c>
      <c r="C714" s="104" t="s">
        <v>171</v>
      </c>
      <c r="D714" s="104" t="s">
        <v>172</v>
      </c>
      <c r="E714" s="104" t="s">
        <v>173</v>
      </c>
      <c r="F714" s="104" t="s">
        <v>174</v>
      </c>
      <c r="G714" s="104" t="s">
        <v>16</v>
      </c>
      <c r="H714" s="105" t="s">
        <v>17</v>
      </c>
      <c r="I714" s="105" t="s">
        <v>175</v>
      </c>
      <c r="J714" s="98"/>
      <c r="K714" s="98"/>
      <c r="L714" s="98"/>
      <c r="M714" s="98"/>
      <c r="N714" s="98"/>
      <c r="O714" s="98"/>
      <c r="P714" s="96"/>
    </row>
    <row r="715" spans="1:16" ht="16.5" customHeight="1" thickTop="1" thickBot="1" x14ac:dyDescent="0.3">
      <c r="A715" s="95"/>
      <c r="B715" s="106" t="s">
        <v>256</v>
      </c>
      <c r="C715" s="107" t="e">
        <f>VLOOKUP(B715,'Gebouwgegevens Allacker'!$J$5:$Q$83,3,0)</f>
        <v>#N/A</v>
      </c>
      <c r="D715" s="107" t="e">
        <f>VLOOKUP(B715,'Gebouwgegevens Allacker'!$J$5:$Q$83,4,0)</f>
        <v>#N/A</v>
      </c>
      <c r="E715" s="107" t="e">
        <f>VLOOKUP(B715,'Gebouwgegevens Allacker'!$J$5:$Q$83,5,0)</f>
        <v>#N/A</v>
      </c>
      <c r="F715" s="107" t="e">
        <f>VLOOKUP(B715,'Gebouwgegevens Allacker'!$J$5:$Q$83,6,0)</f>
        <v>#N/A</v>
      </c>
      <c r="G715" s="107" t="e">
        <f>VLOOKUP(B715,'Gebouwgegevens Allacker'!$J$5:$Q$83,7,0)</f>
        <v>#N/A</v>
      </c>
      <c r="H715" s="108" t="e">
        <f>VLOOKUP(B715,'Gebouwgegevens Allacker'!$J$5:$Q$83,8,0)</f>
        <v>#N/A</v>
      </c>
      <c r="I715" s="108">
        <v>1</v>
      </c>
      <c r="J715" s="98"/>
      <c r="K715" s="98"/>
      <c r="L715" s="98"/>
      <c r="M715" s="98"/>
      <c r="N715" s="98"/>
      <c r="O715" s="98"/>
      <c r="P715" s="96"/>
    </row>
    <row r="716" spans="1:16" ht="16.5" customHeight="1" thickTop="1" thickBot="1" x14ac:dyDescent="0.3">
      <c r="A716" s="95"/>
      <c r="B716" s="106" t="s">
        <v>257</v>
      </c>
      <c r="C716" s="107" t="e">
        <f>VLOOKUP(B716,'Gebouwgegevens Allacker'!$J$5:$Q$83,3,0)</f>
        <v>#N/A</v>
      </c>
      <c r="D716" s="107" t="e">
        <f>VLOOKUP(B716,'Gebouwgegevens Allacker'!$J$5:$Q$83,4,0)</f>
        <v>#N/A</v>
      </c>
      <c r="E716" s="107" t="e">
        <f>VLOOKUP(B716,'Gebouwgegevens Allacker'!$J$5:$Q$83,5,0)</f>
        <v>#N/A</v>
      </c>
      <c r="F716" s="107" t="e">
        <f>VLOOKUP(B716,'Gebouwgegevens Allacker'!$J$5:$Q$83,6,0)</f>
        <v>#N/A</v>
      </c>
      <c r="G716" s="107" t="e">
        <f>VLOOKUP(B716,'Gebouwgegevens Allacker'!$J$5:$Q$83,7,0)</f>
        <v>#N/A</v>
      </c>
      <c r="H716" s="108" t="e">
        <f>VLOOKUP(B716,'Gebouwgegevens Allacker'!$J$5:$Q$83,8,0)</f>
        <v>#N/A</v>
      </c>
      <c r="I716" s="108">
        <v>1</v>
      </c>
      <c r="J716" s="98"/>
      <c r="K716" s="98"/>
      <c r="L716" s="98"/>
      <c r="M716" s="98"/>
      <c r="N716" s="98"/>
      <c r="O716" s="98"/>
      <c r="P716" s="96"/>
    </row>
    <row r="717" spans="1:16" ht="16.5" customHeight="1" thickTop="1" thickBot="1" x14ac:dyDescent="0.3">
      <c r="A717" s="95"/>
      <c r="B717" s="106" t="s">
        <v>258</v>
      </c>
      <c r="C717" s="107" t="e">
        <f>VLOOKUP(B717,'Gebouwgegevens Allacker'!$J$5:$Q$83,3,0)</f>
        <v>#N/A</v>
      </c>
      <c r="D717" s="107" t="e">
        <f>VLOOKUP(B717,'Gebouwgegevens Allacker'!$J$5:$Q$83,4,0)</f>
        <v>#N/A</v>
      </c>
      <c r="E717" s="107" t="e">
        <f>VLOOKUP(B717,'Gebouwgegevens Allacker'!$J$5:$Q$83,5,0)</f>
        <v>#N/A</v>
      </c>
      <c r="F717" s="107" t="e">
        <f>VLOOKUP(B717,'Gebouwgegevens Allacker'!$J$5:$Q$83,6,0)</f>
        <v>#N/A</v>
      </c>
      <c r="G717" s="107" t="e">
        <f>VLOOKUP(B717,'Gebouwgegevens Allacker'!$J$5:$Q$83,7,0)</f>
        <v>#N/A</v>
      </c>
      <c r="H717" s="108" t="e">
        <f>VLOOKUP(B717,'Gebouwgegevens Allacker'!$J$5:$Q$83,8,0)</f>
        <v>#N/A</v>
      </c>
      <c r="I717" s="108">
        <v>1</v>
      </c>
      <c r="J717" s="98"/>
      <c r="K717" s="98"/>
      <c r="L717" s="98"/>
      <c r="M717" s="98"/>
      <c r="N717" s="98"/>
      <c r="O717" s="98"/>
      <c r="P717" s="96"/>
    </row>
    <row r="718" spans="1:16" ht="16.5" customHeight="1" thickTop="1" thickBot="1" x14ac:dyDescent="0.3">
      <c r="A718" s="95"/>
      <c r="B718" s="106"/>
      <c r="C718" s="107"/>
      <c r="D718" s="107"/>
      <c r="E718" s="107"/>
      <c r="F718" s="107"/>
      <c r="G718" s="107"/>
      <c r="H718" s="108"/>
      <c r="I718" s="108"/>
      <c r="J718" s="98"/>
      <c r="K718" s="98"/>
      <c r="L718" s="98"/>
      <c r="M718" s="98"/>
      <c r="N718" s="98"/>
      <c r="O718" s="98"/>
      <c r="P718" s="96"/>
    </row>
    <row r="719" spans="1:16" ht="16.5" customHeight="1" thickTop="1" thickBot="1" x14ac:dyDescent="0.3">
      <c r="A719" s="95"/>
      <c r="B719" s="106"/>
      <c r="C719" s="107"/>
      <c r="D719" s="107"/>
      <c r="E719" s="107"/>
      <c r="F719" s="107"/>
      <c r="G719" s="107"/>
      <c r="H719" s="108"/>
      <c r="I719" s="108"/>
      <c r="J719" s="98"/>
      <c r="K719" s="98"/>
      <c r="L719" s="98"/>
      <c r="M719" s="98"/>
      <c r="N719" s="98"/>
      <c r="O719" s="98"/>
      <c r="P719" s="96"/>
    </row>
    <row r="720" spans="1:16" ht="16.5" customHeight="1" thickTop="1" thickBot="1" x14ac:dyDescent="0.3">
      <c r="A720" s="95"/>
      <c r="B720" s="106"/>
      <c r="C720" s="107"/>
      <c r="D720" s="107"/>
      <c r="E720" s="107"/>
      <c r="F720" s="107"/>
      <c r="G720" s="107"/>
      <c r="H720" s="108"/>
      <c r="I720" s="108"/>
      <c r="J720" s="98"/>
      <c r="K720" s="98"/>
      <c r="L720" s="98"/>
      <c r="M720" s="98"/>
      <c r="N720" s="98"/>
      <c r="O720" s="98"/>
      <c r="P720" s="96"/>
    </row>
    <row r="721" spans="1:16" ht="16.5" customHeight="1" thickTop="1" thickBot="1" x14ac:dyDescent="0.3">
      <c r="A721" s="95"/>
      <c r="B721" s="106"/>
      <c r="C721" s="107"/>
      <c r="D721" s="107"/>
      <c r="E721" s="107"/>
      <c r="F721" s="107"/>
      <c r="G721" s="107"/>
      <c r="H721" s="108"/>
      <c r="I721" s="108"/>
      <c r="J721" s="98"/>
      <c r="K721" s="98"/>
      <c r="L721" s="98"/>
      <c r="M721" s="98"/>
      <c r="N721" s="98"/>
      <c r="O721" s="98"/>
      <c r="P721" s="96"/>
    </row>
    <row r="722" spans="1:16" ht="16.5" customHeight="1" thickTop="1" thickBot="1" x14ac:dyDescent="0.3">
      <c r="A722" s="95"/>
      <c r="B722" s="106"/>
      <c r="C722" s="107"/>
      <c r="D722" s="107"/>
      <c r="E722" s="107"/>
      <c r="F722" s="107"/>
      <c r="G722" s="107"/>
      <c r="H722" s="108"/>
      <c r="I722" s="108"/>
      <c r="J722" s="98"/>
      <c r="K722" s="98"/>
      <c r="L722" s="98"/>
      <c r="M722" s="98"/>
      <c r="N722" s="98"/>
      <c r="O722" s="98"/>
      <c r="P722" s="96"/>
    </row>
    <row r="723" spans="1:16" ht="16.5" customHeight="1" thickTop="1" thickBot="1" x14ac:dyDescent="0.3">
      <c r="A723" s="95"/>
      <c r="B723" s="106"/>
      <c r="C723" s="107"/>
      <c r="D723" s="107"/>
      <c r="E723" s="107"/>
      <c r="F723" s="107"/>
      <c r="G723" s="107"/>
      <c r="H723" s="108"/>
      <c r="I723" s="108"/>
      <c r="J723" s="98"/>
      <c r="K723" s="98"/>
      <c r="L723" s="98"/>
      <c r="M723" s="98"/>
      <c r="N723" s="98"/>
      <c r="O723" s="98"/>
      <c r="P723" s="96"/>
    </row>
    <row r="724" spans="1:16" ht="16.5" customHeight="1" thickTop="1" thickBot="1" x14ac:dyDescent="0.3">
      <c r="A724" s="95"/>
      <c r="B724" s="106"/>
      <c r="C724" s="107"/>
      <c r="D724" s="107"/>
      <c r="E724" s="107"/>
      <c r="F724" s="107"/>
      <c r="G724" s="107"/>
      <c r="H724" s="108"/>
      <c r="I724" s="108"/>
      <c r="J724" s="98"/>
      <c r="K724" s="98"/>
      <c r="L724" s="98"/>
      <c r="M724" s="98"/>
      <c r="N724" s="98"/>
      <c r="O724" s="98"/>
      <c r="P724" s="96"/>
    </row>
    <row r="725" spans="1:16" ht="16.5" customHeight="1" thickTop="1" thickBot="1" x14ac:dyDescent="0.3">
      <c r="A725" s="95"/>
      <c r="B725" s="106"/>
      <c r="C725" s="107"/>
      <c r="D725" s="107"/>
      <c r="E725" s="107"/>
      <c r="F725" s="107"/>
      <c r="G725" s="107"/>
      <c r="H725" s="108"/>
      <c r="I725" s="108"/>
      <c r="J725" s="98"/>
      <c r="K725" s="98"/>
      <c r="L725" s="98"/>
      <c r="M725" s="98"/>
      <c r="N725" s="98"/>
      <c r="O725" s="98"/>
      <c r="P725" s="96"/>
    </row>
    <row r="726" spans="1:16" ht="16.5" customHeight="1" thickTop="1" thickBot="1" x14ac:dyDescent="0.3">
      <c r="A726" s="95"/>
      <c r="B726" s="106"/>
      <c r="C726" s="107"/>
      <c r="D726" s="107"/>
      <c r="E726" s="107"/>
      <c r="F726" s="107"/>
      <c r="G726" s="107"/>
      <c r="H726" s="108"/>
      <c r="I726" s="108"/>
      <c r="J726" s="98"/>
      <c r="K726" s="98"/>
      <c r="L726" s="98"/>
      <c r="M726" s="98"/>
      <c r="N726" s="98"/>
      <c r="O726" s="98"/>
      <c r="P726" s="96"/>
    </row>
    <row r="727" spans="1:16" ht="15.75" customHeight="1" thickTop="1" x14ac:dyDescent="0.25">
      <c r="A727" s="95"/>
      <c r="B727" s="58"/>
      <c r="C727" s="58"/>
      <c r="D727" s="58"/>
      <c r="E727" s="58"/>
      <c r="F727" s="58"/>
      <c r="G727" s="114"/>
      <c r="H727" s="58"/>
      <c r="I727" s="58"/>
      <c r="J727" s="98"/>
      <c r="K727" s="98"/>
      <c r="L727" s="98"/>
      <c r="M727" s="98"/>
      <c r="N727" s="98"/>
      <c r="O727" s="98"/>
      <c r="P727" s="96"/>
    </row>
    <row r="728" spans="1:16" ht="15" customHeight="1" x14ac:dyDescent="0.25">
      <c r="A728" s="95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6"/>
    </row>
    <row r="729" spans="1:16" ht="15" customHeight="1" x14ac:dyDescent="0.25">
      <c r="A729" s="103" t="s">
        <v>177</v>
      </c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6"/>
    </row>
    <row r="730" spans="1:16" ht="15.75" customHeight="1" x14ac:dyDescent="0.25">
      <c r="A730" s="95"/>
      <c r="B730" s="58" t="s">
        <v>10</v>
      </c>
      <c r="C730" s="58" t="s">
        <v>178</v>
      </c>
      <c r="D730" s="58" t="s">
        <v>172</v>
      </c>
      <c r="E730" s="58" t="s">
        <v>179</v>
      </c>
      <c r="F730" s="58" t="s">
        <v>16</v>
      </c>
      <c r="G730" s="114" t="s">
        <v>17</v>
      </c>
      <c r="H730" s="114" t="s">
        <v>175</v>
      </c>
      <c r="I730" s="58" t="s">
        <v>180</v>
      </c>
      <c r="J730" s="58" t="s">
        <v>181</v>
      </c>
      <c r="K730" s="58" t="s">
        <v>182</v>
      </c>
      <c r="L730" s="115" t="s">
        <v>183</v>
      </c>
      <c r="M730" s="115" t="s">
        <v>184</v>
      </c>
      <c r="N730" s="115" t="s">
        <v>185</v>
      </c>
      <c r="O730" s="98"/>
      <c r="P730" s="96"/>
    </row>
    <row r="731" spans="1:16" ht="16.5" customHeight="1" thickBot="1" x14ac:dyDescent="0.3">
      <c r="A731" s="95"/>
      <c r="B731" s="116" t="s">
        <v>259</v>
      </c>
      <c r="C731" s="117" t="e">
        <f>VLOOKUP(B731,'Gebouwgegevens Allacker'!$J$5:$Q$83,3,0)</f>
        <v>#N/A</v>
      </c>
      <c r="D731" s="117" t="e">
        <f>VLOOKUP(B731,'Gebouwgegevens Allacker'!$J$5:$Q$83,4,0)</f>
        <v>#N/A</v>
      </c>
      <c r="E731" s="117" t="e">
        <f>VLOOKUP(B731,'Gebouwgegevens Allacker'!$J$5:$Q$83,5,0)</f>
        <v>#N/A</v>
      </c>
      <c r="F731" s="117" t="e">
        <f>VLOOKUP(B731,'Gebouwgegevens Allacker'!$J$5:$Q$83,7,0)</f>
        <v>#N/A</v>
      </c>
      <c r="G731" s="118" t="e">
        <f>VLOOKUP(B731,'Gebouwgegevens Allacker'!$J$5:$Q$83,8,0)</f>
        <v>#N/A</v>
      </c>
      <c r="H731" s="118" t="e">
        <f>N731/F731</f>
        <v>#N/A</v>
      </c>
      <c r="I731" s="117" t="e">
        <f>VLOOKUP(C731,'Gebouwgegevens Allacker'!$A$35:$F$46,6,0)</f>
        <v>#N/A</v>
      </c>
      <c r="J731" s="116">
        <v>4.68</v>
      </c>
      <c r="K731" s="116">
        <v>0.33</v>
      </c>
      <c r="L731" s="119" t="e">
        <f>I731/(0.5*J731)</f>
        <v>#N/A</v>
      </c>
      <c r="M731" s="119" t="e">
        <f>K731+2*(1/F731)</f>
        <v>#N/A</v>
      </c>
      <c r="N731" s="120" t="e">
        <f>IF(M731&lt;L731,2*2/(PI()*L731+M731)*LN(PI()*L731/M731+1),2/(0.457*L731+M731))</f>
        <v>#N/A</v>
      </c>
      <c r="O731" s="98"/>
      <c r="P731" s="96"/>
    </row>
    <row r="732" spans="1:16" ht="16.5" customHeight="1" thickTop="1" thickBot="1" x14ac:dyDescent="0.3">
      <c r="A732" s="95"/>
      <c r="B732" s="116"/>
      <c r="C732" s="117"/>
      <c r="D732" s="117"/>
      <c r="E732" s="117"/>
      <c r="F732" s="117"/>
      <c r="G732" s="118"/>
      <c r="H732" s="118"/>
      <c r="I732" s="117"/>
      <c r="J732" s="116"/>
      <c r="K732" s="116"/>
      <c r="L732" s="119"/>
      <c r="M732" s="119"/>
      <c r="N732" s="120"/>
      <c r="O732" s="98"/>
      <c r="P732" s="96"/>
    </row>
    <row r="733" spans="1:16" ht="16.5" customHeight="1" thickTop="1" thickBot="1" x14ac:dyDescent="0.3">
      <c r="A733" s="95"/>
      <c r="B733" s="116"/>
      <c r="C733" s="117"/>
      <c r="D733" s="117"/>
      <c r="E733" s="117"/>
      <c r="F733" s="117"/>
      <c r="G733" s="118"/>
      <c r="H733" s="118"/>
      <c r="I733" s="117"/>
      <c r="J733" s="116"/>
      <c r="K733" s="116"/>
      <c r="L733" s="119"/>
      <c r="M733" s="119"/>
      <c r="N733" s="120"/>
      <c r="O733" s="98"/>
      <c r="P733" s="96"/>
    </row>
    <row r="734" spans="1:16" ht="16.5" customHeight="1" thickTop="1" thickBot="1" x14ac:dyDescent="0.3">
      <c r="A734" s="95"/>
      <c r="B734" s="116"/>
      <c r="C734" s="117"/>
      <c r="D734" s="117"/>
      <c r="E734" s="117"/>
      <c r="F734" s="117"/>
      <c r="G734" s="118"/>
      <c r="H734" s="118"/>
      <c r="I734" s="117"/>
      <c r="J734" s="116"/>
      <c r="K734" s="116"/>
      <c r="L734" s="119"/>
      <c r="M734" s="119"/>
      <c r="N734" s="120"/>
      <c r="O734" s="98"/>
      <c r="P734" s="96"/>
    </row>
    <row r="735" spans="1:16" ht="16.5" customHeight="1" thickTop="1" thickBot="1" x14ac:dyDescent="0.3">
      <c r="A735" s="138"/>
      <c r="B735" s="116"/>
      <c r="C735" s="117"/>
      <c r="D735" s="117"/>
      <c r="E735" s="117"/>
      <c r="F735" s="117"/>
      <c r="G735" s="118"/>
      <c r="H735" s="118"/>
      <c r="I735" s="117"/>
      <c r="J735" s="116"/>
      <c r="K735" s="116"/>
      <c r="L735" s="119"/>
      <c r="M735" s="119"/>
      <c r="N735" s="120"/>
      <c r="O735" s="98"/>
      <c r="P735" s="96"/>
    </row>
    <row r="736" spans="1:16" ht="15.75" customHeight="1" thickTop="1" x14ac:dyDescent="0.25">
      <c r="A736" s="95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6"/>
    </row>
    <row r="737" spans="1:16" ht="15" customHeight="1" x14ac:dyDescent="0.25">
      <c r="A737" s="103" t="s">
        <v>186</v>
      </c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6"/>
    </row>
    <row r="738" spans="1:16" ht="15.75" customHeight="1" thickBot="1" x14ac:dyDescent="0.3">
      <c r="A738" s="95"/>
      <c r="B738" s="58" t="s">
        <v>10</v>
      </c>
      <c r="C738" s="58" t="s">
        <v>187</v>
      </c>
      <c r="D738" s="58" t="s">
        <v>188</v>
      </c>
      <c r="E738" s="58" t="s">
        <v>135</v>
      </c>
      <c r="F738" s="58" t="s">
        <v>189</v>
      </c>
      <c r="G738" s="58" t="s">
        <v>190</v>
      </c>
      <c r="H738" s="58" t="s">
        <v>191</v>
      </c>
      <c r="I738" s="58" t="s">
        <v>16</v>
      </c>
      <c r="J738" s="114" t="s">
        <v>17</v>
      </c>
      <c r="K738" s="114" t="s">
        <v>175</v>
      </c>
      <c r="L738" s="98"/>
      <c r="M738" s="98"/>
      <c r="N738" s="98"/>
      <c r="O738" s="98"/>
      <c r="P738" s="96"/>
    </row>
    <row r="739" spans="1:16" ht="16.5" customHeight="1" thickTop="1" thickBot="1" x14ac:dyDescent="0.3">
      <c r="A739" s="95"/>
      <c r="B739" s="116" t="s">
        <v>260</v>
      </c>
      <c r="C739" s="122" t="e">
        <f>IF(VLOOKUP(B739,'Gebouwgegevens Allacker'!$J$5:$Q$83,2,0)=$B$709,VLOOKUP(B739,'Gebouwgegevens Allacker'!$J$5:$Q$83,2,0),VLOOKUP(B739,'Gebouwgegevens Allacker'!$J$5:$Q$83,3,0))</f>
        <v>#N/A</v>
      </c>
      <c r="D739" s="122" t="e">
        <f>IF(VLOOKUP(B739,'Gebouwgegevens Allacker'!$J$5:$Q$83,2,0)=$B$709,VLOOKUP(B739,'Gebouwgegevens Allacker'!$J$5:$Q$83,3,0),VLOOKUP(B739,'Gebouwgegevens Allacker'!$J$5:$Q$83,2,0))</f>
        <v>#N/A</v>
      </c>
      <c r="E739" s="122" t="e">
        <f>VLOOKUP(B739,'Gebouwgegevens Allacker'!$J$5:$Q$83,4,0)</f>
        <v>#N/A</v>
      </c>
      <c r="F739" s="122" t="e">
        <f>VLOOKUP(B739,'Gebouwgegevens Allacker'!$J$5:$Q$83,5,0)</f>
        <v>#N/A</v>
      </c>
      <c r="G739" s="122" t="e">
        <f>VLOOKUP('Verwarming Tabula 2zone RefULG2'!C739,'Gebouwgegevens Allacker'!$A$35:$F$46,5,0)</f>
        <v>#N/A</v>
      </c>
      <c r="H739" s="122" t="e">
        <f>VLOOKUP('Verwarming Tabula 2zone RefULG2'!D739,'Gebouwgegevens Allacker'!$A$35:$F$46,5,0)</f>
        <v>#N/A</v>
      </c>
      <c r="I739" s="122" t="e">
        <f>VLOOKUP(B739,'Gebouwgegevens Allacker'!$J$5:$Q$83,7,0)</f>
        <v>#N/A</v>
      </c>
      <c r="J739" s="118" t="e">
        <f>VLOOKUP(B739,'Gebouwgegevens Allacker'!$J$5:$Q$83,8,0)</f>
        <v>#N/A</v>
      </c>
      <c r="K739" s="118" t="e">
        <f t="shared" ref="K739:K750" si="0">(G739-H739)/(G739-$B$4)</f>
        <v>#N/A</v>
      </c>
      <c r="L739" s="98"/>
      <c r="M739" s="98"/>
      <c r="N739" s="98"/>
      <c r="O739" s="98"/>
      <c r="P739" s="96"/>
    </row>
    <row r="740" spans="1:16" ht="16.5" customHeight="1" thickTop="1" thickBot="1" x14ac:dyDescent="0.3">
      <c r="A740" s="95"/>
      <c r="B740" s="116" t="s">
        <v>220</v>
      </c>
      <c r="C740" s="122" t="e">
        <f>IF(VLOOKUP(B740,'Gebouwgegevens Allacker'!$J$5:$Q$83,2,0)=$B$709,VLOOKUP(B740,'Gebouwgegevens Allacker'!$J$5:$Q$83,2,0),VLOOKUP(B740,'Gebouwgegevens Allacker'!$J$5:$Q$83,3,0))</f>
        <v>#N/A</v>
      </c>
      <c r="D740" s="122" t="e">
        <f>IF(VLOOKUP(B740,'Gebouwgegevens Allacker'!$J$5:$Q$83,2,0)=$B$709,VLOOKUP(B740,'Gebouwgegevens Allacker'!$J$5:$Q$83,3,0),VLOOKUP(B740,'Gebouwgegevens Allacker'!$J$5:$Q$83,2,0))</f>
        <v>#N/A</v>
      </c>
      <c r="E740" s="122" t="e">
        <f>VLOOKUP(B740,'Gebouwgegevens Allacker'!$J$5:$Q$83,4,0)</f>
        <v>#N/A</v>
      </c>
      <c r="F740" s="122" t="e">
        <f>VLOOKUP(B740,'Gebouwgegevens Allacker'!$J$5:$Q$83,5,0)</f>
        <v>#N/A</v>
      </c>
      <c r="G740" s="122" t="e">
        <f>VLOOKUP('Verwarming Tabula 2zone RefULG2'!C740,'Gebouwgegevens Allacker'!$A$35:$F$46,5,0)</f>
        <v>#N/A</v>
      </c>
      <c r="H740" s="122" t="e">
        <f>VLOOKUP('Verwarming Tabula 2zone RefULG2'!D740,'Gebouwgegevens Allacker'!$A$35:$F$46,5,0)</f>
        <v>#N/A</v>
      </c>
      <c r="I740" s="122" t="e">
        <f>VLOOKUP(B740,'Gebouwgegevens Allacker'!$J$5:$Q$83,7,0)</f>
        <v>#N/A</v>
      </c>
      <c r="J740" s="118" t="e">
        <f>VLOOKUP(B740,'Gebouwgegevens Allacker'!$J$5:$Q$83,8,0)</f>
        <v>#N/A</v>
      </c>
      <c r="K740" s="118" t="e">
        <f t="shared" si="0"/>
        <v>#N/A</v>
      </c>
      <c r="L740" s="98"/>
      <c r="M740" s="98"/>
      <c r="N740" s="98"/>
      <c r="O740" s="98"/>
      <c r="P740" s="96"/>
    </row>
    <row r="741" spans="1:16" ht="16.5" customHeight="1" thickTop="1" thickBot="1" x14ac:dyDescent="0.3">
      <c r="A741" s="95"/>
      <c r="B741" s="116" t="s">
        <v>225</v>
      </c>
      <c r="C741" s="122" t="e">
        <f>IF(VLOOKUP(B741,'Gebouwgegevens Allacker'!$J$5:$Q$83,2,0)=$B$709,VLOOKUP(B741,'Gebouwgegevens Allacker'!$J$5:$Q$83,2,0),VLOOKUP(B741,'Gebouwgegevens Allacker'!$J$5:$Q$83,3,0))</f>
        <v>#N/A</v>
      </c>
      <c r="D741" s="122" t="e">
        <f>IF(VLOOKUP(B741,'Gebouwgegevens Allacker'!$J$5:$Q$83,2,0)=$B$709,VLOOKUP(B741,'Gebouwgegevens Allacker'!$J$5:$Q$83,3,0),VLOOKUP(B741,'Gebouwgegevens Allacker'!$J$5:$Q$83,2,0))</f>
        <v>#N/A</v>
      </c>
      <c r="E741" s="122" t="e">
        <f>VLOOKUP(B741,'Gebouwgegevens Allacker'!$J$5:$Q$83,4,0)</f>
        <v>#N/A</v>
      </c>
      <c r="F741" s="122" t="e">
        <f>VLOOKUP(B741,'Gebouwgegevens Allacker'!$J$5:$Q$83,5,0)</f>
        <v>#N/A</v>
      </c>
      <c r="G741" s="122" t="e">
        <f>VLOOKUP('Verwarming Tabula 2zone RefULG2'!C741,'Gebouwgegevens Allacker'!$A$35:$F$46,5,0)</f>
        <v>#N/A</v>
      </c>
      <c r="H741" s="122" t="e">
        <f>VLOOKUP('Verwarming Tabula 2zone RefULG2'!D741,'Gebouwgegevens Allacker'!$A$35:$F$46,5,0)</f>
        <v>#N/A</v>
      </c>
      <c r="I741" s="122" t="e">
        <f>VLOOKUP(B741,'Gebouwgegevens Allacker'!$J$5:$Q$83,7,0)</f>
        <v>#N/A</v>
      </c>
      <c r="J741" s="118" t="e">
        <f>VLOOKUP(B741,'Gebouwgegevens Allacker'!$J$5:$Q$83,8,0)</f>
        <v>#N/A</v>
      </c>
      <c r="K741" s="118" t="e">
        <f t="shared" si="0"/>
        <v>#N/A</v>
      </c>
      <c r="L741" s="98"/>
      <c r="M741" s="98"/>
      <c r="N741" s="98"/>
      <c r="O741" s="98"/>
      <c r="P741" s="96"/>
    </row>
    <row r="742" spans="1:16" ht="16.5" customHeight="1" thickTop="1" thickBot="1" x14ac:dyDescent="0.3">
      <c r="A742" s="95"/>
      <c r="B742" s="116" t="s">
        <v>229</v>
      </c>
      <c r="C742" s="122" t="e">
        <f>IF(VLOOKUP(B742,'Gebouwgegevens Allacker'!$J$5:$Q$83,2,0)=$B$709,VLOOKUP(B742,'Gebouwgegevens Allacker'!$J$5:$Q$83,2,0),VLOOKUP(B742,'Gebouwgegevens Allacker'!$J$5:$Q$83,3,0))</f>
        <v>#N/A</v>
      </c>
      <c r="D742" s="122" t="e">
        <f>IF(VLOOKUP(B742,'Gebouwgegevens Allacker'!$J$5:$Q$83,2,0)=$B$709,VLOOKUP(B742,'Gebouwgegevens Allacker'!$J$5:$Q$83,3,0),VLOOKUP(B742,'Gebouwgegevens Allacker'!$J$5:$Q$83,2,0))</f>
        <v>#N/A</v>
      </c>
      <c r="E742" s="122" t="e">
        <f>VLOOKUP(B742,'Gebouwgegevens Allacker'!$J$5:$Q$83,4,0)</f>
        <v>#N/A</v>
      </c>
      <c r="F742" s="122" t="e">
        <f>VLOOKUP(B742,'Gebouwgegevens Allacker'!$J$5:$Q$83,5,0)</f>
        <v>#N/A</v>
      </c>
      <c r="G742" s="122" t="e">
        <f>VLOOKUP('Verwarming Tabula 2zone RefULG2'!C742,'Gebouwgegevens Allacker'!$A$35:$F$46,5,0)</f>
        <v>#N/A</v>
      </c>
      <c r="H742" s="122" t="e">
        <f>VLOOKUP('Verwarming Tabula 2zone RefULG2'!D742,'Gebouwgegevens Allacker'!$A$35:$F$46,5,0)</f>
        <v>#N/A</v>
      </c>
      <c r="I742" s="122" t="e">
        <f>VLOOKUP(B742,'Gebouwgegevens Allacker'!$J$5:$Q$83,7,0)</f>
        <v>#N/A</v>
      </c>
      <c r="J742" s="118" t="e">
        <f>VLOOKUP(B742,'Gebouwgegevens Allacker'!$J$5:$Q$83,8,0)</f>
        <v>#N/A</v>
      </c>
      <c r="K742" s="118" t="e">
        <f t="shared" si="0"/>
        <v>#N/A</v>
      </c>
      <c r="L742" s="98"/>
      <c r="M742" s="98"/>
      <c r="N742" s="98"/>
      <c r="O742" s="98"/>
      <c r="P742" s="96"/>
    </row>
    <row r="743" spans="1:16" ht="16.5" customHeight="1" thickTop="1" thickBot="1" x14ac:dyDescent="0.3">
      <c r="A743" s="95"/>
      <c r="B743" s="145" t="s">
        <v>234</v>
      </c>
      <c r="C743" s="122" t="e">
        <f>IF(VLOOKUP(B743,'Gebouwgegevens Allacker'!$J$5:$Q$83,2,0)=$B$709,VLOOKUP(B743,'Gebouwgegevens Allacker'!$J$5:$Q$83,2,0),VLOOKUP(B743,'Gebouwgegevens Allacker'!$J$5:$Q$83,3,0))</f>
        <v>#N/A</v>
      </c>
      <c r="D743" s="122" t="e">
        <f>IF(VLOOKUP(B743,'Gebouwgegevens Allacker'!$J$5:$Q$83,2,0)=$B$709,VLOOKUP(B743,'Gebouwgegevens Allacker'!$J$5:$Q$83,3,0),VLOOKUP(B743,'Gebouwgegevens Allacker'!$J$5:$Q$83,2,0))</f>
        <v>#N/A</v>
      </c>
      <c r="E743" s="122" t="e">
        <f>VLOOKUP(B743,'Gebouwgegevens Allacker'!$J$5:$Q$83,4,0)</f>
        <v>#N/A</v>
      </c>
      <c r="F743" s="122" t="e">
        <f>VLOOKUP(B743,'Gebouwgegevens Allacker'!$J$5:$Q$83,5,0)</f>
        <v>#N/A</v>
      </c>
      <c r="G743" s="122" t="e">
        <f>VLOOKUP('Verwarming Tabula 2zone RefULG2'!C743,'Gebouwgegevens Allacker'!$A$35:$F$46,5,0)</f>
        <v>#N/A</v>
      </c>
      <c r="H743" s="122" t="e">
        <f>VLOOKUP('Verwarming Tabula 2zone RefULG2'!D743,'Gebouwgegevens Allacker'!$A$35:$F$46,5,0)</f>
        <v>#N/A</v>
      </c>
      <c r="I743" s="122" t="e">
        <f>VLOOKUP(B743,'Gebouwgegevens Allacker'!$J$5:$Q$83,7,0)</f>
        <v>#N/A</v>
      </c>
      <c r="J743" s="118" t="e">
        <f>VLOOKUP(B743,'Gebouwgegevens Allacker'!$J$5:$Q$83,8,0)</f>
        <v>#N/A</v>
      </c>
      <c r="K743" s="118" t="e">
        <f t="shared" si="0"/>
        <v>#N/A</v>
      </c>
      <c r="L743" s="98"/>
      <c r="M743" s="98"/>
      <c r="N743" s="98"/>
      <c r="O743" s="98"/>
      <c r="P743" s="96"/>
    </row>
    <row r="744" spans="1:16" ht="16.5" customHeight="1" thickTop="1" thickBot="1" x14ac:dyDescent="0.3">
      <c r="A744" s="95"/>
      <c r="B744" s="123" t="s">
        <v>238</v>
      </c>
      <c r="C744" s="122" t="e">
        <f>IF(VLOOKUP(B744,'Gebouwgegevens Allacker'!$J$5:$Q$83,2,0)=$B$709,VLOOKUP(B744,'Gebouwgegevens Allacker'!$J$5:$Q$83,2,0),VLOOKUP(B744,'Gebouwgegevens Allacker'!$J$5:$Q$83,3,0))</f>
        <v>#N/A</v>
      </c>
      <c r="D744" s="122" t="e">
        <f>IF(VLOOKUP(B744,'Gebouwgegevens Allacker'!$J$5:$Q$83,2,0)=$B$709,VLOOKUP(B744,'Gebouwgegevens Allacker'!$J$5:$Q$83,3,0),VLOOKUP(B744,'Gebouwgegevens Allacker'!$J$5:$Q$83,2,0))</f>
        <v>#N/A</v>
      </c>
      <c r="E744" s="122" t="e">
        <f>VLOOKUP(B744,'Gebouwgegevens Allacker'!$J$5:$Q$83,4,0)</f>
        <v>#N/A</v>
      </c>
      <c r="F744" s="122" t="e">
        <f>VLOOKUP(B744,'Gebouwgegevens Allacker'!$J$5:$Q$83,5,0)</f>
        <v>#N/A</v>
      </c>
      <c r="G744" s="122" t="e">
        <f>VLOOKUP('Verwarming Tabula 2zone RefULG2'!C744,'Gebouwgegevens Allacker'!$A$35:$F$46,5,0)</f>
        <v>#N/A</v>
      </c>
      <c r="H744" s="122" t="e">
        <f>VLOOKUP('Verwarming Tabula 2zone RefULG2'!D744,'Gebouwgegevens Allacker'!$A$35:$F$46,5,0)</f>
        <v>#N/A</v>
      </c>
      <c r="I744" s="122" t="e">
        <f>VLOOKUP(B744,'Gebouwgegevens Allacker'!$J$5:$Q$83,7,0)</f>
        <v>#N/A</v>
      </c>
      <c r="J744" s="118" t="e">
        <f>VLOOKUP(B744,'Gebouwgegevens Allacker'!$J$5:$Q$83,8,0)</f>
        <v>#N/A</v>
      </c>
      <c r="K744" s="118" t="e">
        <f t="shared" si="0"/>
        <v>#N/A</v>
      </c>
      <c r="L744" s="98"/>
      <c r="M744" s="98"/>
      <c r="N744" s="98"/>
      <c r="O744" s="98"/>
      <c r="P744" s="96"/>
    </row>
    <row r="745" spans="1:16" ht="16.5" customHeight="1" thickTop="1" thickBot="1" x14ac:dyDescent="0.3">
      <c r="A745" s="95"/>
      <c r="B745" s="123" t="s">
        <v>261</v>
      </c>
      <c r="C745" s="122" t="e">
        <f>IF(VLOOKUP(B745,'Gebouwgegevens Allacker'!$J$5:$Q$83,2,0)=$B$709,VLOOKUP(B745,'Gebouwgegevens Allacker'!$J$5:$Q$83,2,0),VLOOKUP(B745,'Gebouwgegevens Allacker'!$J$5:$Q$83,3,0))</f>
        <v>#N/A</v>
      </c>
      <c r="D745" s="122" t="e">
        <f>IF(VLOOKUP(B745,'Gebouwgegevens Allacker'!$J$5:$Q$83,2,0)=$B$709,VLOOKUP(B745,'Gebouwgegevens Allacker'!$J$5:$Q$83,3,0),VLOOKUP(B745,'Gebouwgegevens Allacker'!$J$5:$Q$83,2,0))</f>
        <v>#N/A</v>
      </c>
      <c r="E745" s="122" t="e">
        <f>VLOOKUP(B745,'Gebouwgegevens Allacker'!$J$5:$Q$83,4,0)</f>
        <v>#N/A</v>
      </c>
      <c r="F745" s="122" t="e">
        <f>VLOOKUP(B745,'Gebouwgegevens Allacker'!$J$5:$Q$83,5,0)</f>
        <v>#N/A</v>
      </c>
      <c r="G745" s="122" t="e">
        <f>VLOOKUP('Verwarming Tabula 2zone RefULG2'!C745,'Gebouwgegevens Allacker'!$A$35:$F$46,5,0)</f>
        <v>#N/A</v>
      </c>
      <c r="H745" s="122" t="e">
        <f>VLOOKUP('Verwarming Tabula 2zone RefULG2'!D745,'Gebouwgegevens Allacker'!$A$35:$F$46,5,0)</f>
        <v>#N/A</v>
      </c>
      <c r="I745" s="122" t="e">
        <f>VLOOKUP(B745,'Gebouwgegevens Allacker'!$J$5:$Q$83,7,0)</f>
        <v>#N/A</v>
      </c>
      <c r="J745" s="118" t="e">
        <f>VLOOKUP(B745,'Gebouwgegevens Allacker'!$J$5:$Q$83,8,0)</f>
        <v>#N/A</v>
      </c>
      <c r="K745" s="118" t="e">
        <f t="shared" si="0"/>
        <v>#N/A</v>
      </c>
      <c r="L745" s="98"/>
      <c r="M745" s="98"/>
      <c r="N745" s="98"/>
      <c r="O745" s="98"/>
      <c r="P745" s="96"/>
    </row>
    <row r="746" spans="1:16" ht="16.5" customHeight="1" thickTop="1" thickBot="1" x14ac:dyDescent="0.3">
      <c r="A746" s="95"/>
      <c r="B746" s="123" t="s">
        <v>262</v>
      </c>
      <c r="C746" s="122" t="e">
        <f>IF(VLOOKUP(B746,'Gebouwgegevens Allacker'!$J$5:$Q$83,2,0)=$B$709,VLOOKUP(B746,'Gebouwgegevens Allacker'!$J$5:$Q$83,2,0),VLOOKUP(B746,'Gebouwgegevens Allacker'!$J$5:$Q$83,3,0))</f>
        <v>#N/A</v>
      </c>
      <c r="D746" s="122" t="e">
        <f>IF(VLOOKUP(B746,'Gebouwgegevens Allacker'!$J$5:$Q$83,2,0)=$B$709,VLOOKUP(B746,'Gebouwgegevens Allacker'!$J$5:$Q$83,3,0),VLOOKUP(B746,'Gebouwgegevens Allacker'!$J$5:$Q$83,2,0))</f>
        <v>#N/A</v>
      </c>
      <c r="E746" s="122" t="e">
        <f>VLOOKUP(B746,'Gebouwgegevens Allacker'!$J$5:$Q$83,4,0)</f>
        <v>#N/A</v>
      </c>
      <c r="F746" s="122" t="e">
        <f>VLOOKUP(B746,'Gebouwgegevens Allacker'!$J$5:$Q$83,5,0)</f>
        <v>#N/A</v>
      </c>
      <c r="G746" s="122" t="e">
        <f>VLOOKUP('Verwarming Tabula 2zone RefULG2'!C746,'Gebouwgegevens Allacker'!$A$35:$F$46,5,0)</f>
        <v>#N/A</v>
      </c>
      <c r="H746" s="122" t="e">
        <f>VLOOKUP('Verwarming Tabula 2zone RefULG2'!D746,'Gebouwgegevens Allacker'!$A$35:$F$46,5,0)</f>
        <v>#N/A</v>
      </c>
      <c r="I746" s="122" t="e">
        <f>VLOOKUP(B746,'Gebouwgegevens Allacker'!$J$5:$Q$83,7,0)</f>
        <v>#N/A</v>
      </c>
      <c r="J746" s="118" t="e">
        <f>VLOOKUP(B746,'Gebouwgegevens Allacker'!$J$5:$Q$83,8,0)</f>
        <v>#N/A</v>
      </c>
      <c r="K746" s="118" t="e">
        <f t="shared" si="0"/>
        <v>#N/A</v>
      </c>
      <c r="L746" s="98"/>
      <c r="M746" s="98"/>
      <c r="N746" s="98"/>
      <c r="O746" s="98"/>
      <c r="P746" s="96"/>
    </row>
    <row r="747" spans="1:16" ht="16.5" customHeight="1" thickTop="1" thickBot="1" x14ac:dyDescent="0.3">
      <c r="A747" s="95"/>
      <c r="B747" s="123" t="s">
        <v>263</v>
      </c>
      <c r="C747" s="122" t="e">
        <f>IF(VLOOKUP(B747,'Gebouwgegevens Allacker'!$J$5:$Q$83,2,0)=$B$709,VLOOKUP(B747,'Gebouwgegevens Allacker'!$J$5:$Q$83,2,0),VLOOKUP(B747,'Gebouwgegevens Allacker'!$J$5:$Q$83,3,0))</f>
        <v>#N/A</v>
      </c>
      <c r="D747" s="122" t="e">
        <f>IF(VLOOKUP(B747,'Gebouwgegevens Allacker'!$J$5:$Q$83,2,0)=$B$709,VLOOKUP(B747,'Gebouwgegevens Allacker'!$J$5:$Q$83,3,0),VLOOKUP(B747,'Gebouwgegevens Allacker'!$J$5:$Q$83,2,0))</f>
        <v>#N/A</v>
      </c>
      <c r="E747" s="122" t="e">
        <f>VLOOKUP(B747,'Gebouwgegevens Allacker'!$J$5:$Q$83,4,0)</f>
        <v>#N/A</v>
      </c>
      <c r="F747" s="122" t="e">
        <f>VLOOKUP(B747,'Gebouwgegevens Allacker'!$J$5:$Q$83,5,0)</f>
        <v>#N/A</v>
      </c>
      <c r="G747" s="122" t="e">
        <f>VLOOKUP('Verwarming Tabula 2zone RefULG2'!C747,'Gebouwgegevens Allacker'!$A$35:$F$46,5,0)</f>
        <v>#N/A</v>
      </c>
      <c r="H747" s="122" t="e">
        <f>VLOOKUP('Verwarming Tabula 2zone RefULG2'!D747,'Gebouwgegevens Allacker'!$A$35:$F$46,5,0)</f>
        <v>#N/A</v>
      </c>
      <c r="I747" s="122" t="e">
        <f>VLOOKUP(B747,'Gebouwgegevens Allacker'!$J$5:$Q$83,7,0)</f>
        <v>#N/A</v>
      </c>
      <c r="J747" s="118" t="e">
        <f>VLOOKUP(B747,'Gebouwgegevens Allacker'!$J$5:$Q$83,8,0)</f>
        <v>#N/A</v>
      </c>
      <c r="K747" s="118" t="e">
        <f t="shared" si="0"/>
        <v>#N/A</v>
      </c>
      <c r="L747" s="98"/>
      <c r="M747" s="98"/>
      <c r="N747" s="98"/>
      <c r="O747" s="98"/>
      <c r="P747" s="96"/>
    </row>
    <row r="748" spans="1:16" ht="16.5" customHeight="1" thickTop="1" thickBot="1" x14ac:dyDescent="0.3">
      <c r="A748" s="95"/>
      <c r="B748" s="123" t="s">
        <v>226</v>
      </c>
      <c r="C748" s="122" t="e">
        <f>IF(VLOOKUP(B748,'Gebouwgegevens Allacker'!$J$5:$Q$83,2,0)=$B$709,VLOOKUP(B748,'Gebouwgegevens Allacker'!$J$5:$Q$83,2,0),VLOOKUP(B748,'Gebouwgegevens Allacker'!$J$5:$Q$83,3,0))</f>
        <v>#N/A</v>
      </c>
      <c r="D748" s="122" t="e">
        <f>IF(VLOOKUP(B748,'Gebouwgegevens Allacker'!$J$5:$Q$83,2,0)=$B$709,VLOOKUP(B748,'Gebouwgegevens Allacker'!$J$5:$Q$83,3,0),VLOOKUP(B748,'Gebouwgegevens Allacker'!$J$5:$Q$83,2,0))</f>
        <v>#N/A</v>
      </c>
      <c r="E748" s="122" t="e">
        <f>VLOOKUP(B748,'Gebouwgegevens Allacker'!$J$5:$Q$83,4,0)</f>
        <v>#N/A</v>
      </c>
      <c r="F748" s="122" t="e">
        <f>VLOOKUP(B748,'Gebouwgegevens Allacker'!$J$5:$Q$83,5,0)</f>
        <v>#N/A</v>
      </c>
      <c r="G748" s="122" t="e">
        <f>VLOOKUP('Verwarming Tabula 2zone RefULG2'!C748,'Gebouwgegevens Allacker'!$A$35:$F$46,5,0)</f>
        <v>#N/A</v>
      </c>
      <c r="H748" s="122" t="e">
        <f>VLOOKUP('Verwarming Tabula 2zone RefULG2'!D748,'Gebouwgegevens Allacker'!$A$35:$F$46,5,0)</f>
        <v>#N/A</v>
      </c>
      <c r="I748" s="122" t="e">
        <f>VLOOKUP(B748,'Gebouwgegevens Allacker'!$J$5:$Q$83,7,0)</f>
        <v>#N/A</v>
      </c>
      <c r="J748" s="118" t="e">
        <f>VLOOKUP(B748,'Gebouwgegevens Allacker'!$J$5:$Q$83,8,0)</f>
        <v>#N/A</v>
      </c>
      <c r="K748" s="118" t="e">
        <f t="shared" si="0"/>
        <v>#N/A</v>
      </c>
      <c r="L748" s="98"/>
      <c r="M748" s="98"/>
      <c r="N748" s="98"/>
      <c r="O748" s="98"/>
      <c r="P748" s="96"/>
    </row>
    <row r="749" spans="1:16" ht="16.5" customHeight="1" thickTop="1" thickBot="1" x14ac:dyDescent="0.3">
      <c r="A749" s="95"/>
      <c r="B749" s="123" t="s">
        <v>264</v>
      </c>
      <c r="C749" s="122" t="e">
        <f>IF(VLOOKUP(B749,'Gebouwgegevens Allacker'!$J$5:$Q$83,2,0)=$B$709,VLOOKUP(B749,'Gebouwgegevens Allacker'!$J$5:$Q$83,2,0),VLOOKUP(B749,'Gebouwgegevens Allacker'!$J$5:$Q$83,3,0))</f>
        <v>#N/A</v>
      </c>
      <c r="D749" s="122" t="e">
        <f>IF(VLOOKUP(B749,'Gebouwgegevens Allacker'!$J$5:$Q$83,2,0)=$B$709,VLOOKUP(B749,'Gebouwgegevens Allacker'!$J$5:$Q$83,3,0),VLOOKUP(B749,'Gebouwgegevens Allacker'!$J$5:$Q$83,2,0))</f>
        <v>#N/A</v>
      </c>
      <c r="E749" s="122" t="e">
        <f>VLOOKUP(B749,'Gebouwgegevens Allacker'!$J$5:$Q$83,4,0)</f>
        <v>#N/A</v>
      </c>
      <c r="F749" s="122" t="e">
        <f>VLOOKUP(B749,'Gebouwgegevens Allacker'!$J$5:$Q$83,5,0)</f>
        <v>#N/A</v>
      </c>
      <c r="G749" s="122" t="e">
        <f>VLOOKUP('Verwarming Tabula 2zone RefULG2'!C749,'Gebouwgegevens Allacker'!$A$35:$F$46,5,0)</f>
        <v>#N/A</v>
      </c>
      <c r="H749" s="122" t="e">
        <f>VLOOKUP('Verwarming Tabula 2zone RefULG2'!D749,'Gebouwgegevens Allacker'!$A$35:$F$46,5,0)</f>
        <v>#N/A</v>
      </c>
      <c r="I749" s="122" t="e">
        <f>VLOOKUP(B749,'Gebouwgegevens Allacker'!$J$5:$Q$83,7,0)</f>
        <v>#N/A</v>
      </c>
      <c r="J749" s="118" t="e">
        <f>VLOOKUP(B749,'Gebouwgegevens Allacker'!$J$5:$Q$83,8,0)</f>
        <v>#N/A</v>
      </c>
      <c r="K749" s="118" t="e">
        <f t="shared" si="0"/>
        <v>#N/A</v>
      </c>
      <c r="L749" s="98"/>
      <c r="M749" s="98"/>
      <c r="N749" s="98"/>
      <c r="O749" s="98"/>
      <c r="P749" s="96"/>
    </row>
    <row r="750" spans="1:16" ht="16.5" customHeight="1" thickTop="1" thickBot="1" x14ac:dyDescent="0.3">
      <c r="A750" s="95"/>
      <c r="B750" s="123" t="s">
        <v>265</v>
      </c>
      <c r="C750" s="122" t="e">
        <f>IF(VLOOKUP(B750,'Gebouwgegevens Allacker'!$J$5:$Q$83,2,0)=$B$709,VLOOKUP(B750,'Gebouwgegevens Allacker'!$J$5:$Q$83,2,0),VLOOKUP(B750,'Gebouwgegevens Allacker'!$J$5:$Q$83,3,0))</f>
        <v>#N/A</v>
      </c>
      <c r="D750" s="122" t="e">
        <f>IF(VLOOKUP(B750,'Gebouwgegevens Allacker'!$J$5:$Q$83,2,0)=$B$709,VLOOKUP(B750,'Gebouwgegevens Allacker'!$J$5:$Q$83,3,0),VLOOKUP(B750,'Gebouwgegevens Allacker'!$J$5:$Q$83,2,0))</f>
        <v>#N/A</v>
      </c>
      <c r="E750" s="122" t="e">
        <f>VLOOKUP(B750,'Gebouwgegevens Allacker'!$J$5:$Q$83,4,0)</f>
        <v>#N/A</v>
      </c>
      <c r="F750" s="122" t="e">
        <f>VLOOKUP(B750,'Gebouwgegevens Allacker'!$J$5:$Q$83,5,0)</f>
        <v>#N/A</v>
      </c>
      <c r="G750" s="122" t="e">
        <f>VLOOKUP('Verwarming Tabula 2zone RefULG2'!C750,'Gebouwgegevens Allacker'!$A$35:$F$46,5,0)</f>
        <v>#N/A</v>
      </c>
      <c r="H750" s="122" t="e">
        <f>VLOOKUP('Verwarming Tabula 2zone RefULG2'!D750,'Gebouwgegevens Allacker'!$A$35:$F$46,5,0)</f>
        <v>#N/A</v>
      </c>
      <c r="I750" s="122" t="e">
        <f>VLOOKUP(B750,'Gebouwgegevens Allacker'!$J$5:$Q$83,7,0)</f>
        <v>#N/A</v>
      </c>
      <c r="J750" s="118" t="e">
        <f>VLOOKUP(B750,'Gebouwgegevens Allacker'!$J$5:$Q$83,8,0)</f>
        <v>#N/A</v>
      </c>
      <c r="K750" s="118" t="e">
        <f t="shared" si="0"/>
        <v>#N/A</v>
      </c>
      <c r="L750" s="98"/>
      <c r="M750" s="98"/>
      <c r="N750" s="98"/>
      <c r="O750" s="98"/>
      <c r="P750" s="96"/>
    </row>
    <row r="751" spans="1:16" ht="16.5" customHeight="1" thickTop="1" x14ac:dyDescent="0.25">
      <c r="A751" s="103" t="s">
        <v>192</v>
      </c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6"/>
    </row>
    <row r="752" spans="1:16" ht="16.5" customHeight="1" x14ac:dyDescent="0.25">
      <c r="A752" s="124" t="s">
        <v>193</v>
      </c>
      <c r="B752" s="118" t="e">
        <f>SUMPRODUCT(H715:H726,I715:I726)+SUMPRODUCT(G731:G735,H731:H735)+SUMPRODUCT(J739:J750,K739:K750)</f>
        <v>#N/A</v>
      </c>
      <c r="C752" s="118" t="s">
        <v>107</v>
      </c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6"/>
    </row>
    <row r="753" spans="1:16" ht="16.5" customHeight="1" x14ac:dyDescent="0.25">
      <c r="A753" s="124" t="s">
        <v>167</v>
      </c>
      <c r="B753" s="118" t="e">
        <f>B752*(G739-$B$4)</f>
        <v>#N/A</v>
      </c>
      <c r="C753" s="118" t="s">
        <v>169</v>
      </c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6"/>
    </row>
    <row r="754" spans="1:16" ht="15.75" customHeight="1" thickBot="1" x14ac:dyDescent="0.3">
      <c r="A754" s="109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1"/>
    </row>
    <row r="755" spans="1:16" ht="15.75" customHeight="1" thickTop="1" x14ac:dyDescent="0.25">
      <c r="A755" s="343" t="s">
        <v>194</v>
      </c>
      <c r="B755" s="343"/>
      <c r="C755" s="343"/>
      <c r="D755" s="125" t="s">
        <v>222</v>
      </c>
      <c r="E755" s="328"/>
      <c r="F755" s="328"/>
      <c r="G755" s="328"/>
      <c r="H755" s="328"/>
      <c r="I755" s="328"/>
      <c r="J755" s="328"/>
      <c r="K755" s="328"/>
      <c r="L755" s="328"/>
      <c r="M755" s="328"/>
      <c r="N755" s="328"/>
      <c r="O755" s="328"/>
      <c r="P755" s="94"/>
    </row>
    <row r="756" spans="1:16" ht="15" customHeight="1" x14ac:dyDescent="0.25">
      <c r="A756" s="95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6"/>
    </row>
    <row r="757" spans="1:16" ht="15" customHeight="1" thickBot="1" x14ac:dyDescent="0.3">
      <c r="A757" s="126" t="s">
        <v>195</v>
      </c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6"/>
    </row>
    <row r="758" spans="1:16" ht="15" customHeight="1" thickTop="1" thickBot="1" x14ac:dyDescent="0.3">
      <c r="A758" s="127" t="s">
        <v>196</v>
      </c>
      <c r="B758" s="121">
        <v>8</v>
      </c>
      <c r="C758" s="120" t="s">
        <v>197</v>
      </c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6"/>
    </row>
    <row r="759" spans="1:16" ht="15" customHeight="1" thickTop="1" thickBot="1" x14ac:dyDescent="0.3">
      <c r="A759" s="127" t="s">
        <v>198</v>
      </c>
      <c r="B759" s="121">
        <v>0.03</v>
      </c>
      <c r="C759" s="120" t="s">
        <v>199</v>
      </c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6"/>
    </row>
    <row r="760" spans="1:16" ht="15.75" customHeight="1" thickTop="1" thickBot="1" x14ac:dyDescent="0.3">
      <c r="A760" s="127" t="s">
        <v>200</v>
      </c>
      <c r="B760" s="121">
        <v>1</v>
      </c>
      <c r="C760" s="120" t="s">
        <v>201</v>
      </c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6"/>
    </row>
    <row r="761" spans="1:16" ht="16.5" customHeight="1" thickTop="1" x14ac:dyDescent="0.25">
      <c r="A761" s="124" t="s">
        <v>202</v>
      </c>
      <c r="B761" s="118" t="e">
        <f>2*VLOOKUP(B709,'Gebouwgegevens Allacker'!$A$35:$F$46,6,0)*B758*B759*B760</f>
        <v>#N/A</v>
      </c>
      <c r="C761" s="118" t="s">
        <v>203</v>
      </c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6"/>
    </row>
    <row r="762" spans="1:16" ht="15.75" customHeight="1" x14ac:dyDescent="0.25">
      <c r="A762" s="138"/>
      <c r="B762" s="58"/>
      <c r="C762" s="5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6"/>
    </row>
    <row r="763" spans="1:16" ht="15" customHeight="1" x14ac:dyDescent="0.25">
      <c r="A763" s="146" t="s">
        <v>204</v>
      </c>
      <c r="B763" s="58"/>
      <c r="C763" s="5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6"/>
    </row>
    <row r="764" spans="1:16" ht="15.75" customHeight="1" x14ac:dyDescent="0.25">
      <c r="A764" s="138" t="s">
        <v>180</v>
      </c>
      <c r="B764" s="58" t="e">
        <f>VLOOKUP(B709,'Gebouwgegevens Allacker'!$A$35:$F$46,6,0)</f>
        <v>#N/A</v>
      </c>
      <c r="C764" s="5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6"/>
    </row>
    <row r="765" spans="1:16" ht="16.5" customHeight="1" x14ac:dyDescent="0.25">
      <c r="A765" s="124" t="s">
        <v>205</v>
      </c>
      <c r="B765" s="118">
        <v>0</v>
      </c>
      <c r="C765" s="118" t="s">
        <v>203</v>
      </c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6"/>
    </row>
    <row r="766" spans="1:16" ht="15.75" customHeight="1" x14ac:dyDescent="0.25">
      <c r="A766" s="138"/>
      <c r="B766" s="58"/>
      <c r="C766" s="5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6"/>
    </row>
    <row r="767" spans="1:16" ht="15.75" customHeight="1" x14ac:dyDescent="0.25">
      <c r="A767" s="138"/>
      <c r="B767" s="58"/>
      <c r="C767" s="5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6"/>
    </row>
    <row r="768" spans="1:16" ht="16.5" customHeight="1" x14ac:dyDescent="0.25">
      <c r="A768" s="124" t="s">
        <v>207</v>
      </c>
      <c r="B768" s="118" t="e">
        <f>MAX(B761,B765)</f>
        <v>#N/A</v>
      </c>
      <c r="C768" s="118" t="s">
        <v>203</v>
      </c>
      <c r="D768" s="98"/>
      <c r="E768" s="98"/>
      <c r="F768" s="118" t="s">
        <v>208</v>
      </c>
      <c r="G768" s="118" t="e">
        <f>B768/VLOOKUP(B709,'Gebouwgegevens Allacker'!$A$35:$B$46,2,0)</f>
        <v>#N/A</v>
      </c>
      <c r="H768" s="98"/>
      <c r="I768" s="98"/>
      <c r="J768" s="98"/>
      <c r="K768" s="98"/>
      <c r="L768" s="98"/>
      <c r="M768" s="98"/>
      <c r="N768" s="98"/>
      <c r="O768" s="98"/>
      <c r="P768" s="96"/>
    </row>
    <row r="769" spans="1:16" ht="16.5" customHeight="1" x14ac:dyDescent="0.25">
      <c r="A769" s="138"/>
      <c r="B769" s="58"/>
      <c r="C769" s="5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6"/>
    </row>
    <row r="770" spans="1:16" ht="16.5" customHeight="1" x14ac:dyDescent="0.25">
      <c r="A770" s="124" t="s">
        <v>209</v>
      </c>
      <c r="B770" s="118" t="e">
        <f>0.34*B768</f>
        <v>#N/A</v>
      </c>
      <c r="C770" s="118" t="s">
        <v>107</v>
      </c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6"/>
    </row>
    <row r="771" spans="1:16" ht="16.5" customHeight="1" x14ac:dyDescent="0.25">
      <c r="A771" s="124" t="s">
        <v>167</v>
      </c>
      <c r="B771" s="118" t="e">
        <f>B770*('Gebouwgegevens Allacker'!E731-$B$4)</f>
        <v>#N/A</v>
      </c>
      <c r="C771" s="118" t="s">
        <v>169</v>
      </c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6"/>
    </row>
    <row r="772" spans="1:16" ht="15.75" customHeight="1" thickBot="1" x14ac:dyDescent="0.3">
      <c r="A772" s="140"/>
      <c r="B772" s="141"/>
      <c r="C772" s="141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1"/>
    </row>
    <row r="773" spans="1:16" ht="15.75" customHeight="1" thickTop="1" x14ac:dyDescent="0.25">
      <c r="A773" s="343" t="s">
        <v>210</v>
      </c>
      <c r="B773" s="343"/>
      <c r="C773" s="343"/>
      <c r="D773" s="343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6"/>
    </row>
    <row r="774" spans="1:16" ht="15" customHeight="1" thickBot="1" x14ac:dyDescent="0.3">
      <c r="A774" s="95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6"/>
    </row>
    <row r="775" spans="1:16" ht="15" customHeight="1" thickTop="1" thickBot="1" x14ac:dyDescent="0.3">
      <c r="A775" s="127" t="s">
        <v>211</v>
      </c>
      <c r="B775" s="121">
        <v>0</v>
      </c>
      <c r="C775" s="58" t="s">
        <v>232</v>
      </c>
      <c r="D775" s="5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6"/>
    </row>
    <row r="776" spans="1:16" ht="15.75" customHeight="1" thickTop="1" x14ac:dyDescent="0.25">
      <c r="A776" s="3" t="s">
        <v>113</v>
      </c>
      <c r="B776" s="58" t="e">
        <f>VLOOKUP(B709,'Gebouwgegevens Allacker'!$A$35:$F$46,6,0)</f>
        <v>#N/A</v>
      </c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6"/>
    </row>
    <row r="777" spans="1:16" ht="16.5" customHeight="1" x14ac:dyDescent="0.25">
      <c r="A777" s="124" t="s">
        <v>213</v>
      </c>
      <c r="B777" s="118" t="e">
        <f>B778/('Gebouwgegevens Allacker'!E731-'Verwarming Tabula 2zone RefULG2'!$B$4)</f>
        <v>#N/A</v>
      </c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6"/>
    </row>
    <row r="778" spans="1:16" ht="16.5" customHeight="1" x14ac:dyDescent="0.25">
      <c r="A778" s="124" t="s">
        <v>167</v>
      </c>
      <c r="B778" s="118" t="e">
        <f>B775*B776</f>
        <v>#N/A</v>
      </c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6"/>
    </row>
    <row r="779" spans="1:16" ht="15.75" customHeight="1" x14ac:dyDescent="0.25">
      <c r="A779" s="95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6"/>
    </row>
    <row r="780" spans="1:16" ht="15.75" customHeight="1" thickBot="1" x14ac:dyDescent="0.3">
      <c r="A780" s="95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6"/>
    </row>
    <row r="781" spans="1:16" ht="15.75" customHeight="1" thickTop="1" thickBot="1" x14ac:dyDescent="0.3">
      <c r="A781" s="129" t="s">
        <v>214</v>
      </c>
      <c r="B781" s="130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1"/>
    </row>
    <row r="782" spans="1:16" ht="16.5" customHeight="1" thickTop="1" x14ac:dyDescent="0.25">
      <c r="A782" s="124" t="s">
        <v>215</v>
      </c>
      <c r="B782" s="118" t="e">
        <f>SUM(B752,B770,B777)</f>
        <v>#N/A</v>
      </c>
      <c r="C782" s="118" t="s">
        <v>107</v>
      </c>
      <c r="D782" s="132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P782" s="133"/>
    </row>
    <row r="783" spans="1:16" ht="16.5" customHeight="1" x14ac:dyDescent="0.25">
      <c r="A783" s="124" t="s">
        <v>167</v>
      </c>
      <c r="B783" s="118" t="e">
        <f>SUM(B753,B771,B778)</f>
        <v>#N/A</v>
      </c>
      <c r="C783" s="118" t="s">
        <v>169</v>
      </c>
      <c r="D783" s="132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  <c r="O783" s="132"/>
      <c r="P783" s="133"/>
    </row>
    <row r="784" spans="1:16" ht="16.5" customHeight="1" thickBot="1" x14ac:dyDescent="0.3">
      <c r="A784" s="134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6"/>
    </row>
  </sheetData>
  <mergeCells count="32">
    <mergeCell ref="A755:C755"/>
    <mergeCell ref="A773:D773"/>
    <mergeCell ref="A597:C597"/>
    <mergeCell ref="A615:D615"/>
    <mergeCell ref="A631:D631"/>
    <mergeCell ref="A676:C676"/>
    <mergeCell ref="A694:D694"/>
    <mergeCell ref="A710:D710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Normal="100" workbookViewId="0">
      <selection activeCell="J30" sqref="J30"/>
    </sheetView>
  </sheetViews>
  <sheetFormatPr defaultRowHeight="15" x14ac:dyDescent="0.25"/>
  <cols>
    <col min="2" max="2" width="11.5703125"/>
    <col min="4" max="4" width="19.5703125"/>
  </cols>
  <sheetData>
    <row r="1" spans="1:9" x14ac:dyDescent="0.25">
      <c r="A1" s="149" t="s">
        <v>279</v>
      </c>
    </row>
    <row r="3" spans="1:9" x14ac:dyDescent="0.25">
      <c r="A3" s="150" t="s">
        <v>280</v>
      </c>
    </row>
    <row r="4" spans="1:9" x14ac:dyDescent="0.25">
      <c r="A4" t="s">
        <v>281</v>
      </c>
      <c r="B4" s="3">
        <f>SUM('Gebouwgegevens Tabula 2zone'!R6:R9)</f>
        <v>39.521718678758312</v>
      </c>
      <c r="C4" t="s">
        <v>107</v>
      </c>
    </row>
    <row r="5" spans="1:9" x14ac:dyDescent="0.25">
      <c r="A5" t="s">
        <v>282</v>
      </c>
      <c r="B5" s="3">
        <f>F5+I5</f>
        <v>108.82147832440332</v>
      </c>
      <c r="C5" t="s">
        <v>107</v>
      </c>
      <c r="E5" s="14" t="s">
        <v>283</v>
      </c>
      <c r="F5" s="30">
        <f>'Verwarming Tabula 2zone'!B60</f>
        <v>49.146478324403319</v>
      </c>
      <c r="G5" s="14"/>
      <c r="H5" s="14" t="s">
        <v>284</v>
      </c>
      <c r="I5" s="30">
        <f>SUM('Gebouwgegevens Tabula 2zone'!R10:R13)</f>
        <v>59.674999999999997</v>
      </c>
    </row>
    <row r="6" spans="1:9" x14ac:dyDescent="0.25">
      <c r="A6" t="s">
        <v>285</v>
      </c>
      <c r="B6" s="3">
        <f>SUM('Gebouwgegevens Tabula 2zone'!O6:O9*'Gebouwgegevens Tabula 2zone'!AA21)</f>
        <v>30.542916550093757</v>
      </c>
      <c r="C6" t="s">
        <v>107</v>
      </c>
    </row>
    <row r="7" spans="1:9" x14ac:dyDescent="0.25">
      <c r="A7" t="s">
        <v>286</v>
      </c>
      <c r="B7" s="3">
        <f>'Gebouwgegevens Tabula 2zone'!R14</f>
        <v>68.860465116279073</v>
      </c>
      <c r="C7" t="s">
        <v>107</v>
      </c>
      <c r="D7" s="14" t="s">
        <v>287</v>
      </c>
    </row>
    <row r="8" spans="1:9" x14ac:dyDescent="0.25">
      <c r="A8" t="s">
        <v>288</v>
      </c>
      <c r="B8" s="3">
        <f>B4+B5+B7</f>
        <v>217.20366211944071</v>
      </c>
      <c r="D8" s="14"/>
    </row>
    <row r="9" spans="1:9" x14ac:dyDescent="0.25">
      <c r="B9" s="3"/>
      <c r="D9" s="14"/>
    </row>
    <row r="10" spans="1:9" x14ac:dyDescent="0.25">
      <c r="B10" t="s">
        <v>289</v>
      </c>
      <c r="D10" t="s">
        <v>290</v>
      </c>
    </row>
    <row r="11" spans="1:9" x14ac:dyDescent="0.25">
      <c r="A11" t="s">
        <v>291</v>
      </c>
      <c r="B11" s="151">
        <f>SUM('Gebouwgegevens Tabula 2zone'!S6:S9)</f>
        <v>16718401.936500005</v>
      </c>
      <c r="C11" s="151" t="s">
        <v>292</v>
      </c>
      <c r="D11" s="151">
        <f>SUM('Gebouwgegevens Tabula 2zone'!U6:U9)</f>
        <v>8856365.1000000015</v>
      </c>
      <c r="E11" t="s">
        <v>292</v>
      </c>
    </row>
    <row r="12" spans="1:9" x14ac:dyDescent="0.25">
      <c r="A12" t="s">
        <v>122</v>
      </c>
      <c r="B12" s="151">
        <f>'Gebouwgegevens Tabula 2zone'!B34*5*1012*1.204</f>
        <v>2204781.6560000004</v>
      </c>
      <c r="C12" t="s">
        <v>292</v>
      </c>
      <c r="D12" s="151">
        <f>B12</f>
        <v>2204781.6560000004</v>
      </c>
      <c r="E12" t="s">
        <v>292</v>
      </c>
    </row>
    <row r="13" spans="1:9" x14ac:dyDescent="0.25">
      <c r="A13" t="s">
        <v>293</v>
      </c>
      <c r="B13" s="151">
        <f>SUM('Gebouwgegevens Tabula 2zone'!O6:O9)*'Gebouwgegevens Tabula 2zone'!AE21</f>
        <v>13048563.000000004</v>
      </c>
      <c r="C13" t="s">
        <v>292</v>
      </c>
      <c r="D13" s="151">
        <f>B13</f>
        <v>13048563.000000004</v>
      </c>
      <c r="E13" t="s">
        <v>292</v>
      </c>
    </row>
    <row r="14" spans="1:9" x14ac:dyDescent="0.25">
      <c r="A14" t="s">
        <v>294</v>
      </c>
      <c r="B14" s="151">
        <f>'Gebouwgegevens Tabula 2zone'!S14</f>
        <v>48110861.920000002</v>
      </c>
      <c r="C14" s="151" t="s">
        <v>292</v>
      </c>
      <c r="D14" s="151">
        <f>'Gebouwgegevens Tabula 2zone'!U14</f>
        <v>11473264</v>
      </c>
      <c r="E14" s="151" t="s">
        <v>292</v>
      </c>
      <c r="F14" s="151"/>
    </row>
    <row r="16" spans="1:9" x14ac:dyDescent="0.25">
      <c r="A16" t="s">
        <v>295</v>
      </c>
      <c r="B16">
        <f>B11+B13</f>
        <v>29766964.936500009</v>
      </c>
      <c r="D16">
        <f>D11+D13</f>
        <v>21904928.100000005</v>
      </c>
    </row>
    <row r="17" spans="1:9" x14ac:dyDescent="0.25">
      <c r="A17" t="s">
        <v>296</v>
      </c>
      <c r="B17" s="152">
        <f>SUM(B11:B14)</f>
        <v>80082608.512500018</v>
      </c>
      <c r="D17" s="152">
        <f>SUM(D11:D14)</f>
        <v>35582973.756000005</v>
      </c>
    </row>
    <row r="18" spans="1:9" x14ac:dyDescent="0.25">
      <c r="A18" s="150" t="s">
        <v>63</v>
      </c>
    </row>
    <row r="19" spans="1:9" x14ac:dyDescent="0.25">
      <c r="A19" t="s">
        <v>297</v>
      </c>
      <c r="B19" s="3">
        <f>'Gebouwgegevens Tabula 2zone'!R26</f>
        <v>129.92840646651271</v>
      </c>
      <c r="C19" t="s">
        <v>107</v>
      </c>
    </row>
    <row r="20" spans="1:9" x14ac:dyDescent="0.25">
      <c r="A20" t="s">
        <v>298</v>
      </c>
      <c r="B20" s="151">
        <f>'Gebouwgegevens Tabula 2zone'!S26</f>
        <v>41572722.000000007</v>
      </c>
      <c r="C20" s="151" t="s">
        <v>292</v>
      </c>
      <c r="D20" s="151">
        <f>'Gebouwgegevens Tabula 2zone'!U26</f>
        <v>41572722.000000007</v>
      </c>
      <c r="E20" t="s">
        <v>292</v>
      </c>
    </row>
    <row r="22" spans="1:9" x14ac:dyDescent="0.25">
      <c r="A22" s="150" t="s">
        <v>299</v>
      </c>
    </row>
    <row r="23" spans="1:9" x14ac:dyDescent="0.25">
      <c r="A23" t="s">
        <v>281</v>
      </c>
      <c r="B23" s="3">
        <f>SUM('Gebouwgegevens Tabula 2zone'!R17:R20)</f>
        <v>46.09593107019586</v>
      </c>
      <c r="C23" t="s">
        <v>107</v>
      </c>
    </row>
    <row r="24" spans="1:9" x14ac:dyDescent="0.25">
      <c r="A24" t="s">
        <v>282</v>
      </c>
      <c r="B24" s="3">
        <f>SUM(F24,I24)</f>
        <v>94.168521675596679</v>
      </c>
      <c r="C24" t="s">
        <v>107</v>
      </c>
      <c r="E24" s="14" t="s">
        <v>283</v>
      </c>
      <c r="F24" s="30">
        <f>'Verwarming Tabula 2zone'!B139</f>
        <v>34.493521675596689</v>
      </c>
      <c r="G24" s="14"/>
      <c r="H24" s="14" t="s">
        <v>284</v>
      </c>
      <c r="I24" s="30">
        <f>SUM('Gebouwgegevens Tabula 2zone'!R21:R24)</f>
        <v>59.674999999999997</v>
      </c>
    </row>
    <row r="25" spans="1:9" x14ac:dyDescent="0.25">
      <c r="A25" t="s">
        <v>285</v>
      </c>
      <c r="B25" s="3">
        <f>SUM('Gebouwgegevens Tabula 2zone'!O17:O20)*'Gebouwgegevens Tabula 2zone'!AA21</f>
        <v>133.86766192007352</v>
      </c>
      <c r="C25" t="s">
        <v>107</v>
      </c>
    </row>
    <row r="26" spans="1:9" x14ac:dyDescent="0.25">
      <c r="A26" t="s">
        <v>300</v>
      </c>
      <c r="B26" s="3">
        <f>'Gebouwgegevens Tabula 2zone'!R25</f>
        <v>65.072650625099584</v>
      </c>
      <c r="C26" t="s">
        <v>107</v>
      </c>
      <c r="D26" s="14" t="s">
        <v>287</v>
      </c>
    </row>
    <row r="27" spans="1:9" x14ac:dyDescent="0.25">
      <c r="A27" t="s">
        <v>288</v>
      </c>
      <c r="B27" s="3">
        <f>B23+B24+B26</f>
        <v>205.33710337089212</v>
      </c>
      <c r="D27" s="14"/>
    </row>
    <row r="28" spans="1:9" x14ac:dyDescent="0.25">
      <c r="B28" s="3"/>
      <c r="D28" s="14"/>
    </row>
    <row r="29" spans="1:9" x14ac:dyDescent="0.25">
      <c r="B29" t="s">
        <v>289</v>
      </c>
      <c r="D29" t="s">
        <v>290</v>
      </c>
    </row>
    <row r="30" spans="1:9" x14ac:dyDescent="0.25">
      <c r="A30" t="s">
        <v>291</v>
      </c>
      <c r="B30" s="151">
        <f>SUM('Gebouwgegevens Tabula 2zone'!S17:S20)</f>
        <v>19499412.703500003</v>
      </c>
      <c r="C30" s="151" t="s">
        <v>292</v>
      </c>
      <c r="D30" s="151">
        <f>SUM('Gebouwgegevens Tabula 2zone'!U17:U20)</f>
        <v>10329570.9</v>
      </c>
      <c r="E30" t="s">
        <v>292</v>
      </c>
    </row>
    <row r="31" spans="1:9" x14ac:dyDescent="0.25">
      <c r="A31" t="s">
        <v>122</v>
      </c>
      <c r="B31" s="151">
        <f>'Gebouwgegevens Tabula 2zone'!B35*5*1012*1.204</f>
        <v>1547428.9599999997</v>
      </c>
      <c r="C31" t="s">
        <v>292</v>
      </c>
      <c r="D31" s="151">
        <f>B31</f>
        <v>1547428.9599999997</v>
      </c>
      <c r="E31" t="s">
        <v>292</v>
      </c>
    </row>
    <row r="32" spans="1:9" x14ac:dyDescent="0.25">
      <c r="A32" t="s">
        <v>293</v>
      </c>
      <c r="B32" s="151">
        <f>SUM('Gebouwgegevens Tabula 2zone'!O17:O20)*'Gebouwgegevens Tabula 2zone'!AE21</f>
        <v>15219117.000000004</v>
      </c>
      <c r="C32" t="s">
        <v>292</v>
      </c>
      <c r="D32" s="151">
        <f>B32</f>
        <v>15219117.000000004</v>
      </c>
      <c r="E32" t="s">
        <v>292</v>
      </c>
    </row>
    <row r="33" spans="1:6" x14ac:dyDescent="0.25">
      <c r="A33" t="s">
        <v>301</v>
      </c>
      <c r="B33" s="151">
        <f>'Gebouwgegevens Tabula 2zone'!S25</f>
        <v>6250381.1999999993</v>
      </c>
      <c r="C33" s="151" t="s">
        <v>292</v>
      </c>
      <c r="D33" s="151">
        <f>'Gebouwgegevens Tabula 2zone'!U25</f>
        <v>2376931.2000000002</v>
      </c>
      <c r="E33" s="151" t="s">
        <v>292</v>
      </c>
      <c r="F33" s="151"/>
    </row>
    <row r="35" spans="1:6" x14ac:dyDescent="0.25">
      <c r="A35" t="s">
        <v>295</v>
      </c>
      <c r="B35">
        <f>B30+B32</f>
        <v>34718529.703500003</v>
      </c>
      <c r="D35">
        <f>D30+D32</f>
        <v>25548687.900000006</v>
      </c>
    </row>
    <row r="36" spans="1:6" x14ac:dyDescent="0.25">
      <c r="A36" t="s">
        <v>296</v>
      </c>
      <c r="B36">
        <f>B30+B31+B32+B33</f>
        <v>42516339.863500014</v>
      </c>
      <c r="D36" s="152">
        <f>SUM(D30:D33)</f>
        <v>29473048.060000002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opLeftCell="A16" zoomScale="90" zoomScaleNormal="90" workbookViewId="0">
      <selection activeCell="C37" sqref="C37"/>
    </sheetView>
  </sheetViews>
  <sheetFormatPr defaultRowHeight="15" x14ac:dyDescent="0.25"/>
  <cols>
    <col min="1" max="1" width="15" style="154" bestFit="1" customWidth="1"/>
    <col min="2" max="10" width="9.140625" style="154"/>
    <col min="11" max="11" width="12" style="154" bestFit="1" customWidth="1"/>
    <col min="12" max="16384" width="9.140625" style="154"/>
  </cols>
  <sheetData>
    <row r="1" spans="1:19" ht="20.25" thickBot="1" x14ac:dyDescent="0.35">
      <c r="A1" s="353" t="s">
        <v>304</v>
      </c>
      <c r="B1" s="353"/>
      <c r="C1" s="353"/>
      <c r="D1" s="353"/>
      <c r="E1" s="353"/>
      <c r="G1" s="154" t="s">
        <v>305</v>
      </c>
    </row>
    <row r="2" spans="1:19" ht="15.75" thickTop="1" x14ac:dyDescent="0.25">
      <c r="G2" s="154" t="s">
        <v>306</v>
      </c>
    </row>
    <row r="3" spans="1:19" ht="15.75" thickBot="1" x14ac:dyDescent="0.3">
      <c r="A3" s="155" t="s">
        <v>307</v>
      </c>
      <c r="B3" s="155" t="s">
        <v>380</v>
      </c>
      <c r="C3" s="155" t="s">
        <v>381</v>
      </c>
      <c r="D3" s="155"/>
      <c r="E3" s="156"/>
      <c r="F3" s="155"/>
      <c r="G3" s="155"/>
      <c r="H3" s="155"/>
      <c r="I3" s="155"/>
      <c r="J3" s="155"/>
      <c r="K3" s="155"/>
      <c r="L3" s="155"/>
      <c r="M3" s="155"/>
    </row>
    <row r="4" spans="1:19" x14ac:dyDescent="0.25">
      <c r="A4" s="157" t="s">
        <v>308</v>
      </c>
      <c r="B4" s="158">
        <f>'Verwarming Tabula 2zone'!W7</f>
        <v>7301.598667630069</v>
      </c>
      <c r="C4" s="158">
        <f>'Verwarming Tabula 2zone'!W8</f>
        <v>6275.5794682436572</v>
      </c>
      <c r="D4" s="158"/>
      <c r="E4" s="158"/>
      <c r="F4" s="158"/>
      <c r="G4" s="158"/>
      <c r="H4" s="158"/>
      <c r="I4" s="158"/>
      <c r="J4" s="158"/>
      <c r="K4" s="158"/>
      <c r="L4" s="158"/>
      <c r="M4" s="158"/>
      <c r="P4" s="159" t="s">
        <v>309</v>
      </c>
      <c r="Q4" s="159"/>
      <c r="R4" s="159"/>
      <c r="S4" s="159"/>
    </row>
    <row r="5" spans="1:19" x14ac:dyDescent="0.25">
      <c r="A5" s="160" t="s">
        <v>310</v>
      </c>
      <c r="B5" s="161">
        <f>B4-B6</f>
        <v>7301.598667630069</v>
      </c>
      <c r="C5" s="161">
        <f t="shared" ref="C5" si="0">C4-C6</f>
        <v>6275.5794682436572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P5" s="159"/>
      <c r="Q5" s="159"/>
      <c r="R5" s="159"/>
      <c r="S5" s="159"/>
    </row>
    <row r="6" spans="1:19" x14ac:dyDescent="0.25">
      <c r="A6" s="162" t="s">
        <v>311</v>
      </c>
      <c r="B6" s="163">
        <v>0</v>
      </c>
      <c r="C6" s="163">
        <v>0</v>
      </c>
      <c r="D6" s="163"/>
      <c r="E6" s="164"/>
      <c r="F6" s="163"/>
      <c r="G6" s="163"/>
      <c r="H6" s="163"/>
      <c r="I6" s="163"/>
      <c r="J6" s="163"/>
      <c r="K6" s="163"/>
      <c r="L6" s="163"/>
      <c r="M6" s="163"/>
      <c r="P6" s="159"/>
      <c r="Q6" s="159"/>
      <c r="R6" s="159"/>
      <c r="S6" s="159"/>
    </row>
    <row r="7" spans="1:19" x14ac:dyDescent="0.25">
      <c r="A7" s="157" t="s">
        <v>312</v>
      </c>
      <c r="B7" s="157">
        <f>'Gebouwgegevens Tabula 2zone'!B7</f>
        <v>103.4</v>
      </c>
      <c r="C7" s="157">
        <f>'Gebouwgegevens Tabula 2zone'!B8</f>
        <v>120.6</v>
      </c>
      <c r="D7" s="157"/>
      <c r="E7" s="165"/>
      <c r="F7" s="157"/>
      <c r="G7" s="157"/>
      <c r="H7" s="157"/>
      <c r="I7" s="157"/>
      <c r="J7" s="157"/>
      <c r="K7" s="157"/>
      <c r="L7" s="157"/>
      <c r="M7" s="157"/>
      <c r="P7" s="159" t="s">
        <v>313</v>
      </c>
      <c r="Q7" s="166" t="s">
        <v>314</v>
      </c>
      <c r="R7" s="166">
        <v>16.5</v>
      </c>
      <c r="S7" s="159"/>
    </row>
    <row r="8" spans="1:19" x14ac:dyDescent="0.25">
      <c r="A8" s="160" t="s">
        <v>315</v>
      </c>
      <c r="B8" s="160">
        <f>B5/B7</f>
        <v>70.615074155029674</v>
      </c>
      <c r="C8" s="160">
        <f t="shared" ref="C8" si="1">C5/C7</f>
        <v>52.036313998703626</v>
      </c>
      <c r="D8" s="160"/>
      <c r="E8" s="160"/>
      <c r="F8" s="160"/>
      <c r="G8" s="160"/>
      <c r="H8" s="160"/>
      <c r="I8" s="160"/>
      <c r="J8" s="160"/>
      <c r="K8" s="160"/>
      <c r="L8" s="160"/>
      <c r="M8" s="160"/>
      <c r="P8" s="159"/>
      <c r="Q8" s="159"/>
      <c r="R8" s="159"/>
      <c r="S8" s="159"/>
    </row>
    <row r="9" spans="1:19" x14ac:dyDescent="0.25">
      <c r="A9" s="167" t="s">
        <v>316</v>
      </c>
      <c r="B9" s="167">
        <v>31</v>
      </c>
      <c r="C9" s="167">
        <v>29</v>
      </c>
      <c r="D9" s="167"/>
      <c r="E9" s="168"/>
      <c r="F9" s="167"/>
      <c r="G9" s="167"/>
      <c r="H9" s="167"/>
      <c r="I9" s="167"/>
      <c r="J9" s="167"/>
      <c r="K9" s="167"/>
      <c r="L9" s="167"/>
      <c r="M9" s="167"/>
    </row>
    <row r="10" spans="1:19" x14ac:dyDescent="0.25">
      <c r="A10" s="157" t="s">
        <v>317</v>
      </c>
      <c r="B10" s="158">
        <f>'Gebouwgegevens Tabula 2zone'!E34</f>
        <v>21</v>
      </c>
      <c r="C10" s="157">
        <f>'Gebouwgegevens Tabula 2zone'!E35</f>
        <v>18</v>
      </c>
      <c r="D10" s="157"/>
      <c r="E10" s="165"/>
      <c r="F10" s="157"/>
      <c r="G10" s="157"/>
      <c r="H10" s="157"/>
      <c r="I10" s="157"/>
      <c r="J10" s="157"/>
      <c r="K10" s="157"/>
      <c r="L10" s="157"/>
      <c r="M10" s="157"/>
    </row>
    <row r="11" spans="1:19" x14ac:dyDescent="0.25">
      <c r="A11" s="160" t="s">
        <v>318</v>
      </c>
      <c r="B11" s="160">
        <f>8.92*(B9-B10)^1.1</f>
        <v>112.29614673203979</v>
      </c>
      <c r="C11" s="160">
        <f>12*(C9-C10)</f>
        <v>132</v>
      </c>
      <c r="D11" s="160"/>
      <c r="E11" s="169"/>
      <c r="F11" s="160"/>
      <c r="G11" s="160"/>
      <c r="H11" s="160"/>
      <c r="I11" s="160"/>
      <c r="J11" s="160"/>
      <c r="K11" s="160"/>
      <c r="L11" s="160"/>
      <c r="M11" s="160"/>
      <c r="N11" s="170"/>
    </row>
    <row r="12" spans="1:19" x14ac:dyDescent="0.25">
      <c r="A12" s="171" t="s">
        <v>319</v>
      </c>
      <c r="B12" s="171" t="b">
        <f t="shared" ref="B12:C12" si="2">IF(B11&lt;B8,FALSE,TRUE)</f>
        <v>1</v>
      </c>
      <c r="C12" s="171" t="b">
        <f t="shared" si="2"/>
        <v>1</v>
      </c>
      <c r="D12" s="171"/>
      <c r="E12" s="171"/>
      <c r="F12" s="171"/>
      <c r="G12" s="171"/>
      <c r="H12" s="171"/>
      <c r="I12" s="171"/>
      <c r="J12" s="171"/>
      <c r="K12" s="171"/>
      <c r="L12" s="171"/>
      <c r="M12" s="171"/>
    </row>
    <row r="13" spans="1:19" ht="15.75" thickBot="1" x14ac:dyDescent="0.3">
      <c r="A13" s="160" t="s">
        <v>320</v>
      </c>
      <c r="B13" s="160">
        <f t="shared" ref="B13:C13" si="3">IF(B12=TRUE,B8,B11)</f>
        <v>70.615074155029674</v>
      </c>
      <c r="C13" s="172">
        <f t="shared" si="3"/>
        <v>52.036313998703626</v>
      </c>
      <c r="D13" s="160"/>
      <c r="E13" s="160"/>
      <c r="F13" s="160"/>
      <c r="G13" s="160"/>
      <c r="H13" s="160"/>
      <c r="I13" s="160"/>
      <c r="J13" s="160"/>
      <c r="K13" s="160"/>
      <c r="L13" s="160"/>
      <c r="M13" s="160"/>
    </row>
    <row r="14" spans="1:19" ht="16.5" thickTop="1" thickBot="1" x14ac:dyDescent="0.3">
      <c r="A14" s="160" t="s">
        <v>321</v>
      </c>
      <c r="B14" s="160">
        <f>B13/12+B10</f>
        <v>26.884589512919138</v>
      </c>
      <c r="C14" s="160">
        <f t="shared" ref="C14" si="4">C13/12+C10</f>
        <v>22.336359499891969</v>
      </c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P14" s="173" t="s">
        <v>322</v>
      </c>
      <c r="Q14" s="173"/>
    </row>
    <row r="15" spans="1:19" ht="16.5" thickTop="1" thickBot="1" x14ac:dyDescent="0.3">
      <c r="A15" s="160" t="s">
        <v>323</v>
      </c>
      <c r="B15" s="160">
        <f>$Q$16</f>
        <v>50</v>
      </c>
      <c r="C15" s="160">
        <f t="shared" ref="C15" si="5">$Q$16</f>
        <v>50</v>
      </c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P15" s="173" t="s">
        <v>324</v>
      </c>
      <c r="Q15" s="173">
        <f>SUM(B4:K4)/SUM(B7:K7)</f>
        <v>60.612402392293419</v>
      </c>
    </row>
    <row r="16" spans="1:19" ht="16.5" thickTop="1" thickBot="1" x14ac:dyDescent="0.3">
      <c r="A16" s="157" t="s">
        <v>325</v>
      </c>
      <c r="B16" s="157">
        <v>40</v>
      </c>
      <c r="C16" s="157">
        <f>B16</f>
        <v>40</v>
      </c>
      <c r="D16" s="157"/>
      <c r="E16" s="165"/>
      <c r="F16" s="157"/>
      <c r="G16" s="157"/>
      <c r="H16" s="157"/>
      <c r="I16" s="157"/>
      <c r="J16" s="157"/>
      <c r="K16" s="157"/>
      <c r="L16" s="157"/>
      <c r="M16" s="157"/>
      <c r="N16" s="174" t="s">
        <v>326</v>
      </c>
      <c r="P16" s="173" t="s">
        <v>323</v>
      </c>
      <c r="Q16" s="196">
        <v>50</v>
      </c>
    </row>
    <row r="17" spans="1:20" ht="15.75" thickTop="1" x14ac:dyDescent="0.25">
      <c r="A17" s="157" t="s">
        <v>327</v>
      </c>
      <c r="B17" s="157">
        <v>45</v>
      </c>
      <c r="C17" s="157">
        <v>45</v>
      </c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74" t="s">
        <v>328</v>
      </c>
    </row>
    <row r="18" spans="1:20" x14ac:dyDescent="0.25">
      <c r="A18" s="157" t="s">
        <v>329</v>
      </c>
      <c r="B18" s="157">
        <v>0.35</v>
      </c>
      <c r="C18" s="157">
        <v>0.35</v>
      </c>
      <c r="D18" s="157"/>
      <c r="E18" s="165"/>
      <c r="F18" s="157"/>
      <c r="G18" s="157"/>
      <c r="H18" s="157"/>
      <c r="I18" s="157"/>
      <c r="J18" s="157"/>
      <c r="K18" s="157"/>
      <c r="L18" s="157"/>
      <c r="M18" s="157"/>
      <c r="N18" s="174" t="s">
        <v>330</v>
      </c>
    </row>
    <row r="19" spans="1:20" x14ac:dyDescent="0.25">
      <c r="A19" s="157" t="s">
        <v>331</v>
      </c>
      <c r="B19" s="157">
        <f>SUM('Gebouwgegevens Tabula 2zone'!Z42:Z43)</f>
        <v>0.1</v>
      </c>
      <c r="C19" s="157">
        <f>SUM('Gebouwgegevens Tabula 2zone'!Z29:Z30)</f>
        <v>0.1</v>
      </c>
      <c r="D19" s="157"/>
      <c r="E19" s="165"/>
      <c r="F19" s="175"/>
      <c r="G19" s="175"/>
      <c r="H19" s="175"/>
      <c r="I19" s="157"/>
      <c r="J19" s="157"/>
      <c r="K19" s="157"/>
      <c r="L19" s="157"/>
      <c r="M19" s="157"/>
    </row>
    <row r="20" spans="1:20" x14ac:dyDescent="0.25">
      <c r="A20" s="157" t="s">
        <v>332</v>
      </c>
      <c r="B20" s="157">
        <f>SUM('Gebouwgegevens Tabula 2zone'!AD42:AD43)</f>
        <v>0.14761904761904762</v>
      </c>
      <c r="C20" s="157">
        <f>SUM('Gebouwgegevens Tabula 2zone'!AD29:AD30)</f>
        <v>0.24444444444444446</v>
      </c>
      <c r="D20" s="157"/>
      <c r="E20" s="165"/>
      <c r="F20" s="175"/>
      <c r="G20" s="175"/>
      <c r="H20" s="175"/>
      <c r="I20" s="157"/>
      <c r="J20" s="157"/>
      <c r="K20" s="157"/>
      <c r="L20" s="157"/>
      <c r="M20" s="157"/>
    </row>
    <row r="21" spans="1:20" x14ac:dyDescent="0.25">
      <c r="A21" s="160" t="s">
        <v>333</v>
      </c>
      <c r="B21" s="160">
        <f>B19/B20</f>
        <v>0.67741935483870974</v>
      </c>
      <c r="C21" s="160">
        <f t="shared" ref="C21" si="6">C19/C20</f>
        <v>0.40909090909090906</v>
      </c>
      <c r="D21" s="160"/>
      <c r="E21" s="160"/>
      <c r="F21" s="160"/>
      <c r="G21" s="160"/>
      <c r="H21" s="160"/>
      <c r="I21" s="160"/>
      <c r="J21" s="160"/>
      <c r="K21" s="160"/>
      <c r="L21" s="160"/>
      <c r="M21" s="160"/>
    </row>
    <row r="22" spans="1:20" x14ac:dyDescent="0.25">
      <c r="A22" s="176" t="s">
        <v>334</v>
      </c>
      <c r="B22" s="176" t="b">
        <f>IF(B20&lt;0.2,TRUE,FALSE)</f>
        <v>1</v>
      </c>
      <c r="C22" s="176" t="b">
        <f t="shared" ref="C22" si="7">IF(C20&lt;0.2,TRUE,FALSE)</f>
        <v>0</v>
      </c>
      <c r="D22" s="176"/>
      <c r="E22" s="177"/>
      <c r="F22" s="176"/>
      <c r="G22" s="176"/>
      <c r="H22" s="176"/>
      <c r="I22" s="176"/>
      <c r="J22" s="176"/>
      <c r="K22" s="176"/>
      <c r="L22" s="176"/>
      <c r="M22" s="176"/>
    </row>
    <row r="23" spans="1:20" x14ac:dyDescent="0.25">
      <c r="A23" s="160" t="s">
        <v>335</v>
      </c>
      <c r="B23" s="160">
        <f>B17-B10</f>
        <v>24</v>
      </c>
      <c r="C23" s="160">
        <f t="shared" ref="C23" si="8">C17-C10</f>
        <v>27</v>
      </c>
      <c r="D23" s="160"/>
      <c r="E23" s="160"/>
      <c r="F23" s="160"/>
      <c r="G23" s="160"/>
      <c r="H23" s="160"/>
      <c r="I23" s="160"/>
      <c r="J23" s="160"/>
      <c r="K23" s="160"/>
      <c r="L23" s="160"/>
      <c r="M23" s="160"/>
    </row>
    <row r="24" spans="1:20" x14ac:dyDescent="0.25">
      <c r="A24" s="160" t="s">
        <v>336</v>
      </c>
      <c r="B24" s="160">
        <f t="shared" ref="B24:C24" si="9">B8/B23</f>
        <v>2.9422947564595696</v>
      </c>
      <c r="C24" s="160">
        <f t="shared" si="9"/>
        <v>1.9272708888408749</v>
      </c>
      <c r="D24" s="160"/>
      <c r="E24" s="160"/>
      <c r="F24" s="160"/>
      <c r="G24" s="160"/>
      <c r="H24" s="160"/>
      <c r="I24" s="160"/>
      <c r="J24" s="160"/>
      <c r="K24" s="160"/>
      <c r="L24" s="160"/>
      <c r="M24" s="160"/>
    </row>
    <row r="25" spans="1:20" x14ac:dyDescent="0.25">
      <c r="A25" s="162" t="s">
        <v>337</v>
      </c>
      <c r="B25" s="197">
        <v>4.3</v>
      </c>
      <c r="C25" s="162">
        <v>2.09</v>
      </c>
      <c r="D25" s="162"/>
      <c r="E25" s="178"/>
      <c r="F25" s="162"/>
      <c r="G25" s="162"/>
      <c r="H25" s="162"/>
      <c r="I25" s="162"/>
      <c r="J25" s="162"/>
      <c r="K25" s="162"/>
      <c r="L25" s="162"/>
      <c r="M25" s="162"/>
      <c r="N25" s="174" t="s">
        <v>338</v>
      </c>
      <c r="T25" s="198" t="s">
        <v>383</v>
      </c>
    </row>
    <row r="26" spans="1:20" s="181" customFormat="1" x14ac:dyDescent="0.25">
      <c r="A26" s="179" t="s">
        <v>339</v>
      </c>
      <c r="B26" s="179">
        <v>0.15</v>
      </c>
      <c r="C26" s="179">
        <v>0.3</v>
      </c>
      <c r="D26" s="179"/>
      <c r="E26" s="178"/>
      <c r="F26" s="179"/>
      <c r="G26" s="179"/>
      <c r="H26" s="179"/>
      <c r="I26" s="179"/>
      <c r="J26" s="179"/>
      <c r="K26" s="179"/>
      <c r="L26" s="179"/>
      <c r="M26" s="179"/>
      <c r="N26" s="180" t="s">
        <v>340</v>
      </c>
    </row>
    <row r="27" spans="1:20" x14ac:dyDescent="0.25">
      <c r="A27" s="162" t="s">
        <v>341</v>
      </c>
      <c r="B27" s="162">
        <v>0.02</v>
      </c>
      <c r="C27" s="162">
        <v>1.6E-2</v>
      </c>
      <c r="D27" s="162"/>
      <c r="E27" s="178"/>
      <c r="F27" s="162"/>
      <c r="G27" s="162"/>
      <c r="H27" s="162"/>
      <c r="I27" s="162"/>
      <c r="J27" s="162"/>
      <c r="K27" s="162"/>
      <c r="L27" s="162"/>
      <c r="M27" s="162"/>
      <c r="N27" s="174" t="s">
        <v>342</v>
      </c>
      <c r="P27" s="154" t="s">
        <v>382</v>
      </c>
    </row>
    <row r="28" spans="1:20" x14ac:dyDescent="0.25">
      <c r="A28" s="162" t="s">
        <v>343</v>
      </c>
      <c r="B28" s="162">
        <v>2E-3</v>
      </c>
      <c r="C28" s="162">
        <f>B28</f>
        <v>2E-3</v>
      </c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74" t="s">
        <v>344</v>
      </c>
    </row>
    <row r="29" spans="1:20" x14ac:dyDescent="0.25">
      <c r="A29" s="182" t="s">
        <v>345</v>
      </c>
      <c r="B29" s="183" t="b">
        <f>IF(B26*0.3&gt;B19,FALSE,TRUE)</f>
        <v>1</v>
      </c>
      <c r="C29" s="182" t="b">
        <f t="shared" ref="C29" si="10">IF(C26*0.3&gt;C19,FALSE,TRUE)</f>
        <v>1</v>
      </c>
      <c r="D29" s="182"/>
      <c r="E29" s="177"/>
      <c r="F29" s="183"/>
      <c r="G29" s="183"/>
      <c r="H29" s="183"/>
      <c r="I29" s="182"/>
      <c r="J29" s="184"/>
      <c r="K29" s="184"/>
      <c r="L29" s="182"/>
      <c r="M29" s="182"/>
      <c r="N29" s="174"/>
      <c r="R29" s="154">
        <v>4</v>
      </c>
    </row>
    <row r="30" spans="1:20" x14ac:dyDescent="0.25">
      <c r="A30" s="160" t="s">
        <v>346</v>
      </c>
      <c r="B30" s="160">
        <f>B25*B23</f>
        <v>103.19999999999999</v>
      </c>
      <c r="C30" s="160">
        <f t="shared" ref="C30" si="11">C25*C23</f>
        <v>56.429999999999993</v>
      </c>
      <c r="D30" s="160"/>
      <c r="E30" s="169"/>
      <c r="F30" s="160"/>
      <c r="G30" s="160"/>
      <c r="H30" s="160"/>
      <c r="I30" s="160"/>
      <c r="J30" s="160"/>
      <c r="K30" s="160"/>
      <c r="L30" s="160"/>
      <c r="M30" s="160"/>
    </row>
    <row r="31" spans="1:20" x14ac:dyDescent="0.25">
      <c r="A31" s="176" t="s">
        <v>347</v>
      </c>
      <c r="B31" s="176" t="b">
        <f t="shared" ref="B31:C31" si="12">IF(B30&gt;B8,TRUE,FALSE)</f>
        <v>1</v>
      </c>
      <c r="C31" s="176" t="b">
        <f t="shared" si="12"/>
        <v>1</v>
      </c>
      <c r="D31" s="176"/>
      <c r="E31" s="177"/>
      <c r="F31" s="176"/>
      <c r="G31" s="176"/>
      <c r="H31" s="176"/>
      <c r="I31" s="176"/>
      <c r="J31" s="176"/>
      <c r="K31" s="176"/>
      <c r="L31" s="176"/>
      <c r="M31" s="176"/>
    </row>
    <row r="32" spans="1:20" x14ac:dyDescent="0.25">
      <c r="A32" s="157" t="s">
        <v>331</v>
      </c>
      <c r="B32" s="157">
        <f>SUM('Gebouwgegevens Tabula 2zone'!Z44:Z46)</f>
        <v>0.24000000000000002</v>
      </c>
      <c r="C32" s="157">
        <f>SUM('Gebouwgegevens Tabula 2zone'!Z31:Z32)</f>
        <v>0.22</v>
      </c>
      <c r="D32" s="157"/>
      <c r="E32" s="165"/>
      <c r="F32" s="157"/>
      <c r="G32" s="157"/>
      <c r="H32" s="157"/>
      <c r="I32" s="157"/>
      <c r="J32" s="157"/>
      <c r="K32" s="157"/>
      <c r="L32" s="157"/>
      <c r="M32" s="157"/>
    </row>
    <row r="33" spans="1:14" x14ac:dyDescent="0.25">
      <c r="A33" s="157" t="s">
        <v>332</v>
      </c>
      <c r="B33" s="157">
        <f>SUM('Gebouwgegevens Tabula 2zone'!AD44:AD46)</f>
        <v>1.253968253968254</v>
      </c>
      <c r="C33" s="157">
        <f>SUM('Gebouwgegevens Tabula 2zone'!AD31:AD32)</f>
        <v>0.1761904761904762</v>
      </c>
      <c r="D33" s="157"/>
      <c r="E33" s="185"/>
      <c r="F33" s="185"/>
      <c r="G33" s="185"/>
      <c r="H33" s="157"/>
      <c r="I33" s="157"/>
      <c r="J33" s="157"/>
      <c r="K33" s="157"/>
      <c r="L33" s="157"/>
      <c r="M33" s="157"/>
    </row>
    <row r="34" spans="1:14" x14ac:dyDescent="0.25">
      <c r="A34" s="186" t="s">
        <v>348</v>
      </c>
      <c r="B34" s="154">
        <v>12</v>
      </c>
      <c r="C34" s="154">
        <v>22</v>
      </c>
      <c r="E34" s="187"/>
    </row>
    <row r="35" spans="1:14" x14ac:dyDescent="0.25">
      <c r="A35" s="186" t="s">
        <v>349</v>
      </c>
      <c r="B35" s="154">
        <f>B17-B34</f>
        <v>33</v>
      </c>
      <c r="C35" s="154">
        <f t="shared" ref="C35" si="13">C17-C34</f>
        <v>23</v>
      </c>
      <c r="E35" s="187"/>
    </row>
    <row r="36" spans="1:14" x14ac:dyDescent="0.25">
      <c r="A36" s="188" t="s">
        <v>350</v>
      </c>
      <c r="B36" s="189">
        <v>0.01</v>
      </c>
      <c r="C36" s="189">
        <v>0.1</v>
      </c>
      <c r="D36" s="189"/>
      <c r="E36" s="190"/>
      <c r="F36" s="189"/>
      <c r="G36" s="189"/>
      <c r="H36" s="189"/>
      <c r="I36" s="189"/>
      <c r="J36" s="189"/>
      <c r="K36" s="189"/>
      <c r="L36" s="189"/>
      <c r="M36" s="189"/>
      <c r="N36" s="154" t="s">
        <v>351</v>
      </c>
    </row>
    <row r="37" spans="1:14" x14ac:dyDescent="0.25">
      <c r="A37" s="186" t="s">
        <v>352</v>
      </c>
      <c r="B37" s="154">
        <f>B36*B35</f>
        <v>0.33</v>
      </c>
      <c r="C37" s="154">
        <f t="shared" ref="C37" si="14">C36*C35</f>
        <v>2.3000000000000003</v>
      </c>
      <c r="E37" s="187"/>
    </row>
    <row r="38" spans="1:14" x14ac:dyDescent="0.25">
      <c r="A38" s="160" t="s">
        <v>353</v>
      </c>
      <c r="B38" s="160">
        <f>B7/B26</f>
        <v>689.33333333333337</v>
      </c>
      <c r="C38" s="160">
        <f t="shared" ref="C38" si="15">C7/C26</f>
        <v>402</v>
      </c>
      <c r="D38" s="160"/>
      <c r="E38" s="169"/>
      <c r="F38" s="160"/>
      <c r="G38" s="160"/>
      <c r="H38" s="160"/>
      <c r="I38" s="160"/>
      <c r="J38" s="160"/>
      <c r="K38" s="160"/>
      <c r="L38" s="160"/>
      <c r="M38" s="160"/>
    </row>
    <row r="39" spans="1:14" x14ac:dyDescent="0.25">
      <c r="A39" s="160" t="s">
        <v>354</v>
      </c>
      <c r="B39" s="160">
        <f>(B8+B37)*B38*B26</f>
        <v>7335.7206676300684</v>
      </c>
      <c r="C39" s="160">
        <f t="shared" ref="C39" si="16">(C8+C37)*C38*C26</f>
        <v>6552.9594682436573</v>
      </c>
      <c r="D39" s="160"/>
      <c r="E39" s="169"/>
      <c r="F39" s="160"/>
      <c r="G39" s="160"/>
      <c r="H39" s="160"/>
      <c r="I39" s="160"/>
      <c r="J39" s="160"/>
      <c r="K39" s="160"/>
      <c r="L39" s="160"/>
      <c r="M39" s="160"/>
    </row>
    <row r="40" spans="1:14" x14ac:dyDescent="0.25">
      <c r="A40" s="186" t="s">
        <v>355</v>
      </c>
      <c r="B40" s="154">
        <f>B39/4181/(B15-B16)</f>
        <v>0.17545373517412266</v>
      </c>
      <c r="C40" s="154">
        <f t="shared" ref="C40" si="17">C39/4181/(C15-C16)</f>
        <v>0.15673186960640176</v>
      </c>
      <c r="E40" s="187"/>
    </row>
    <row r="41" spans="1:14" x14ac:dyDescent="0.25">
      <c r="A41" s="186" t="s">
        <v>356</v>
      </c>
      <c r="B41" s="154">
        <f>B40/1000/(PI()*(B27-2*B28)^2/4)</f>
        <v>0.87263528865306161</v>
      </c>
      <c r="C41" s="154">
        <f t="shared" ref="C41" si="18">C40/1000/(PI()*(C27-2*C28)^2/4)</f>
        <v>1.3858139882162908</v>
      </c>
    </row>
    <row r="42" spans="1:14" x14ac:dyDescent="0.25">
      <c r="E42" s="187"/>
    </row>
    <row r="44" spans="1:14" ht="20.25" thickBot="1" x14ac:dyDescent="0.35">
      <c r="A44" s="191" t="s">
        <v>357</v>
      </c>
    </row>
    <row r="45" spans="1:14" ht="21" thickTop="1" thickBot="1" x14ac:dyDescent="0.35">
      <c r="A45" s="191" t="s">
        <v>358</v>
      </c>
      <c r="B45" s="192" t="s">
        <v>359</v>
      </c>
      <c r="C45" s="192" t="s">
        <v>360</v>
      </c>
      <c r="D45" s="192" t="s">
        <v>370</v>
      </c>
      <c r="E45" s="192" t="s">
        <v>371</v>
      </c>
      <c r="F45" s="192" t="s">
        <v>372</v>
      </c>
      <c r="G45" s="192" t="s">
        <v>373</v>
      </c>
      <c r="H45" s="192" t="s">
        <v>374</v>
      </c>
      <c r="I45" s="192" t="s">
        <v>375</v>
      </c>
      <c r="J45" s="192" t="s">
        <v>376</v>
      </c>
      <c r="K45" s="192" t="s">
        <v>377</v>
      </c>
      <c r="L45" s="192" t="s">
        <v>378</v>
      </c>
      <c r="M45" s="192" t="s">
        <v>379</v>
      </c>
    </row>
    <row r="46" spans="1:14" ht="15.75" thickTop="1" x14ac:dyDescent="0.25">
      <c r="A46" s="192" t="s">
        <v>361</v>
      </c>
      <c r="B46" s="192">
        <f>B26</f>
        <v>0.15</v>
      </c>
      <c r="C46" s="192">
        <f t="shared" ref="C46:C48" si="19">C26</f>
        <v>0.3</v>
      </c>
      <c r="D46" s="192"/>
      <c r="E46" s="192"/>
      <c r="F46" s="192"/>
      <c r="G46" s="192"/>
      <c r="H46" s="192"/>
      <c r="I46" s="192"/>
      <c r="J46" s="192"/>
      <c r="K46" s="192"/>
      <c r="L46" s="192"/>
      <c r="M46" s="192"/>
    </row>
    <row r="47" spans="1:14" x14ac:dyDescent="0.25">
      <c r="A47" s="192" t="s">
        <v>362</v>
      </c>
      <c r="B47" s="192">
        <f>B27</f>
        <v>0.02</v>
      </c>
      <c r="C47" s="192">
        <f t="shared" si="19"/>
        <v>1.6E-2</v>
      </c>
      <c r="D47" s="192"/>
      <c r="E47" s="192"/>
      <c r="F47" s="192"/>
      <c r="G47" s="192"/>
      <c r="H47" s="192"/>
      <c r="I47" s="192"/>
      <c r="J47" s="192"/>
      <c r="K47" s="192"/>
      <c r="L47" s="192"/>
      <c r="M47" s="192"/>
    </row>
    <row r="48" spans="1:14" x14ac:dyDescent="0.25">
      <c r="A48" s="192" t="s">
        <v>343</v>
      </c>
      <c r="B48" s="192">
        <f>B28</f>
        <v>2E-3</v>
      </c>
      <c r="C48" s="192">
        <f t="shared" si="19"/>
        <v>2E-3</v>
      </c>
      <c r="D48" s="192"/>
      <c r="E48" s="192"/>
      <c r="F48" s="192"/>
      <c r="G48" s="192"/>
      <c r="H48" s="192"/>
      <c r="I48" s="192"/>
      <c r="J48" s="192"/>
      <c r="K48" s="192"/>
      <c r="L48" s="192"/>
      <c r="M48" s="192"/>
    </row>
    <row r="49" spans="1:13" x14ac:dyDescent="0.25">
      <c r="A49" s="192" t="s">
        <v>363</v>
      </c>
      <c r="B49" s="193">
        <f>B19</f>
        <v>0.1</v>
      </c>
      <c r="C49" s="192">
        <f t="shared" ref="C49" si="20">C19</f>
        <v>0.1</v>
      </c>
      <c r="D49" s="192"/>
      <c r="E49" s="192"/>
      <c r="F49" s="192"/>
      <c r="G49" s="192"/>
      <c r="H49" s="192"/>
      <c r="I49" s="192"/>
      <c r="J49" s="192"/>
      <c r="K49" s="192"/>
      <c r="L49" s="192"/>
      <c r="M49" s="192"/>
    </row>
    <row r="50" spans="1:13" x14ac:dyDescent="0.25">
      <c r="A50" s="192" t="s">
        <v>364</v>
      </c>
      <c r="B50" s="192">
        <f>B32</f>
        <v>0.24000000000000002</v>
      </c>
      <c r="C50" s="192">
        <f t="shared" ref="C50" si="21">C32</f>
        <v>0.22</v>
      </c>
      <c r="D50" s="192"/>
      <c r="E50" s="192"/>
      <c r="F50" s="192"/>
      <c r="G50" s="192"/>
      <c r="H50" s="192"/>
      <c r="I50" s="192"/>
      <c r="J50" s="192"/>
      <c r="K50" s="192"/>
      <c r="L50" s="192"/>
      <c r="M50" s="192"/>
    </row>
    <row r="51" spans="1:13" x14ac:dyDescent="0.25">
      <c r="A51" s="192" t="s">
        <v>365</v>
      </c>
      <c r="B51" s="192">
        <f>B7</f>
        <v>103.4</v>
      </c>
      <c r="C51" s="192">
        <f t="shared" ref="C51" si="22">C7</f>
        <v>120.6</v>
      </c>
      <c r="D51" s="192"/>
      <c r="E51" s="192"/>
      <c r="F51" s="192"/>
      <c r="G51" s="192"/>
      <c r="H51" s="192"/>
      <c r="I51" s="192"/>
      <c r="J51" s="192"/>
      <c r="K51" s="192"/>
      <c r="L51" s="192"/>
      <c r="M51" s="192"/>
    </row>
    <row r="52" spans="1:13" x14ac:dyDescent="0.25">
      <c r="A52" s="192" t="s">
        <v>366</v>
      </c>
      <c r="B52" s="192">
        <f>B21</f>
        <v>0.67741935483870974</v>
      </c>
      <c r="C52" s="192">
        <f t="shared" ref="C52" si="23">C21</f>
        <v>0.40909090909090906</v>
      </c>
      <c r="D52" s="192"/>
      <c r="E52" s="192"/>
      <c r="F52" s="192"/>
      <c r="G52" s="192"/>
      <c r="H52" s="192"/>
      <c r="I52" s="192"/>
      <c r="J52" s="192"/>
      <c r="K52" s="192"/>
      <c r="L52" s="192"/>
      <c r="M52" s="192"/>
    </row>
    <row r="53" spans="1:13" x14ac:dyDescent="0.25">
      <c r="A53" s="192" t="s">
        <v>367</v>
      </c>
      <c r="B53" s="192">
        <v>840</v>
      </c>
      <c r="C53" s="192">
        <v>840</v>
      </c>
      <c r="D53" s="192"/>
      <c r="E53" s="192"/>
      <c r="F53" s="192"/>
      <c r="G53" s="192"/>
      <c r="H53" s="192"/>
      <c r="I53" s="192"/>
      <c r="J53" s="192"/>
      <c r="K53" s="192"/>
      <c r="L53" s="192"/>
      <c r="M53" s="192"/>
    </row>
    <row r="54" spans="1:13" x14ac:dyDescent="0.25">
      <c r="A54" s="192" t="s">
        <v>368</v>
      </c>
      <c r="B54" s="192">
        <v>2100</v>
      </c>
      <c r="C54" s="192">
        <v>2100</v>
      </c>
      <c r="D54" s="192"/>
      <c r="E54" s="192"/>
      <c r="F54" s="192"/>
      <c r="G54" s="192"/>
      <c r="H54" s="192"/>
      <c r="I54" s="192"/>
      <c r="J54" s="192"/>
      <c r="K54" s="192"/>
      <c r="L54" s="192"/>
      <c r="M54" s="192"/>
    </row>
    <row r="55" spans="1:13" x14ac:dyDescent="0.25">
      <c r="A55" s="192" t="s">
        <v>266</v>
      </c>
      <c r="B55" s="192">
        <f>B39</f>
        <v>7335.7206676300684</v>
      </c>
      <c r="C55" s="192">
        <f t="shared" ref="C55" si="24">C39</f>
        <v>6552.9594682436573</v>
      </c>
      <c r="D55" s="192"/>
      <c r="E55" s="192"/>
      <c r="F55" s="192"/>
      <c r="G55" s="192"/>
      <c r="H55" s="192"/>
      <c r="I55" s="192"/>
      <c r="J55" s="192"/>
      <c r="K55" s="192"/>
      <c r="L55" s="192"/>
      <c r="M55" s="192"/>
    </row>
    <row r="56" spans="1:13" x14ac:dyDescent="0.25">
      <c r="A56" s="194" t="s">
        <v>369</v>
      </c>
      <c r="B56" s="194">
        <f t="shared" ref="B56:C56" si="25">B55/8/4141/1000/(PI()*(B47-2*B48)^2/4)</f>
        <v>1.1013306392955962</v>
      </c>
      <c r="C56" s="194">
        <f t="shared" si="25"/>
        <v>1.7490003274367036</v>
      </c>
      <c r="D56" s="194"/>
      <c r="E56" s="194"/>
      <c r="F56" s="194"/>
      <c r="G56" s="194"/>
      <c r="H56" s="194"/>
      <c r="I56" s="194"/>
      <c r="J56" s="194"/>
      <c r="K56" s="194"/>
      <c r="L56" s="194"/>
      <c r="M56" s="194"/>
    </row>
  </sheetData>
  <mergeCells count="1">
    <mergeCell ref="A1:E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51"/>
  <sheetViews>
    <sheetView zoomScaleNormal="100" workbookViewId="0">
      <selection activeCell="AM8" activeCellId="1" sqref="A27:B27 AM8"/>
    </sheetView>
  </sheetViews>
  <sheetFormatPr defaultRowHeight="15" x14ac:dyDescent="0.25"/>
  <cols>
    <col min="1" max="1" width="20.5703125"/>
    <col min="2" max="2" width="12.28515625"/>
    <col min="3" max="3" width="6.85546875"/>
    <col min="4" max="4" width="22.140625"/>
    <col min="5" max="5" width="9.85546875"/>
    <col min="6" max="6" width="7.140625"/>
    <col min="7" max="7" width="5.5703125"/>
    <col min="8" max="8" width="7.7109375"/>
    <col min="9" max="9" width="2.7109375" style="1"/>
    <col min="10" max="10" width="4.85546875"/>
    <col min="11" max="11" width="10.42578125" style="2"/>
    <col min="12" max="12" width="8" style="2"/>
    <col min="13" max="13" width="16.85546875" style="2"/>
    <col min="14" max="14" width="9.42578125"/>
    <col min="15" max="15" width="11.28515625"/>
    <col min="16" max="17" width="9.28515625" style="3"/>
    <col min="18" max="18" width="12.140625"/>
    <col min="19" max="19" width="11.7109375"/>
    <col min="20" max="20" width="12.140625"/>
    <col min="21" max="21" width="3.140625" style="1"/>
    <col min="22" max="22" width="3"/>
    <col min="23" max="23" width="3.5703125"/>
    <col min="24" max="24" width="18.42578125"/>
    <col min="25" max="25" width="8.5703125"/>
    <col min="26" max="26" width="15.85546875"/>
    <col min="27" max="28" width="8.5703125"/>
    <col min="29" max="29" width="9.5703125"/>
    <col min="30" max="35" width="8.5703125"/>
    <col min="36" max="37" width="8.5703125" style="80"/>
    <col min="38" max="1025" width="8.5703125"/>
  </cols>
  <sheetData>
    <row r="1" spans="1:41" ht="20.25" customHeight="1" x14ac:dyDescent="0.25">
      <c r="A1" s="341" t="s">
        <v>0</v>
      </c>
      <c r="B1" s="341"/>
      <c r="C1" s="341"/>
      <c r="D1" s="341"/>
      <c r="E1" s="341"/>
      <c r="F1" s="341"/>
      <c r="G1" s="341"/>
    </row>
    <row r="3" spans="1:41" x14ac:dyDescent="0.25">
      <c r="A3" s="338" t="s">
        <v>1</v>
      </c>
      <c r="B3" s="338"/>
      <c r="C3" s="338"/>
      <c r="D3" s="338"/>
      <c r="E3" s="338"/>
      <c r="F3" s="338"/>
      <c r="G3" s="338"/>
      <c r="H3" s="338"/>
      <c r="J3" s="338" t="s">
        <v>2</v>
      </c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4"/>
      <c r="V3" s="338" t="s">
        <v>3</v>
      </c>
      <c r="W3" s="338"/>
      <c r="X3" s="338"/>
      <c r="Y3" s="338"/>
      <c r="Z3" s="338"/>
      <c r="AA3" s="338"/>
      <c r="AB3" s="338"/>
      <c r="AC3" s="338"/>
      <c r="AD3" s="338"/>
      <c r="AE3" s="338"/>
      <c r="AF3" s="338"/>
      <c r="AG3" s="338"/>
    </row>
    <row r="4" spans="1:41" ht="15.75" customHeight="1" x14ac:dyDescent="0.25">
      <c r="Y4" s="5" t="s">
        <v>4</v>
      </c>
      <c r="Z4" s="5">
        <v>1.7</v>
      </c>
      <c r="AA4" s="5" t="s">
        <v>5</v>
      </c>
    </row>
    <row r="5" spans="1:41" ht="15" customHeight="1" x14ac:dyDescent="0.25">
      <c r="A5" s="6" t="s">
        <v>6</v>
      </c>
      <c r="B5" s="7">
        <f>502</f>
        <v>502</v>
      </c>
      <c r="C5" s="7" t="s">
        <v>7</v>
      </c>
      <c r="D5" s="6" t="s">
        <v>8</v>
      </c>
      <c r="E5" s="7"/>
      <c r="F5" s="7"/>
      <c r="G5" s="8">
        <f>SUM(H7:H14)</f>
        <v>14</v>
      </c>
      <c r="H5" s="9" t="s">
        <v>9</v>
      </c>
      <c r="J5" t="s">
        <v>10</v>
      </c>
      <c r="K5" s="10" t="s">
        <v>11</v>
      </c>
      <c r="L5" s="11" t="s">
        <v>12</v>
      </c>
      <c r="M5" s="11" t="s">
        <v>13</v>
      </c>
      <c r="N5" s="11" t="s">
        <v>14</v>
      </c>
      <c r="O5" s="12" t="s">
        <v>15</v>
      </c>
      <c r="P5" s="13" t="s">
        <v>16</v>
      </c>
      <c r="Q5" s="13" t="s">
        <v>17</v>
      </c>
      <c r="R5" s="14" t="s">
        <v>18</v>
      </c>
      <c r="S5" s="14"/>
      <c r="T5" s="14" t="s">
        <v>19</v>
      </c>
      <c r="U5" s="15"/>
      <c r="W5" s="16" t="s">
        <v>20</v>
      </c>
      <c r="X5" s="17"/>
      <c r="Y5" s="18" t="s">
        <v>21</v>
      </c>
      <c r="Z5" s="19">
        <f>1/(1/10+SUM(AC7:AC11)+1/23)</f>
        <v>1.6975498473547073</v>
      </c>
      <c r="AA5" s="17" t="s">
        <v>5</v>
      </c>
      <c r="AB5" s="17"/>
      <c r="AC5" s="17" t="s">
        <v>22</v>
      </c>
      <c r="AD5" s="20">
        <f>SUM(AD7:AD11)</f>
        <v>77930</v>
      </c>
      <c r="AE5" s="14" t="s">
        <v>23</v>
      </c>
      <c r="AF5" s="14">
        <f>SUM(AD9:AD11)</f>
        <v>42230</v>
      </c>
      <c r="AG5" s="14"/>
    </row>
    <row r="6" spans="1:41" ht="15" customHeight="1" x14ac:dyDescent="0.25">
      <c r="A6" s="21"/>
      <c r="B6" s="22"/>
      <c r="C6" s="22"/>
      <c r="D6" s="23"/>
      <c r="E6" s="24"/>
      <c r="F6" s="24"/>
      <c r="G6" s="24"/>
      <c r="H6" s="25"/>
      <c r="J6" t="s">
        <v>24</v>
      </c>
      <c r="K6" s="26">
        <v>0</v>
      </c>
      <c r="L6" s="27">
        <v>1</v>
      </c>
      <c r="M6" s="27" t="s">
        <v>25</v>
      </c>
      <c r="N6" s="28">
        <f>10.7*3.5-N10-2*1*2.5</f>
        <v>25.449999999999996</v>
      </c>
      <c r="O6" s="29" t="s">
        <v>26</v>
      </c>
      <c r="P6" s="30">
        <f t="shared" ref="P6:P28" si="0">VLOOKUP(M6,$W$5:$Z$391,4,0)</f>
        <v>2.2022341505875525</v>
      </c>
      <c r="Q6" s="30">
        <f t="shared" ref="Q6:Q28" si="1">P6*N6</f>
        <v>56.0468591324532</v>
      </c>
      <c r="R6" s="30">
        <f t="shared" ref="R6:R28" si="2">VLOOKUP(M6,$W$5:$AD$391,8,0)*N6</f>
        <v>11449445.999999998</v>
      </c>
      <c r="S6" s="30">
        <f t="shared" ref="S6:S28" si="3">R6/N6</f>
        <v>449880</v>
      </c>
      <c r="T6" s="30">
        <f t="shared" ref="T6:T28" si="4">VLOOKUP(M6,$W$5:$AF$391,10,0)*N6</f>
        <v>10304195.999999998</v>
      </c>
      <c r="U6" s="31"/>
      <c r="V6" s="3"/>
      <c r="W6" s="32"/>
      <c r="X6" s="33" t="s">
        <v>27</v>
      </c>
      <c r="Y6" s="33" t="s">
        <v>28</v>
      </c>
      <c r="Z6" s="33" t="s">
        <v>29</v>
      </c>
      <c r="AA6" s="33" t="s">
        <v>30</v>
      </c>
      <c r="AB6" s="33" t="s">
        <v>31</v>
      </c>
      <c r="AC6" s="33" t="s">
        <v>32</v>
      </c>
      <c r="AD6" s="34" t="s">
        <v>33</v>
      </c>
      <c r="AE6" s="14"/>
      <c r="AF6" s="14"/>
      <c r="AG6" s="14"/>
      <c r="AL6" t="s">
        <v>6</v>
      </c>
      <c r="AN6" s="81">
        <f>B5</f>
        <v>502</v>
      </c>
      <c r="AO6" t="str">
        <f>C5</f>
        <v>m³</v>
      </c>
    </row>
    <row r="7" spans="1:41" ht="15" customHeight="1" x14ac:dyDescent="0.25">
      <c r="A7" s="6" t="s">
        <v>34</v>
      </c>
      <c r="B7" s="35">
        <f>N14</f>
        <v>104.86</v>
      </c>
      <c r="C7" s="36" t="s">
        <v>9</v>
      </c>
      <c r="D7" s="37" t="s">
        <v>35</v>
      </c>
      <c r="E7" s="24" t="s">
        <v>36</v>
      </c>
      <c r="F7" s="38">
        <f t="shared" ref="F7:F14" si="5">H7/$G$5</f>
        <v>0.5</v>
      </c>
      <c r="G7" s="24" t="s">
        <v>37</v>
      </c>
      <c r="H7" s="39">
        <f>N10</f>
        <v>7</v>
      </c>
      <c r="J7" t="s">
        <v>38</v>
      </c>
      <c r="K7" s="40">
        <v>0</v>
      </c>
      <c r="L7" s="41">
        <v>1</v>
      </c>
      <c r="M7" s="41" t="s">
        <v>25</v>
      </c>
      <c r="N7" s="42">
        <f>9.8*3.5*2.5*1</f>
        <v>85.750000000000014</v>
      </c>
      <c r="O7" s="43" t="s">
        <v>39</v>
      </c>
      <c r="P7" s="30">
        <f t="shared" si="0"/>
        <v>2.2022341505875525</v>
      </c>
      <c r="Q7" s="30">
        <f t="shared" si="1"/>
        <v>188.84157841288265</v>
      </c>
      <c r="R7" s="30">
        <f t="shared" si="2"/>
        <v>38577210.000000007</v>
      </c>
      <c r="S7" s="30">
        <f t="shared" si="3"/>
        <v>449880</v>
      </c>
      <c r="T7" s="30">
        <f t="shared" si="4"/>
        <v>34718460.000000007</v>
      </c>
      <c r="U7" s="31"/>
      <c r="V7" s="3"/>
      <c r="W7" s="23"/>
      <c r="X7" s="24" t="s">
        <v>40</v>
      </c>
      <c r="Y7" s="24">
        <v>2.5000000000000001E-2</v>
      </c>
      <c r="Z7" s="24">
        <v>1</v>
      </c>
      <c r="AA7" s="24">
        <v>1700</v>
      </c>
      <c r="AB7" s="24">
        <v>840</v>
      </c>
      <c r="AC7" s="44">
        <f>Y7/Z7</f>
        <v>2.5000000000000001E-2</v>
      </c>
      <c r="AD7" s="25">
        <f>Y7*AA7*AB7</f>
        <v>35700</v>
      </c>
      <c r="AE7" s="14" t="s">
        <v>41</v>
      </c>
      <c r="AF7" s="14"/>
      <c r="AG7" s="14"/>
      <c r="AM7" t="s">
        <v>133</v>
      </c>
      <c r="AN7">
        <v>0.6</v>
      </c>
    </row>
    <row r="8" spans="1:41" ht="15" customHeight="1" x14ac:dyDescent="0.25">
      <c r="A8" s="45" t="s">
        <v>42</v>
      </c>
      <c r="B8" s="46">
        <f>B7-B9</f>
        <v>59.291999999999994</v>
      </c>
      <c r="C8" s="47" t="s">
        <v>9</v>
      </c>
      <c r="D8" s="37" t="s">
        <v>43</v>
      </c>
      <c r="E8" s="24" t="s">
        <v>36</v>
      </c>
      <c r="F8" s="38">
        <f t="shared" si="5"/>
        <v>0</v>
      </c>
      <c r="G8" s="24" t="s">
        <v>37</v>
      </c>
      <c r="H8" s="39">
        <f>N11</f>
        <v>0</v>
      </c>
      <c r="J8" t="s">
        <v>44</v>
      </c>
      <c r="K8" s="40">
        <v>0</v>
      </c>
      <c r="L8" s="41">
        <v>1</v>
      </c>
      <c r="M8" s="41" t="s">
        <v>25</v>
      </c>
      <c r="N8" s="42">
        <f>10.7*3.5-N12</f>
        <v>32.449999999999996</v>
      </c>
      <c r="O8" s="43" t="s">
        <v>45</v>
      </c>
      <c r="P8" s="30">
        <f t="shared" si="0"/>
        <v>2.2022341505875525</v>
      </c>
      <c r="Q8" s="30">
        <f t="shared" si="1"/>
        <v>71.462498186566066</v>
      </c>
      <c r="R8" s="30">
        <f t="shared" si="2"/>
        <v>14598605.999999998</v>
      </c>
      <c r="S8" s="30">
        <f t="shared" si="3"/>
        <v>449880</v>
      </c>
      <c r="T8" s="30">
        <f t="shared" si="4"/>
        <v>13138355.999999998</v>
      </c>
      <c r="U8" s="31"/>
      <c r="V8" s="3"/>
      <c r="W8" s="23"/>
      <c r="X8" s="24" t="s">
        <v>46</v>
      </c>
      <c r="Y8" s="24">
        <v>0</v>
      </c>
      <c r="Z8" s="24">
        <v>0</v>
      </c>
      <c r="AA8" s="24">
        <v>0</v>
      </c>
      <c r="AB8" s="24">
        <v>0</v>
      </c>
      <c r="AC8" s="44">
        <v>0.16</v>
      </c>
      <c r="AD8" s="25">
        <f>Y8*AA8*AB8</f>
        <v>0</v>
      </c>
      <c r="AE8" s="14"/>
      <c r="AF8" s="14"/>
      <c r="AG8" s="14"/>
    </row>
    <row r="9" spans="1:41" ht="15" customHeight="1" x14ac:dyDescent="0.25">
      <c r="A9" s="48" t="s">
        <v>47</v>
      </c>
      <c r="B9" s="49">
        <f>3.2*7.12*2</f>
        <v>45.568000000000005</v>
      </c>
      <c r="C9" s="24"/>
      <c r="D9" s="37" t="s">
        <v>48</v>
      </c>
      <c r="E9" s="24" t="s">
        <v>36</v>
      </c>
      <c r="F9" s="38">
        <f t="shared" si="5"/>
        <v>0.35714285714285715</v>
      </c>
      <c r="G9" s="24" t="s">
        <v>37</v>
      </c>
      <c r="H9" s="39">
        <f>N12</f>
        <v>5</v>
      </c>
      <c r="J9" t="s">
        <v>49</v>
      </c>
      <c r="K9" s="40">
        <v>0</v>
      </c>
      <c r="L9" s="41">
        <v>1</v>
      </c>
      <c r="M9" s="41" t="s">
        <v>25</v>
      </c>
      <c r="N9" s="42">
        <f>9.8*3.5-N13</f>
        <v>34.300000000000004</v>
      </c>
      <c r="O9" s="43" t="s">
        <v>50</v>
      </c>
      <c r="P9" s="30">
        <f t="shared" si="0"/>
        <v>2.2022341505875525</v>
      </c>
      <c r="Q9" s="30">
        <f t="shared" si="1"/>
        <v>75.536631365153056</v>
      </c>
      <c r="R9" s="30">
        <f t="shared" si="2"/>
        <v>15430884.000000002</v>
      </c>
      <c r="S9" s="30">
        <f t="shared" si="3"/>
        <v>449880</v>
      </c>
      <c r="T9" s="30">
        <f t="shared" si="4"/>
        <v>13887384.000000002</v>
      </c>
      <c r="U9" s="31"/>
      <c r="V9" s="3"/>
      <c r="W9" s="23"/>
      <c r="X9" s="50" t="s">
        <v>51</v>
      </c>
      <c r="Y9" s="24">
        <v>0</v>
      </c>
      <c r="Z9" s="24">
        <v>1.4</v>
      </c>
      <c r="AA9" s="24">
        <v>2100</v>
      </c>
      <c r="AB9" s="24">
        <v>840</v>
      </c>
      <c r="AC9" s="44">
        <f>Y9/Z9</f>
        <v>0</v>
      </c>
      <c r="AD9" s="25">
        <f>Y9*AA9*AB9</f>
        <v>0</v>
      </c>
      <c r="AE9" s="14"/>
      <c r="AF9" s="14"/>
      <c r="AG9" s="14"/>
    </row>
    <row r="10" spans="1:41" ht="15" customHeight="1" x14ac:dyDescent="0.25">
      <c r="A10" s="23"/>
      <c r="B10" s="24"/>
      <c r="C10" s="24"/>
      <c r="D10" s="37" t="s">
        <v>52</v>
      </c>
      <c r="E10" s="50" t="s">
        <v>36</v>
      </c>
      <c r="F10" s="38">
        <f t="shared" si="5"/>
        <v>0</v>
      </c>
      <c r="G10" s="24" t="s">
        <v>37</v>
      </c>
      <c r="H10" s="39">
        <f>N13</f>
        <v>0</v>
      </c>
      <c r="J10" t="s">
        <v>53</v>
      </c>
      <c r="K10" s="40">
        <v>0</v>
      </c>
      <c r="L10" s="41">
        <v>1</v>
      </c>
      <c r="M10" s="41" t="s">
        <v>54</v>
      </c>
      <c r="N10" s="42">
        <v>7</v>
      </c>
      <c r="O10" s="43" t="s">
        <v>26</v>
      </c>
      <c r="P10" s="30">
        <f t="shared" si="0"/>
        <v>5</v>
      </c>
      <c r="Q10" s="30">
        <f t="shared" si="1"/>
        <v>35</v>
      </c>
      <c r="R10" s="30">
        <f t="shared" si="2"/>
        <v>0</v>
      </c>
      <c r="S10" s="30">
        <f t="shared" si="3"/>
        <v>0</v>
      </c>
      <c r="T10" s="30">
        <f t="shared" si="4"/>
        <v>0</v>
      </c>
      <c r="U10" s="31"/>
      <c r="V10" s="3"/>
      <c r="W10" s="23"/>
      <c r="X10" s="50" t="s">
        <v>55</v>
      </c>
      <c r="Y10">
        <v>2.5000000000000001E-2</v>
      </c>
      <c r="Z10" s="50">
        <v>0.11</v>
      </c>
      <c r="AA10" s="50">
        <v>550</v>
      </c>
      <c r="AB10" s="50">
        <v>1880</v>
      </c>
      <c r="AC10" s="44">
        <f>Y10/Z10</f>
        <v>0.22727272727272729</v>
      </c>
      <c r="AD10" s="25">
        <f>Y10*AA10*AB10</f>
        <v>25850</v>
      </c>
      <c r="AE10" s="14" t="s">
        <v>41</v>
      </c>
      <c r="AF10" s="14"/>
      <c r="AG10" s="14"/>
    </row>
    <row r="11" spans="1:41" ht="15" customHeight="1" x14ac:dyDescent="0.25">
      <c r="A11" s="23"/>
      <c r="B11" s="24"/>
      <c r="C11" s="24"/>
      <c r="D11" s="37" t="s">
        <v>35</v>
      </c>
      <c r="E11" s="50" t="s">
        <v>56</v>
      </c>
      <c r="F11" s="51">
        <f t="shared" si="5"/>
        <v>0</v>
      </c>
      <c r="G11" s="24"/>
      <c r="H11" s="52">
        <f>N21</f>
        <v>0</v>
      </c>
      <c r="J11" t="s">
        <v>57</v>
      </c>
      <c r="K11" s="40">
        <v>0</v>
      </c>
      <c r="L11" s="41">
        <v>1</v>
      </c>
      <c r="M11" s="41" t="s">
        <v>54</v>
      </c>
      <c r="N11" s="42">
        <v>0</v>
      </c>
      <c r="O11" s="43" t="s">
        <v>39</v>
      </c>
      <c r="P11" s="30">
        <f t="shared" si="0"/>
        <v>5</v>
      </c>
      <c r="Q11" s="30">
        <f t="shared" si="1"/>
        <v>0</v>
      </c>
      <c r="R11" s="30">
        <f t="shared" si="2"/>
        <v>0</v>
      </c>
      <c r="S11" s="30" t="e">
        <f t="shared" si="3"/>
        <v>#DIV/0!</v>
      </c>
      <c r="T11" s="30">
        <f t="shared" si="4"/>
        <v>0</v>
      </c>
      <c r="U11" s="31"/>
      <c r="V11" s="3"/>
      <c r="W11" s="53"/>
      <c r="X11" s="22" t="s">
        <v>58</v>
      </c>
      <c r="Y11" s="22">
        <v>0.02</v>
      </c>
      <c r="Z11" s="22">
        <v>0.6</v>
      </c>
      <c r="AA11" s="22">
        <v>975</v>
      </c>
      <c r="AB11" s="22">
        <v>840</v>
      </c>
      <c r="AC11" s="54">
        <f>Y11/Z11</f>
        <v>3.3333333333333333E-2</v>
      </c>
      <c r="AD11" s="55">
        <f>Y11*AA11*AB11</f>
        <v>16380</v>
      </c>
      <c r="AE11" s="14"/>
      <c r="AF11" s="14"/>
      <c r="AG11" s="14"/>
    </row>
    <row r="12" spans="1:41" ht="15" customHeight="1" x14ac:dyDescent="0.25">
      <c r="A12" s="23"/>
      <c r="B12" s="24"/>
      <c r="C12" s="24"/>
      <c r="D12" s="37" t="s">
        <v>43</v>
      </c>
      <c r="E12" s="50" t="s">
        <v>56</v>
      </c>
      <c r="F12" s="51">
        <f t="shared" si="5"/>
        <v>0.14285714285714285</v>
      </c>
      <c r="G12" s="24"/>
      <c r="H12" s="52">
        <f>N22</f>
        <v>2</v>
      </c>
      <c r="J12" t="s">
        <v>59</v>
      </c>
      <c r="K12" s="40">
        <v>0</v>
      </c>
      <c r="L12" s="41">
        <v>1</v>
      </c>
      <c r="M12" s="41" t="s">
        <v>54</v>
      </c>
      <c r="N12" s="42">
        <v>5</v>
      </c>
      <c r="O12" s="43" t="s">
        <v>45</v>
      </c>
      <c r="P12" s="30">
        <f t="shared" si="0"/>
        <v>5</v>
      </c>
      <c r="Q12" s="30">
        <f t="shared" si="1"/>
        <v>25</v>
      </c>
      <c r="R12" s="30">
        <f t="shared" si="2"/>
        <v>0</v>
      </c>
      <c r="S12" s="30">
        <f t="shared" si="3"/>
        <v>0</v>
      </c>
      <c r="T12" s="30">
        <f t="shared" si="4"/>
        <v>0</v>
      </c>
      <c r="U12" s="31"/>
      <c r="V12" s="3"/>
      <c r="W12" s="24"/>
      <c r="X12" s="24"/>
      <c r="Y12" s="24"/>
      <c r="Z12" s="24"/>
      <c r="AA12" s="24"/>
      <c r="AB12" s="24"/>
      <c r="AC12" s="44"/>
      <c r="AD12" s="24"/>
      <c r="AE12" s="14"/>
      <c r="AF12" s="14"/>
      <c r="AG12" s="14"/>
    </row>
    <row r="13" spans="1:41" ht="15" customHeight="1" x14ac:dyDescent="0.25">
      <c r="A13" s="23"/>
      <c r="B13" s="24"/>
      <c r="C13" s="24"/>
      <c r="D13" s="37" t="s">
        <v>48</v>
      </c>
      <c r="E13" s="50" t="s">
        <v>56</v>
      </c>
      <c r="F13" s="51">
        <f t="shared" si="5"/>
        <v>0</v>
      </c>
      <c r="G13" s="24"/>
      <c r="H13" s="52">
        <f>N23</f>
        <v>0</v>
      </c>
      <c r="J13" t="s">
        <v>60</v>
      </c>
      <c r="K13" s="40">
        <v>0</v>
      </c>
      <c r="L13" s="41">
        <v>1</v>
      </c>
      <c r="M13" s="41" t="s">
        <v>54</v>
      </c>
      <c r="N13" s="42">
        <v>0</v>
      </c>
      <c r="O13" s="43" t="s">
        <v>50</v>
      </c>
      <c r="P13" s="30">
        <f t="shared" si="0"/>
        <v>5</v>
      </c>
      <c r="Q13" s="30">
        <f t="shared" si="1"/>
        <v>0</v>
      </c>
      <c r="R13" s="30">
        <f t="shared" si="2"/>
        <v>0</v>
      </c>
      <c r="S13" s="30" t="e">
        <f t="shared" si="3"/>
        <v>#DIV/0!</v>
      </c>
      <c r="T13" s="30">
        <f t="shared" si="4"/>
        <v>0</v>
      </c>
      <c r="U13" s="31"/>
      <c r="V13" s="3"/>
      <c r="Y13" s="5" t="s">
        <v>4</v>
      </c>
      <c r="Z13" s="5">
        <v>2.2000000000000002</v>
      </c>
      <c r="AA13" s="5" t="s">
        <v>5</v>
      </c>
      <c r="AE13" s="14"/>
      <c r="AF13" s="14"/>
      <c r="AG13" s="14"/>
    </row>
    <row r="14" spans="1:41" ht="15" customHeight="1" x14ac:dyDescent="0.25">
      <c r="A14" s="23"/>
      <c r="B14" s="24"/>
      <c r="C14" s="24"/>
      <c r="D14" s="37" t="s">
        <v>52</v>
      </c>
      <c r="E14" s="50" t="s">
        <v>56</v>
      </c>
      <c r="F14" s="51">
        <f t="shared" si="5"/>
        <v>0</v>
      </c>
      <c r="G14" s="24"/>
      <c r="H14" s="52">
        <f>N24</f>
        <v>0</v>
      </c>
      <c r="J14" t="s">
        <v>61</v>
      </c>
      <c r="K14" s="40" t="s">
        <v>62</v>
      </c>
      <c r="L14" s="41">
        <v>1</v>
      </c>
      <c r="M14" s="41" t="s">
        <v>63</v>
      </c>
      <c r="N14" s="42">
        <f>10.7*9.8</f>
        <v>104.86</v>
      </c>
      <c r="O14" s="43"/>
      <c r="P14" s="30">
        <f t="shared" si="0"/>
        <v>2.5990099009900991</v>
      </c>
      <c r="Q14" s="30">
        <f t="shared" si="1"/>
        <v>272.53217821782181</v>
      </c>
      <c r="R14" s="30">
        <f t="shared" si="2"/>
        <v>47150089.280000001</v>
      </c>
      <c r="S14" s="30">
        <f t="shared" si="3"/>
        <v>449648</v>
      </c>
      <c r="T14" s="30">
        <f t="shared" si="4"/>
        <v>10155481.279999999</v>
      </c>
      <c r="U14" s="31"/>
      <c r="V14" s="3"/>
      <c r="W14" s="16" t="s">
        <v>64</v>
      </c>
      <c r="X14" s="17"/>
      <c r="Y14" s="18" t="s">
        <v>21</v>
      </c>
      <c r="Z14" s="19">
        <f>1/(1/8+SUM(AC16:AC19)+1/23)</f>
        <v>2.2022341505875525</v>
      </c>
      <c r="AA14" s="17" t="s">
        <v>5</v>
      </c>
      <c r="AB14" s="17"/>
      <c r="AC14" s="17" t="s">
        <v>22</v>
      </c>
      <c r="AD14" s="20">
        <f>SUM(AD16:AD20)</f>
        <v>449880</v>
      </c>
      <c r="AE14" s="14" t="s">
        <v>23</v>
      </c>
      <c r="AF14" s="14">
        <f>SUM(AD18:AD19)</f>
        <v>404880</v>
      </c>
      <c r="AG14" s="14"/>
    </row>
    <row r="15" spans="1:41" ht="15" customHeight="1" x14ac:dyDescent="0.25">
      <c r="A15" s="23"/>
      <c r="B15" s="24"/>
      <c r="C15" s="24"/>
      <c r="D15" s="56" t="s">
        <v>65</v>
      </c>
      <c r="E15" s="7"/>
      <c r="F15" s="7"/>
      <c r="G15" s="7"/>
      <c r="H15" s="9"/>
      <c r="J15" t="s">
        <v>66</v>
      </c>
      <c r="K15" s="40">
        <v>0</v>
      </c>
      <c r="L15" s="41">
        <v>1</v>
      </c>
      <c r="M15" s="41" t="s">
        <v>20</v>
      </c>
      <c r="N15" s="42">
        <v>29</v>
      </c>
      <c r="O15" s="43"/>
      <c r="P15" s="30">
        <f t="shared" si="0"/>
        <v>1.6975498473547073</v>
      </c>
      <c r="Q15" s="30">
        <f t="shared" si="1"/>
        <v>49.228945573286509</v>
      </c>
      <c r="R15" s="30">
        <f t="shared" si="2"/>
        <v>2259970</v>
      </c>
      <c r="S15" s="30">
        <f t="shared" si="3"/>
        <v>77930</v>
      </c>
      <c r="T15" s="30">
        <f t="shared" si="4"/>
        <v>1224670</v>
      </c>
      <c r="U15" s="31"/>
      <c r="V15" s="3"/>
      <c r="W15" s="32"/>
      <c r="X15" s="33" t="s">
        <v>27</v>
      </c>
      <c r="Y15" s="33" t="s">
        <v>28</v>
      </c>
      <c r="Z15" s="33" t="s">
        <v>29</v>
      </c>
      <c r="AA15" s="33" t="s">
        <v>30</v>
      </c>
      <c r="AB15" s="33" t="s">
        <v>31</v>
      </c>
      <c r="AC15" s="33" t="s">
        <v>32</v>
      </c>
      <c r="AD15" s="34" t="s">
        <v>33</v>
      </c>
      <c r="AE15" s="14"/>
      <c r="AF15" s="14"/>
      <c r="AG15" s="14"/>
    </row>
    <row r="16" spans="1:41" ht="15" customHeight="1" x14ac:dyDescent="0.25">
      <c r="A16" s="23"/>
      <c r="B16" s="24"/>
      <c r="C16" s="24"/>
      <c r="D16" s="57"/>
      <c r="E16" s="24"/>
      <c r="F16" s="24"/>
      <c r="G16" s="24"/>
      <c r="H16" s="25"/>
      <c r="J16" t="s">
        <v>67</v>
      </c>
      <c r="K16" s="40">
        <v>0</v>
      </c>
      <c r="L16" s="41">
        <v>1</v>
      </c>
      <c r="M16" s="41" t="s">
        <v>68</v>
      </c>
      <c r="N16" s="42">
        <f>2*1*2.5+1*2.5</f>
        <v>7.5</v>
      </c>
      <c r="O16" s="43"/>
      <c r="P16" s="30">
        <f t="shared" si="0"/>
        <v>4</v>
      </c>
      <c r="Q16" s="30">
        <f t="shared" si="1"/>
        <v>30</v>
      </c>
      <c r="R16" s="30">
        <f t="shared" si="2"/>
        <v>273900</v>
      </c>
      <c r="S16" s="30">
        <f t="shared" si="3"/>
        <v>36520</v>
      </c>
      <c r="T16" s="30">
        <f t="shared" si="4"/>
        <v>0</v>
      </c>
      <c r="U16" s="31"/>
      <c r="V16" s="3"/>
      <c r="W16" s="23"/>
      <c r="X16" s="24"/>
      <c r="Y16" s="24"/>
      <c r="Z16" s="24"/>
      <c r="AA16" s="24"/>
      <c r="AB16" s="24"/>
      <c r="AC16" s="44"/>
      <c r="AD16" s="25"/>
      <c r="AE16" s="14"/>
      <c r="AF16" s="14"/>
      <c r="AG16" s="14"/>
    </row>
    <row r="17" spans="1:33" ht="15" customHeight="1" x14ac:dyDescent="0.25">
      <c r="A17" s="53"/>
      <c r="B17" s="22"/>
      <c r="C17" s="22"/>
      <c r="D17" s="37" t="s">
        <v>69</v>
      </c>
      <c r="E17" s="24"/>
      <c r="F17" s="58">
        <f>B5/B27</f>
        <v>1.0879517640207914</v>
      </c>
      <c r="G17" s="59" t="s">
        <v>70</v>
      </c>
      <c r="H17" s="25"/>
      <c r="J17" t="s">
        <v>71</v>
      </c>
      <c r="K17" s="40">
        <v>0</v>
      </c>
      <c r="L17" s="41">
        <v>3</v>
      </c>
      <c r="M17" s="41" t="s">
        <v>25</v>
      </c>
      <c r="N17" s="42">
        <v>0</v>
      </c>
      <c r="O17" s="43" t="s">
        <v>26</v>
      </c>
      <c r="P17" s="30">
        <f t="shared" si="0"/>
        <v>2.2022341505875525</v>
      </c>
      <c r="Q17" s="30">
        <f t="shared" si="1"/>
        <v>0</v>
      </c>
      <c r="R17" s="30">
        <f t="shared" si="2"/>
        <v>0</v>
      </c>
      <c r="S17" s="30" t="e">
        <f t="shared" si="3"/>
        <v>#DIV/0!</v>
      </c>
      <c r="T17" s="30">
        <f t="shared" si="4"/>
        <v>0</v>
      </c>
      <c r="U17" s="31"/>
      <c r="V17" s="3"/>
      <c r="W17" s="23"/>
      <c r="X17" s="24" t="s">
        <v>72</v>
      </c>
      <c r="Y17" s="24">
        <v>2.5000000000000001E-2</v>
      </c>
      <c r="Z17" s="24">
        <v>1</v>
      </c>
      <c r="AA17" s="24">
        <v>1800</v>
      </c>
      <c r="AB17" s="24">
        <v>1000</v>
      </c>
      <c r="AC17" s="44">
        <f>Y17/Z17</f>
        <v>2.5000000000000001E-2</v>
      </c>
      <c r="AD17" s="25">
        <f>Y17*AA17*AB17</f>
        <v>45000</v>
      </c>
      <c r="AE17" s="14"/>
      <c r="AF17" s="14"/>
      <c r="AG17" s="14"/>
    </row>
    <row r="18" spans="1:33" ht="15" customHeight="1" x14ac:dyDescent="0.25">
      <c r="A18" s="6" t="s">
        <v>73</v>
      </c>
      <c r="B18" s="60">
        <f>N26</f>
        <v>76.183999999999997</v>
      </c>
      <c r="C18" s="7" t="s">
        <v>9</v>
      </c>
      <c r="D18" s="37" t="s">
        <v>74</v>
      </c>
      <c r="E18" s="24"/>
      <c r="F18" s="58">
        <f>B27/B24</f>
        <v>2.5486484807930534</v>
      </c>
      <c r="G18" s="59"/>
      <c r="H18" s="25"/>
      <c r="J18" t="s">
        <v>75</v>
      </c>
      <c r="K18" s="40">
        <v>0</v>
      </c>
      <c r="L18" s="41">
        <v>3</v>
      </c>
      <c r="M18" s="41" t="s">
        <v>25</v>
      </c>
      <c r="N18" s="42">
        <f>7.12*(7.5-3.5)/2</f>
        <v>14.24</v>
      </c>
      <c r="O18" s="43" t="s">
        <v>39</v>
      </c>
      <c r="P18" s="30">
        <f t="shared" si="0"/>
        <v>2.2022341505875525</v>
      </c>
      <c r="Q18" s="30">
        <f t="shared" si="1"/>
        <v>31.359814304366747</v>
      </c>
      <c r="R18" s="30">
        <f t="shared" si="2"/>
        <v>6406291.2000000002</v>
      </c>
      <c r="S18" s="30">
        <f t="shared" si="3"/>
        <v>449880</v>
      </c>
      <c r="T18" s="30">
        <f t="shared" si="4"/>
        <v>5765491.2000000002</v>
      </c>
      <c r="U18" s="31"/>
      <c r="V18" s="3"/>
      <c r="W18" s="23"/>
      <c r="X18" s="24" t="s">
        <v>76</v>
      </c>
      <c r="Y18" s="24">
        <v>0.25</v>
      </c>
      <c r="Z18" s="24">
        <v>1.1000000000000001</v>
      </c>
      <c r="AA18" s="24">
        <v>1850</v>
      </c>
      <c r="AB18" s="24">
        <v>840</v>
      </c>
      <c r="AC18" s="44">
        <f>Y18/Z18</f>
        <v>0.22727272727272727</v>
      </c>
      <c r="AD18" s="25">
        <f>Y18*AA18*AB18</f>
        <v>388500</v>
      </c>
      <c r="AE18" s="14"/>
      <c r="AF18" s="14"/>
      <c r="AG18" s="14"/>
    </row>
    <row r="19" spans="1:33" ht="15" customHeight="1" x14ac:dyDescent="0.25">
      <c r="A19" s="23" t="s">
        <v>77</v>
      </c>
      <c r="B19" s="24">
        <f>22</f>
        <v>22</v>
      </c>
      <c r="C19" s="24"/>
      <c r="D19" s="37" t="s">
        <v>78</v>
      </c>
      <c r="E19" s="24"/>
      <c r="F19" s="58">
        <f>B27/B7</f>
        <v>4.4003196219406586</v>
      </c>
      <c r="G19" s="59"/>
      <c r="H19" s="25"/>
      <c r="J19" t="s">
        <v>79</v>
      </c>
      <c r="K19" s="40">
        <v>0</v>
      </c>
      <c r="L19" s="41">
        <v>3</v>
      </c>
      <c r="M19" s="41" t="s">
        <v>25</v>
      </c>
      <c r="N19" s="42">
        <v>0</v>
      </c>
      <c r="O19" s="43" t="s">
        <v>45</v>
      </c>
      <c r="P19" s="30">
        <f t="shared" si="0"/>
        <v>2.2022341505875525</v>
      </c>
      <c r="Q19" s="30">
        <f t="shared" si="1"/>
        <v>0</v>
      </c>
      <c r="R19" s="30">
        <f t="shared" si="2"/>
        <v>0</v>
      </c>
      <c r="S19" s="30" t="e">
        <f t="shared" si="3"/>
        <v>#DIV/0!</v>
      </c>
      <c r="T19" s="30">
        <f t="shared" si="4"/>
        <v>0</v>
      </c>
      <c r="U19" s="31"/>
      <c r="V19" s="3"/>
      <c r="W19" s="53"/>
      <c r="X19" s="22" t="s">
        <v>80</v>
      </c>
      <c r="Y19" s="22">
        <v>0.02</v>
      </c>
      <c r="Z19" s="22">
        <v>0.6</v>
      </c>
      <c r="AA19" s="22">
        <v>975</v>
      </c>
      <c r="AB19" s="22">
        <v>840</v>
      </c>
      <c r="AC19" s="54">
        <f>Y19/Z19</f>
        <v>3.3333333333333333E-2</v>
      </c>
      <c r="AD19" s="55">
        <f>Y19*AA19*AB19</f>
        <v>16380</v>
      </c>
      <c r="AE19" s="14"/>
      <c r="AF19" s="14"/>
      <c r="AG19" s="14"/>
    </row>
    <row r="20" spans="1:33" ht="15" customHeight="1" x14ac:dyDescent="0.25">
      <c r="A20" s="23" t="s">
        <v>81</v>
      </c>
      <c r="B20" s="49">
        <f>B18-B19</f>
        <v>54.183999999999997</v>
      </c>
      <c r="C20" s="24"/>
      <c r="D20" s="57"/>
      <c r="E20" s="59"/>
      <c r="F20" s="59"/>
      <c r="G20" s="59"/>
      <c r="H20" s="61"/>
      <c r="J20" t="s">
        <v>82</v>
      </c>
      <c r="K20" s="40">
        <v>0</v>
      </c>
      <c r="L20" s="41">
        <v>3</v>
      </c>
      <c r="M20" s="41" t="s">
        <v>25</v>
      </c>
      <c r="N20" s="42">
        <f>7.12*(7.5-3.5)/2</f>
        <v>14.24</v>
      </c>
      <c r="O20" s="43" t="s">
        <v>50</v>
      </c>
      <c r="P20" s="30">
        <f t="shared" si="0"/>
        <v>2.2022341505875525</v>
      </c>
      <c r="Q20" s="30">
        <f t="shared" si="1"/>
        <v>31.359814304366747</v>
      </c>
      <c r="R20" s="30">
        <f t="shared" si="2"/>
        <v>6406291.2000000002</v>
      </c>
      <c r="S20" s="30">
        <f t="shared" si="3"/>
        <v>449880</v>
      </c>
      <c r="T20" s="30">
        <f t="shared" si="4"/>
        <v>5765491.2000000002</v>
      </c>
      <c r="U20" s="31"/>
      <c r="V20" s="3"/>
      <c r="AE20" s="14"/>
      <c r="AF20" s="14"/>
      <c r="AG20" s="14"/>
    </row>
    <row r="21" spans="1:33" ht="15" customHeight="1" x14ac:dyDescent="0.25">
      <c r="A21" s="23"/>
      <c r="B21" s="24"/>
      <c r="C21" s="24"/>
      <c r="D21" s="37" t="s">
        <v>83</v>
      </c>
      <c r="E21" s="59"/>
      <c r="F21" s="62">
        <f>G5/B24</f>
        <v>7.732926802324297E-2</v>
      </c>
      <c r="G21" s="59"/>
      <c r="H21" s="25"/>
      <c r="J21" t="s">
        <v>84</v>
      </c>
      <c r="K21" s="40">
        <v>0</v>
      </c>
      <c r="L21" s="41">
        <v>3</v>
      </c>
      <c r="M21" s="41" t="s">
        <v>54</v>
      </c>
      <c r="N21" s="42">
        <v>0</v>
      </c>
      <c r="O21" s="43" t="s">
        <v>26</v>
      </c>
      <c r="P21" s="30">
        <f t="shared" si="0"/>
        <v>5</v>
      </c>
      <c r="Q21" s="30">
        <f t="shared" si="1"/>
        <v>0</v>
      </c>
      <c r="R21" s="30">
        <f t="shared" si="2"/>
        <v>0</v>
      </c>
      <c r="S21" s="30" t="e">
        <f t="shared" si="3"/>
        <v>#DIV/0!</v>
      </c>
      <c r="T21" s="30">
        <f t="shared" si="4"/>
        <v>0</v>
      </c>
      <c r="U21" s="31"/>
      <c r="V21" s="3"/>
      <c r="W21" s="16" t="s">
        <v>85</v>
      </c>
      <c r="X21" s="17"/>
      <c r="Y21" s="18" t="s">
        <v>21</v>
      </c>
      <c r="Z21" s="19">
        <f>(1/(1/8+SUM(AC23:AC25)+1/8))</f>
        <v>1.9926199261992623</v>
      </c>
      <c r="AA21" s="17" t="s">
        <v>5</v>
      </c>
      <c r="AB21" s="17"/>
      <c r="AC21" s="17" t="s">
        <v>22</v>
      </c>
      <c r="AD21" s="20">
        <f>SUM(AD23:AD26)</f>
        <v>150360</v>
      </c>
      <c r="AE21" s="14" t="s">
        <v>23</v>
      </c>
      <c r="AF21" s="14">
        <f>SUM(AD23:AD26)</f>
        <v>150360</v>
      </c>
      <c r="AG21" s="14"/>
    </row>
    <row r="22" spans="1:33" ht="15" customHeight="1" x14ac:dyDescent="0.25">
      <c r="A22" s="23"/>
      <c r="B22" s="24"/>
      <c r="C22" s="24"/>
      <c r="D22" s="37" t="s">
        <v>86</v>
      </c>
      <c r="E22" s="59"/>
      <c r="F22" s="62">
        <f>G5/B7</f>
        <v>0.13351134846461948</v>
      </c>
      <c r="G22" s="59"/>
      <c r="H22" s="25"/>
      <c r="J22" t="s">
        <v>87</v>
      </c>
      <c r="K22" s="40">
        <v>0</v>
      </c>
      <c r="L22" s="41">
        <v>3</v>
      </c>
      <c r="M22" s="41" t="s">
        <v>54</v>
      </c>
      <c r="N22" s="42">
        <v>2</v>
      </c>
      <c r="O22" s="43" t="s">
        <v>39</v>
      </c>
      <c r="P22" s="30">
        <f t="shared" si="0"/>
        <v>5</v>
      </c>
      <c r="Q22" s="30">
        <f t="shared" si="1"/>
        <v>10</v>
      </c>
      <c r="R22" s="30">
        <f t="shared" si="2"/>
        <v>0</v>
      </c>
      <c r="S22" s="30">
        <f t="shared" si="3"/>
        <v>0</v>
      </c>
      <c r="T22" s="30">
        <f t="shared" si="4"/>
        <v>0</v>
      </c>
      <c r="U22" s="31"/>
      <c r="V22" s="3"/>
      <c r="W22" s="32"/>
      <c r="X22" s="33" t="s">
        <v>27</v>
      </c>
      <c r="Y22" s="33" t="s">
        <v>28</v>
      </c>
      <c r="Z22" s="33" t="s">
        <v>29</v>
      </c>
      <c r="AA22" s="33" t="s">
        <v>30</v>
      </c>
      <c r="AB22" s="33" t="s">
        <v>31</v>
      </c>
      <c r="AC22" s="33" t="s">
        <v>32</v>
      </c>
      <c r="AD22" s="34" t="s">
        <v>33</v>
      </c>
      <c r="AE22" s="14"/>
      <c r="AF22" s="14"/>
      <c r="AG22" s="14"/>
    </row>
    <row r="23" spans="1:33" ht="15" customHeight="1" x14ac:dyDescent="0.25">
      <c r="A23" s="53"/>
      <c r="B23" s="22"/>
      <c r="C23" s="22"/>
      <c r="D23" s="23" t="s">
        <v>88</v>
      </c>
      <c r="E23" s="24"/>
      <c r="F23" s="38">
        <f>G5/B27</f>
        <v>3.034128425555992E-2</v>
      </c>
      <c r="G23" s="24"/>
      <c r="H23" s="25"/>
      <c r="J23" t="s">
        <v>89</v>
      </c>
      <c r="K23" s="40">
        <v>0</v>
      </c>
      <c r="L23" s="41">
        <v>3</v>
      </c>
      <c r="M23" s="41" t="s">
        <v>54</v>
      </c>
      <c r="N23" s="42">
        <v>0</v>
      </c>
      <c r="O23" s="43" t="s">
        <v>45</v>
      </c>
      <c r="P23" s="30">
        <f t="shared" si="0"/>
        <v>5</v>
      </c>
      <c r="Q23" s="30">
        <f t="shared" si="1"/>
        <v>0</v>
      </c>
      <c r="R23" s="30">
        <f t="shared" si="2"/>
        <v>0</v>
      </c>
      <c r="S23" s="30" t="e">
        <f t="shared" si="3"/>
        <v>#DIV/0!</v>
      </c>
      <c r="T23" s="30">
        <f t="shared" si="4"/>
        <v>0</v>
      </c>
      <c r="U23" s="31"/>
      <c r="V23" s="3"/>
      <c r="W23" s="23"/>
      <c r="X23" s="24" t="s">
        <v>90</v>
      </c>
      <c r="Y23" s="24">
        <v>0.02</v>
      </c>
      <c r="Z23" s="24">
        <v>0.6</v>
      </c>
      <c r="AA23" s="24">
        <v>975</v>
      </c>
      <c r="AB23" s="24">
        <v>840</v>
      </c>
      <c r="AC23" s="44">
        <f>Y23/Z23</f>
        <v>3.3333333333333333E-2</v>
      </c>
      <c r="AD23" s="25">
        <f>Y23*AA23*AB23</f>
        <v>16380</v>
      </c>
      <c r="AE23" s="14"/>
      <c r="AF23" s="14"/>
      <c r="AG23" s="14"/>
    </row>
    <row r="24" spans="1:33" ht="15" customHeight="1" x14ac:dyDescent="0.25">
      <c r="A24" s="6" t="s">
        <v>91</v>
      </c>
      <c r="B24" s="60">
        <f>B18+B7</f>
        <v>181.04399999999998</v>
      </c>
      <c r="C24" s="7" t="s">
        <v>9</v>
      </c>
      <c r="D24" s="23"/>
      <c r="E24" s="24"/>
      <c r="F24" s="24"/>
      <c r="G24" s="24"/>
      <c r="H24" s="25"/>
      <c r="J24" t="s">
        <v>92</v>
      </c>
      <c r="K24" s="40">
        <v>0</v>
      </c>
      <c r="L24" s="41">
        <v>3</v>
      </c>
      <c r="M24" s="41" t="s">
        <v>54</v>
      </c>
      <c r="N24" s="42">
        <f>H20</f>
        <v>0</v>
      </c>
      <c r="O24" s="43" t="s">
        <v>50</v>
      </c>
      <c r="P24" s="30">
        <f t="shared" si="0"/>
        <v>5</v>
      </c>
      <c r="Q24" s="30">
        <f t="shared" si="1"/>
        <v>0</v>
      </c>
      <c r="R24" s="30">
        <f t="shared" si="2"/>
        <v>0</v>
      </c>
      <c r="S24" s="30" t="e">
        <f t="shared" si="3"/>
        <v>#DIV/0!</v>
      </c>
      <c r="T24" s="30">
        <f t="shared" si="4"/>
        <v>0</v>
      </c>
      <c r="U24" s="31"/>
      <c r="V24" s="3"/>
      <c r="W24" s="23"/>
      <c r="X24" s="24" t="s">
        <v>93</v>
      </c>
      <c r="Y24" s="24">
        <v>0.1</v>
      </c>
      <c r="Z24" s="24">
        <v>0.54</v>
      </c>
      <c r="AA24" s="24">
        <v>1400</v>
      </c>
      <c r="AB24" s="24">
        <v>840</v>
      </c>
      <c r="AC24" s="44">
        <f>Y24/Z24</f>
        <v>0.18518518518518517</v>
      </c>
      <c r="AD24" s="25">
        <f>Y24*AA24*AB24</f>
        <v>117600</v>
      </c>
      <c r="AE24" s="14"/>
      <c r="AF24" s="14"/>
      <c r="AG24" s="14"/>
    </row>
    <row r="25" spans="1:33" ht="15" customHeight="1" x14ac:dyDescent="0.25">
      <c r="A25" s="23" t="s">
        <v>94</v>
      </c>
      <c r="B25" s="63">
        <f>B24/B7</f>
        <v>1.7265306122448978</v>
      </c>
      <c r="C25" s="24"/>
      <c r="D25" s="23" t="s">
        <v>95</v>
      </c>
      <c r="E25" s="24"/>
      <c r="F25" s="63">
        <f>B9/B7</f>
        <v>0.43456036620255584</v>
      </c>
      <c r="G25" s="24"/>
      <c r="H25" s="25"/>
      <c r="J25" t="s">
        <v>96</v>
      </c>
      <c r="K25" s="40">
        <v>0</v>
      </c>
      <c r="L25" s="41">
        <v>3</v>
      </c>
      <c r="M25" s="41" t="s">
        <v>20</v>
      </c>
      <c r="N25" s="42">
        <f>SQRT(3.56^2+3^2)*10.7*2</f>
        <v>99.627515556697489</v>
      </c>
      <c r="O25" s="43" t="s">
        <v>97</v>
      </c>
      <c r="P25" s="30">
        <f t="shared" si="0"/>
        <v>1.6975498473547073</v>
      </c>
      <c r="Q25" s="30">
        <f t="shared" si="1"/>
        <v>169.12267382560054</v>
      </c>
      <c r="R25" s="30">
        <f t="shared" si="2"/>
        <v>7763972.2873334354</v>
      </c>
      <c r="S25" s="30">
        <f t="shared" si="3"/>
        <v>77930</v>
      </c>
      <c r="T25" s="30">
        <f t="shared" si="4"/>
        <v>4207269.9819593346</v>
      </c>
      <c r="U25" s="31"/>
      <c r="V25" s="3"/>
      <c r="W25" s="53"/>
      <c r="X25" s="22" t="s">
        <v>90</v>
      </c>
      <c r="Y25" s="22">
        <v>0.02</v>
      </c>
      <c r="Z25" s="22">
        <v>0.6</v>
      </c>
      <c r="AA25" s="22">
        <v>975</v>
      </c>
      <c r="AB25" s="22">
        <v>840</v>
      </c>
      <c r="AC25" s="54">
        <f>Y25/Z25</f>
        <v>3.3333333333333333E-2</v>
      </c>
      <c r="AD25" s="55">
        <f>Y25*AA25*AB25</f>
        <v>16380</v>
      </c>
      <c r="AE25" s="14"/>
      <c r="AF25" s="14"/>
      <c r="AG25" s="14"/>
    </row>
    <row r="26" spans="1:33" ht="15" customHeight="1" x14ac:dyDescent="0.25">
      <c r="A26" s="53"/>
      <c r="B26" s="22"/>
      <c r="C26" s="22"/>
      <c r="D26" s="23"/>
      <c r="E26" s="24"/>
      <c r="F26" s="24"/>
      <c r="G26" s="24"/>
      <c r="H26" s="25"/>
      <c r="J26" t="s">
        <v>98</v>
      </c>
      <c r="K26" s="40">
        <v>1</v>
      </c>
      <c r="L26" s="41">
        <v>3</v>
      </c>
      <c r="M26" s="41" t="s">
        <v>99</v>
      </c>
      <c r="N26" s="42">
        <f>7.12*10.7</f>
        <v>76.183999999999997</v>
      </c>
      <c r="O26" s="43"/>
      <c r="P26" s="30">
        <f t="shared" si="0"/>
        <v>2.0895522388059704</v>
      </c>
      <c r="Q26" s="30">
        <f t="shared" si="1"/>
        <v>159.19044776119404</v>
      </c>
      <c r="R26" s="30">
        <f t="shared" si="2"/>
        <v>13206496.4</v>
      </c>
      <c r="S26" s="30">
        <f t="shared" si="3"/>
        <v>173350</v>
      </c>
      <c r="T26" s="30">
        <f t="shared" si="4"/>
        <v>13206496.4</v>
      </c>
      <c r="U26" s="31"/>
      <c r="V26" s="3"/>
      <c r="AE26" s="14"/>
      <c r="AF26" s="14"/>
      <c r="AG26" s="14"/>
    </row>
    <row r="27" spans="1:33" ht="15" customHeight="1" x14ac:dyDescent="0.25">
      <c r="A27" s="6" t="s">
        <v>100</v>
      </c>
      <c r="B27" s="8">
        <f>SUM(N6:N25)</f>
        <v>461.41751555669748</v>
      </c>
      <c r="C27" s="9" t="s">
        <v>9</v>
      </c>
      <c r="D27" s="23"/>
      <c r="E27" s="24"/>
      <c r="F27" s="24"/>
      <c r="G27" s="24"/>
      <c r="H27" s="25"/>
      <c r="J27" t="s">
        <v>101</v>
      </c>
      <c r="K27" s="40">
        <v>1</v>
      </c>
      <c r="L27" s="41">
        <v>2</v>
      </c>
      <c r="M27" s="41" t="s">
        <v>85</v>
      </c>
      <c r="N27" s="42">
        <f>8.7*3.5+9.8*3.5+7.12*3.5*2+7.5*3.5</f>
        <v>140.84</v>
      </c>
      <c r="O27" s="43"/>
      <c r="P27" s="30">
        <f t="shared" si="0"/>
        <v>1.9926199261992623</v>
      </c>
      <c r="Q27" s="30">
        <f t="shared" si="1"/>
        <v>280.64059040590411</v>
      </c>
      <c r="R27" s="30">
        <f t="shared" si="2"/>
        <v>21176702.400000002</v>
      </c>
      <c r="S27" s="30">
        <f t="shared" si="3"/>
        <v>150360</v>
      </c>
      <c r="T27" s="30">
        <f t="shared" si="4"/>
        <v>21176702.400000002</v>
      </c>
      <c r="U27" s="31"/>
      <c r="V27" s="3"/>
      <c r="W27" s="16" t="s">
        <v>99</v>
      </c>
      <c r="X27" s="17"/>
      <c r="Y27" s="18" t="s">
        <v>21</v>
      </c>
      <c r="Z27" s="19">
        <f>1/(1/10+SUM(AC29:AC32)+1/6)</f>
        <v>2.0895522388059704</v>
      </c>
      <c r="AA27" s="17" t="s">
        <v>5</v>
      </c>
      <c r="AB27" s="17"/>
      <c r="AC27" s="17" t="s">
        <v>22</v>
      </c>
      <c r="AD27" s="20">
        <f>SUM(AD29:AD33)</f>
        <v>173350</v>
      </c>
      <c r="AE27" s="14" t="s">
        <v>23</v>
      </c>
      <c r="AF27" s="14">
        <f>SUM(AD29:AD32)</f>
        <v>173350</v>
      </c>
      <c r="AG27" s="14"/>
    </row>
    <row r="28" spans="1:33" ht="15" customHeight="1" x14ac:dyDescent="0.25">
      <c r="A28" s="23"/>
      <c r="B28" s="24"/>
      <c r="C28" s="25"/>
      <c r="D28" s="23"/>
      <c r="E28" s="24"/>
      <c r="F28" s="24"/>
      <c r="G28" s="24"/>
      <c r="H28" s="25"/>
      <c r="J28" t="s">
        <v>102</v>
      </c>
      <c r="K28" s="40">
        <v>2</v>
      </c>
      <c r="L28" s="41">
        <v>2</v>
      </c>
      <c r="M28" s="41" t="s">
        <v>85</v>
      </c>
      <c r="N28" s="42">
        <f>7.12*2</f>
        <v>14.24</v>
      </c>
      <c r="O28" s="43"/>
      <c r="P28" s="30">
        <f t="shared" si="0"/>
        <v>1.9926199261992623</v>
      </c>
      <c r="Q28" s="30">
        <f t="shared" si="1"/>
        <v>28.374907749077497</v>
      </c>
      <c r="R28" s="30">
        <f t="shared" si="2"/>
        <v>2141126.4</v>
      </c>
      <c r="S28" s="30">
        <f t="shared" si="3"/>
        <v>150360</v>
      </c>
      <c r="T28" s="30">
        <f t="shared" si="4"/>
        <v>2141126.4</v>
      </c>
      <c r="U28" s="31"/>
      <c r="V28" s="3"/>
      <c r="W28" s="32"/>
      <c r="X28" s="33" t="s">
        <v>27</v>
      </c>
      <c r="Y28" s="33" t="s">
        <v>28</v>
      </c>
      <c r="Z28" s="33" t="s">
        <v>29</v>
      </c>
      <c r="AA28" s="33" t="s">
        <v>30</v>
      </c>
      <c r="AB28" s="33" t="s">
        <v>31</v>
      </c>
      <c r="AC28" s="33" t="s">
        <v>32</v>
      </c>
      <c r="AD28" s="34" t="s">
        <v>33</v>
      </c>
      <c r="AE28" s="14"/>
      <c r="AF28" s="14"/>
      <c r="AG28" s="14"/>
    </row>
    <row r="29" spans="1:33" ht="15" customHeight="1" x14ac:dyDescent="0.25">
      <c r="A29" s="23"/>
      <c r="B29" s="24"/>
      <c r="C29" s="25"/>
      <c r="D29" s="23"/>
      <c r="E29" s="24"/>
      <c r="F29" s="24"/>
      <c r="G29" s="24"/>
      <c r="H29" s="25"/>
      <c r="K29" s="64"/>
      <c r="L29" s="65"/>
      <c r="M29" s="65"/>
      <c r="N29" s="65"/>
      <c r="O29" s="66"/>
      <c r="W29" s="45"/>
      <c r="X29" s="47" t="s">
        <v>103</v>
      </c>
      <c r="Y29" s="47">
        <v>0.02</v>
      </c>
      <c r="Z29" s="47">
        <v>1.4</v>
      </c>
      <c r="AA29" s="47">
        <v>2100</v>
      </c>
      <c r="AB29" s="47">
        <v>840</v>
      </c>
      <c r="AC29" s="67">
        <f>Y29/Z29</f>
        <v>1.4285714285714287E-2</v>
      </c>
      <c r="AD29" s="68">
        <f>Y29*AA29*AB29</f>
        <v>35280</v>
      </c>
      <c r="AE29" s="14" t="s">
        <v>104</v>
      </c>
      <c r="AF29" s="14"/>
      <c r="AG29" s="14"/>
    </row>
    <row r="30" spans="1:33" ht="15" customHeight="1" x14ac:dyDescent="0.25">
      <c r="A30" s="23"/>
      <c r="B30" s="24"/>
      <c r="C30" s="25"/>
      <c r="D30" s="23"/>
      <c r="E30" s="24"/>
      <c r="F30" s="24"/>
      <c r="G30" s="24"/>
      <c r="H30" s="25"/>
      <c r="K30"/>
      <c r="L30"/>
      <c r="M30"/>
      <c r="P30"/>
      <c r="Q30"/>
      <c r="W30" s="23"/>
      <c r="X30" s="24" t="s">
        <v>105</v>
      </c>
      <c r="Y30" s="24">
        <v>0.1</v>
      </c>
      <c r="Z30" s="24">
        <v>0.6</v>
      </c>
      <c r="AA30" s="24">
        <v>1100</v>
      </c>
      <c r="AB30" s="24">
        <v>860</v>
      </c>
      <c r="AC30" s="44">
        <f>Y30/Z30</f>
        <v>0.16666666666666669</v>
      </c>
      <c r="AD30" s="25">
        <f>Y30*AA30*AB30</f>
        <v>94600</v>
      </c>
      <c r="AE30" s="14"/>
      <c r="AF30" s="14"/>
      <c r="AG30" s="14"/>
    </row>
    <row r="31" spans="1:33" ht="15" customHeight="1" x14ac:dyDescent="0.25">
      <c r="A31" s="53"/>
      <c r="B31" s="22"/>
      <c r="C31" s="55"/>
      <c r="D31" s="53"/>
      <c r="E31" s="22"/>
      <c r="F31" s="22"/>
      <c r="G31" s="22"/>
      <c r="H31" s="55"/>
      <c r="K31"/>
      <c r="L31"/>
      <c r="M31"/>
      <c r="P31" s="69" t="s">
        <v>106</v>
      </c>
      <c r="Q31" s="69">
        <f>SUM(Q1:Q25)</f>
        <v>1045.4909933224974</v>
      </c>
      <c r="R31" s="69" t="s">
        <v>107</v>
      </c>
      <c r="W31" s="23"/>
      <c r="X31" s="24" t="s">
        <v>108</v>
      </c>
      <c r="Y31" s="24">
        <v>0.02</v>
      </c>
      <c r="Z31" s="24">
        <v>1.4</v>
      </c>
      <c r="AA31" s="24">
        <v>2100</v>
      </c>
      <c r="AB31" s="24">
        <v>840</v>
      </c>
      <c r="AC31" s="44">
        <f>Y31/Z31</f>
        <v>1.4285714285714287E-2</v>
      </c>
      <c r="AD31" s="25">
        <f>Y31*AA31*AB31</f>
        <v>35280</v>
      </c>
      <c r="AE31" s="14"/>
      <c r="AF31" s="14"/>
      <c r="AG31" s="14"/>
    </row>
    <row r="32" spans="1:33" ht="15" customHeight="1" x14ac:dyDescent="0.25">
      <c r="K32"/>
      <c r="L32"/>
      <c r="M32"/>
      <c r="P32"/>
      <c r="Q32"/>
      <c r="W32" s="53"/>
      <c r="X32" s="22" t="s">
        <v>80</v>
      </c>
      <c r="Y32" s="71">
        <v>0.01</v>
      </c>
      <c r="Z32" s="22">
        <v>0.6</v>
      </c>
      <c r="AA32" s="22">
        <v>975</v>
      </c>
      <c r="AB32" s="22">
        <v>840</v>
      </c>
      <c r="AC32" s="54">
        <f>Y32/Z32</f>
        <v>1.6666666666666666E-2</v>
      </c>
      <c r="AD32" s="55">
        <f>Y32*AA32*AB32</f>
        <v>8190</v>
      </c>
      <c r="AE32" s="14"/>
      <c r="AF32" s="14"/>
      <c r="AG32" s="14"/>
    </row>
    <row r="33" spans="1:33" ht="15" customHeight="1" x14ac:dyDescent="0.25">
      <c r="K33"/>
      <c r="L33"/>
      <c r="M33"/>
      <c r="P33"/>
      <c r="Q33"/>
      <c r="W33" s="24"/>
      <c r="X33" s="24"/>
      <c r="Y33" s="24"/>
      <c r="Z33" s="24"/>
      <c r="AA33" s="24"/>
      <c r="AB33" s="24"/>
      <c r="AC33" s="44"/>
      <c r="AD33" s="24"/>
      <c r="AE33" s="14"/>
      <c r="AF33" s="14"/>
      <c r="AG33" s="14"/>
    </row>
    <row r="34" spans="1:33" ht="15" customHeight="1" x14ac:dyDescent="0.25">
      <c r="A34" s="72" t="s">
        <v>109</v>
      </c>
      <c r="B34" s="72" t="s">
        <v>110</v>
      </c>
      <c r="C34" s="72"/>
      <c r="D34" s="72" t="s">
        <v>111</v>
      </c>
      <c r="E34" s="338" t="s">
        <v>112</v>
      </c>
      <c r="F34" s="338"/>
      <c r="G34" s="72" t="s">
        <v>113</v>
      </c>
      <c r="K34"/>
      <c r="L34"/>
      <c r="M34"/>
      <c r="P34"/>
      <c r="Q34"/>
      <c r="AE34" s="14"/>
      <c r="AF34" s="14"/>
      <c r="AG34" s="14"/>
    </row>
    <row r="35" spans="1:33" ht="15" customHeight="1" x14ac:dyDescent="0.25">
      <c r="A35" s="73">
        <v>1</v>
      </c>
      <c r="B35" s="74">
        <f>3.5*G35</f>
        <v>207.52199999999999</v>
      </c>
      <c r="C35" s="73"/>
      <c r="D35" s="73" t="s">
        <v>42</v>
      </c>
      <c r="E35" s="339">
        <v>21</v>
      </c>
      <c r="F35" s="339"/>
      <c r="G35" s="76">
        <f>VLOOKUP(D35,A7:B23,2,0)</f>
        <v>59.291999999999994</v>
      </c>
      <c r="K35"/>
      <c r="L35"/>
      <c r="M35"/>
      <c r="P35"/>
      <c r="Q35"/>
      <c r="W35" s="16" t="s">
        <v>115</v>
      </c>
      <c r="X35" s="17"/>
      <c r="Y35" s="18" t="s">
        <v>21</v>
      </c>
      <c r="Z35" s="11">
        <v>5</v>
      </c>
      <c r="AA35" s="17" t="s">
        <v>5</v>
      </c>
      <c r="AB35" s="17"/>
      <c r="AC35" s="17" t="s">
        <v>22</v>
      </c>
      <c r="AD35" s="20">
        <f>SUM(AD36:AD37)</f>
        <v>0</v>
      </c>
      <c r="AE35" s="14" t="s">
        <v>23</v>
      </c>
      <c r="AF35" s="14">
        <f>SUM(AD37:AD38)</f>
        <v>0</v>
      </c>
      <c r="AG35" s="14"/>
    </row>
    <row r="36" spans="1:33" ht="15" customHeight="1" x14ac:dyDescent="0.25">
      <c r="A36" s="73">
        <v>2</v>
      </c>
      <c r="B36" s="74">
        <f>3.5*G36</f>
        <v>159.48800000000003</v>
      </c>
      <c r="C36" s="73"/>
      <c r="D36" s="73" t="s">
        <v>116</v>
      </c>
      <c r="E36" s="77">
        <v>16</v>
      </c>
      <c r="F36" s="77"/>
      <c r="G36" s="76">
        <f>VLOOKUP(D36,A8:B24,2,0)</f>
        <v>45.568000000000005</v>
      </c>
      <c r="K36"/>
      <c r="L36"/>
      <c r="M36"/>
      <c r="P36"/>
      <c r="Q36"/>
      <c r="W36" s="45"/>
      <c r="X36" s="47" t="s">
        <v>16</v>
      </c>
      <c r="Y36" s="47">
        <v>5</v>
      </c>
      <c r="Z36" s="47" t="s">
        <v>5</v>
      </c>
      <c r="AA36" s="47"/>
      <c r="AB36" s="47"/>
      <c r="AC36" s="47"/>
      <c r="AD36" s="78"/>
      <c r="AE36" s="14"/>
      <c r="AF36" s="14"/>
      <c r="AG36" s="14"/>
    </row>
    <row r="37" spans="1:33" ht="15" customHeight="1" x14ac:dyDescent="0.25">
      <c r="A37" s="73">
        <v>3</v>
      </c>
      <c r="B37" s="74">
        <f>G37*2</f>
        <v>152.36799999999999</v>
      </c>
      <c r="C37" s="73"/>
      <c r="D37" s="73" t="s">
        <v>118</v>
      </c>
      <c r="E37" s="340" t="s">
        <v>119</v>
      </c>
      <c r="F37" s="340"/>
      <c r="G37" s="76">
        <f>B18</f>
        <v>76.183999999999997</v>
      </c>
      <c r="K37"/>
      <c r="L37"/>
      <c r="M37"/>
      <c r="P37"/>
      <c r="Q37"/>
      <c r="W37" s="53"/>
      <c r="X37" s="22" t="s">
        <v>121</v>
      </c>
      <c r="Y37" s="22">
        <v>0.59</v>
      </c>
      <c r="Z37" s="22"/>
      <c r="AA37" s="22"/>
      <c r="AB37" s="22"/>
      <c r="AC37" s="22"/>
      <c r="AD37" s="55"/>
      <c r="AE37" s="14"/>
      <c r="AF37" s="14"/>
      <c r="AG37" s="14"/>
    </row>
    <row r="38" spans="1:33" ht="15" customHeight="1" x14ac:dyDescent="0.25">
      <c r="K38"/>
      <c r="L38"/>
      <c r="M38"/>
      <c r="P38"/>
      <c r="Q38"/>
      <c r="AE38" s="14"/>
      <c r="AF38" s="14"/>
      <c r="AG38" s="14"/>
    </row>
    <row r="39" spans="1:33" ht="15" customHeight="1" x14ac:dyDescent="0.25">
      <c r="B39" s="3"/>
      <c r="K39"/>
      <c r="L39"/>
      <c r="M39"/>
      <c r="P39"/>
      <c r="Q39"/>
      <c r="AE39" s="14"/>
      <c r="AF39" s="14"/>
      <c r="AG39" s="14"/>
    </row>
    <row r="40" spans="1:33" ht="15" customHeight="1" x14ac:dyDescent="0.25">
      <c r="K40"/>
      <c r="L40"/>
      <c r="M40"/>
      <c r="P40"/>
      <c r="Q40"/>
      <c r="W40" s="16" t="s">
        <v>63</v>
      </c>
      <c r="X40" s="17"/>
      <c r="Y40" s="18" t="s">
        <v>21</v>
      </c>
      <c r="Z40" s="19">
        <f>1/(1/10+SUM(AC42:AC46))</f>
        <v>2.5990099009900991</v>
      </c>
      <c r="AA40" s="17" t="s">
        <v>5</v>
      </c>
      <c r="AB40" s="17"/>
      <c r="AC40" s="17" t="s">
        <v>22</v>
      </c>
      <c r="AD40" s="20">
        <f>SUM(AD42:AD46)</f>
        <v>449648</v>
      </c>
      <c r="AE40" s="14" t="s">
        <v>23</v>
      </c>
      <c r="AF40" s="14">
        <f>SUM(AD42:AD43)</f>
        <v>96848</v>
      </c>
      <c r="AG40" s="14"/>
    </row>
    <row r="41" spans="1:33" ht="15" customHeight="1" x14ac:dyDescent="0.25">
      <c r="K41"/>
      <c r="L41"/>
      <c r="M41"/>
      <c r="P41"/>
      <c r="Q41"/>
      <c r="W41" s="32"/>
      <c r="X41" s="33" t="s">
        <v>27</v>
      </c>
      <c r="Y41" s="33" t="s">
        <v>28</v>
      </c>
      <c r="Z41" s="33" t="s">
        <v>29</v>
      </c>
      <c r="AA41" s="33" t="s">
        <v>30</v>
      </c>
      <c r="AB41" s="33" t="s">
        <v>31</v>
      </c>
      <c r="AC41" s="33" t="s">
        <v>32</v>
      </c>
      <c r="AD41" s="34" t="s">
        <v>33</v>
      </c>
      <c r="AE41" s="14"/>
      <c r="AF41" s="14"/>
      <c r="AG41" s="14"/>
    </row>
    <row r="42" spans="1:33" ht="15" customHeight="1" x14ac:dyDescent="0.25">
      <c r="K42"/>
      <c r="L42"/>
      <c r="M42"/>
      <c r="P42"/>
      <c r="Q42"/>
      <c r="W42" s="45"/>
      <c r="X42" s="47" t="s">
        <v>128</v>
      </c>
      <c r="Y42" s="47">
        <v>1.2E-2</v>
      </c>
      <c r="Z42" s="47">
        <v>1.4</v>
      </c>
      <c r="AA42" s="47">
        <v>2100</v>
      </c>
      <c r="AB42" s="47">
        <v>840</v>
      </c>
      <c r="AC42" s="67">
        <f>Y42/Z42</f>
        <v>8.5714285714285719E-3</v>
      </c>
      <c r="AD42" s="68">
        <f>Y42*AA42*AB42</f>
        <v>21168</v>
      </c>
      <c r="AE42" s="14" t="s">
        <v>104</v>
      </c>
      <c r="AF42" s="14"/>
      <c r="AG42" s="14"/>
    </row>
    <row r="43" spans="1:33" ht="15" customHeight="1" x14ac:dyDescent="0.25">
      <c r="K43"/>
      <c r="L43"/>
      <c r="M43"/>
      <c r="P43"/>
      <c r="Q43"/>
      <c r="W43" s="23"/>
      <c r="X43" s="24" t="s">
        <v>129</v>
      </c>
      <c r="Y43" s="24">
        <v>0.08</v>
      </c>
      <c r="Z43" s="24">
        <v>0.6</v>
      </c>
      <c r="AA43" s="24">
        <v>1100</v>
      </c>
      <c r="AB43" s="24">
        <v>860</v>
      </c>
      <c r="AC43" s="44">
        <f>Y43/Z43</f>
        <v>0.13333333333333333</v>
      </c>
      <c r="AD43" s="25">
        <f>Y43*AA43*AB43</f>
        <v>75680</v>
      </c>
      <c r="AE43" s="14"/>
      <c r="AF43" s="14"/>
      <c r="AG43" s="14"/>
    </row>
    <row r="44" spans="1:33" ht="15" customHeight="1" x14ac:dyDescent="0.25">
      <c r="K44"/>
      <c r="L44"/>
      <c r="M44"/>
      <c r="P44"/>
      <c r="Q44"/>
      <c r="W44" s="23"/>
      <c r="X44" s="24" t="s">
        <v>130</v>
      </c>
      <c r="Y44" s="24">
        <v>0</v>
      </c>
      <c r="Z44" s="24">
        <v>0.02</v>
      </c>
      <c r="AA44" s="24">
        <v>30</v>
      </c>
      <c r="AB44" s="24">
        <v>1470</v>
      </c>
      <c r="AC44" s="44">
        <f>Y44/Z44</f>
        <v>0</v>
      </c>
      <c r="AD44" s="25">
        <f>Y44*AA44*AB44</f>
        <v>0</v>
      </c>
      <c r="AE44" s="14"/>
      <c r="AF44" s="14"/>
      <c r="AG44" s="14"/>
    </row>
    <row r="45" spans="1:33" ht="15" customHeight="1" x14ac:dyDescent="0.25">
      <c r="E45" s="79"/>
      <c r="K45"/>
      <c r="L45"/>
      <c r="M45"/>
      <c r="P45"/>
      <c r="Q45"/>
      <c r="W45" s="23"/>
      <c r="X45" s="24" t="s">
        <v>131</v>
      </c>
      <c r="Y45" s="24">
        <v>0.2</v>
      </c>
      <c r="Z45" s="24">
        <v>1.4</v>
      </c>
      <c r="AA45" s="24">
        <v>2100</v>
      </c>
      <c r="AB45" s="24">
        <v>840</v>
      </c>
      <c r="AC45" s="44">
        <f>Y45/Z45</f>
        <v>0.14285714285714288</v>
      </c>
      <c r="AD45" s="25">
        <f>Y45*AA45*AB45</f>
        <v>352800</v>
      </c>
      <c r="AE45" s="14"/>
      <c r="AF45" s="14"/>
      <c r="AG45" s="14"/>
    </row>
    <row r="46" spans="1:33" ht="15" customHeight="1" x14ac:dyDescent="0.25">
      <c r="E46" s="79"/>
      <c r="K46"/>
      <c r="L46"/>
      <c r="M46"/>
      <c r="P46"/>
      <c r="Q46"/>
      <c r="W46" s="53"/>
      <c r="X46" s="22" t="s">
        <v>132</v>
      </c>
      <c r="Y46" s="22">
        <v>0</v>
      </c>
      <c r="Z46" s="22">
        <v>0.02</v>
      </c>
      <c r="AA46" s="22">
        <v>30</v>
      </c>
      <c r="AB46" s="22">
        <v>1470</v>
      </c>
      <c r="AC46" s="54">
        <f>Y46/Z46</f>
        <v>0</v>
      </c>
      <c r="AD46" s="55">
        <f>Y46*AA46*AB46</f>
        <v>0</v>
      </c>
      <c r="AE46" s="14"/>
      <c r="AF46" s="14"/>
      <c r="AG46" s="14"/>
    </row>
    <row r="47" spans="1:33" ht="15" customHeight="1" x14ac:dyDescent="0.25">
      <c r="K47"/>
      <c r="L47"/>
      <c r="M47"/>
      <c r="P47"/>
      <c r="Q47"/>
      <c r="W47" s="24"/>
      <c r="X47" s="24"/>
      <c r="Y47" s="24"/>
      <c r="Z47" s="24"/>
      <c r="AA47" s="24"/>
      <c r="AB47" s="24"/>
      <c r="AC47" s="44"/>
      <c r="AD47" s="24"/>
      <c r="AE47" s="14"/>
      <c r="AF47" s="14"/>
      <c r="AG47" s="14"/>
    </row>
    <row r="48" spans="1:33" ht="15" customHeight="1" x14ac:dyDescent="0.25">
      <c r="B48" s="3"/>
      <c r="K48"/>
      <c r="L48"/>
      <c r="M48"/>
      <c r="P48"/>
      <c r="Q48"/>
      <c r="AE48" s="14"/>
      <c r="AF48" s="14"/>
      <c r="AG48" s="14"/>
    </row>
    <row r="49" spans="2:33" ht="15" customHeight="1" x14ac:dyDescent="0.25">
      <c r="B49" s="3"/>
      <c r="K49"/>
      <c r="L49"/>
      <c r="M49"/>
      <c r="P49"/>
      <c r="Q49"/>
      <c r="W49" s="16" t="s">
        <v>68</v>
      </c>
      <c r="X49" s="17"/>
      <c r="Y49" s="18" t="s">
        <v>21</v>
      </c>
      <c r="Z49" s="11">
        <v>4</v>
      </c>
      <c r="AA49" s="17" t="s">
        <v>5</v>
      </c>
      <c r="AB49" s="17"/>
      <c r="AC49" s="17" t="s">
        <v>22</v>
      </c>
      <c r="AD49" s="20">
        <f>0.04*550*1660</f>
        <v>36520</v>
      </c>
      <c r="AE49" s="14" t="s">
        <v>23</v>
      </c>
      <c r="AF49" s="14">
        <f>SUM(AD51:AD52)</f>
        <v>0</v>
      </c>
      <c r="AG49" s="14"/>
    </row>
    <row r="50" spans="2:33" ht="15" customHeight="1" x14ac:dyDescent="0.25">
      <c r="B50" s="3"/>
      <c r="K50"/>
      <c r="L50"/>
      <c r="M50"/>
      <c r="P50"/>
      <c r="Q50"/>
      <c r="W50" s="45"/>
      <c r="X50" s="47" t="s">
        <v>16</v>
      </c>
      <c r="Y50" s="47">
        <v>4</v>
      </c>
      <c r="Z50" s="47" t="s">
        <v>5</v>
      </c>
      <c r="AA50" s="47"/>
      <c r="AB50" s="47"/>
      <c r="AC50" s="47"/>
      <c r="AD50" s="78"/>
      <c r="AE50" s="14"/>
      <c r="AF50" s="14"/>
      <c r="AG50" s="14"/>
    </row>
    <row r="51" spans="2:33" ht="15" customHeight="1" x14ac:dyDescent="0.25">
      <c r="K51"/>
      <c r="L51"/>
      <c r="M51"/>
      <c r="P51"/>
      <c r="Q51"/>
      <c r="W51" s="53"/>
      <c r="X51" s="22" t="s">
        <v>121</v>
      </c>
      <c r="Y51" s="22">
        <v>0</v>
      </c>
      <c r="Z51" s="22"/>
      <c r="AA51" s="22"/>
      <c r="AB51" s="22"/>
      <c r="AC51" s="22"/>
      <c r="AD51" s="55"/>
      <c r="AE51" s="14"/>
      <c r="AF51" s="14"/>
      <c r="AG51" s="14"/>
    </row>
  </sheetData>
  <mergeCells count="7">
    <mergeCell ref="V3:AG3"/>
    <mergeCell ref="E34:F34"/>
    <mergeCell ref="E35:F35"/>
    <mergeCell ref="E37:F37"/>
    <mergeCell ref="A1:G1"/>
    <mergeCell ref="A3:H3"/>
    <mergeCell ref="J3:T3"/>
  </mergeCells>
  <pageMargins left="0.25" right="0.25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13" zoomScaleNormal="100" workbookViewId="0">
      <selection activeCell="B33" sqref="B33"/>
    </sheetView>
  </sheetViews>
  <sheetFormatPr defaultRowHeight="15" x14ac:dyDescent="0.25"/>
  <cols>
    <col min="1" max="1" width="30.7109375"/>
    <col min="2" max="2" width="20.42578125"/>
    <col min="3" max="3" width="8.5703125"/>
    <col min="4" max="4" width="0" hidden="1"/>
    <col min="5" max="1025" width="8.5703125"/>
  </cols>
  <sheetData>
    <row r="1" spans="1:5" ht="15" customHeight="1" x14ac:dyDescent="0.3">
      <c r="A1" s="82" t="s">
        <v>134</v>
      </c>
      <c r="B1" s="82"/>
      <c r="C1" s="82"/>
    </row>
    <row r="3" spans="1:5" ht="15" customHeight="1" x14ac:dyDescent="0.25">
      <c r="A3" s="83" t="s">
        <v>135</v>
      </c>
      <c r="B3" s="342" t="s">
        <v>4</v>
      </c>
      <c r="C3" s="342"/>
      <c r="D3" t="s">
        <v>136</v>
      </c>
    </row>
    <row r="4" spans="1:5" ht="15" customHeight="1" x14ac:dyDescent="0.25">
      <c r="A4" s="84" t="s">
        <v>137</v>
      </c>
      <c r="B4" s="84">
        <v>224</v>
      </c>
      <c r="C4" s="84" t="s">
        <v>9</v>
      </c>
      <c r="D4" s="85">
        <f>'Gebouwgegevens Allacker'!B24</f>
        <v>181.04399999999998</v>
      </c>
    </row>
    <row r="5" spans="1:5" ht="15" customHeight="1" x14ac:dyDescent="0.25">
      <c r="A5" s="84" t="s">
        <v>6</v>
      </c>
      <c r="B5" s="84">
        <v>615.9</v>
      </c>
      <c r="C5" s="84" t="s">
        <v>7</v>
      </c>
      <c r="D5" s="81">
        <f>'Gebouwgegevens Allacker'!B5</f>
        <v>502</v>
      </c>
      <c r="E5" s="212">
        <f>B5/B4</f>
        <v>2.7495535714285713</v>
      </c>
    </row>
    <row r="6" spans="1:5" ht="15" customHeight="1" x14ac:dyDescent="0.25">
      <c r="A6" s="84" t="s">
        <v>138</v>
      </c>
      <c r="B6" s="84">
        <v>410</v>
      </c>
      <c r="C6" s="84" t="s">
        <v>9</v>
      </c>
      <c r="D6" s="3">
        <f>'Gebouwgegevens Allacker'!B27</f>
        <v>461.41751555669748</v>
      </c>
    </row>
    <row r="7" spans="1:5" ht="15" customHeight="1" x14ac:dyDescent="0.25">
      <c r="A7" s="84" t="s">
        <v>20</v>
      </c>
      <c r="B7" s="84">
        <v>125.2</v>
      </c>
      <c r="C7" s="84" t="s">
        <v>9</v>
      </c>
      <c r="D7" s="3">
        <f>'Gebouwgegevens Allacker'!N15+'Gebouwgegevens Allacker'!N25</f>
        <v>128.62751555669749</v>
      </c>
    </row>
    <row r="8" spans="1:5" ht="15" customHeight="1" x14ac:dyDescent="0.25">
      <c r="A8" s="84" t="s">
        <v>139</v>
      </c>
      <c r="B8" s="86">
        <v>121.4</v>
      </c>
      <c r="C8" s="84" t="s">
        <v>9</v>
      </c>
      <c r="D8">
        <v>0</v>
      </c>
    </row>
    <row r="9" spans="1:5" ht="15" customHeight="1" x14ac:dyDescent="0.25">
      <c r="A9" s="84" t="s">
        <v>140</v>
      </c>
      <c r="B9" s="84">
        <v>16.5</v>
      </c>
      <c r="C9" s="84" t="s">
        <v>9</v>
      </c>
      <c r="D9">
        <v>0</v>
      </c>
    </row>
    <row r="10" spans="1:5" ht="15" customHeight="1" x14ac:dyDescent="0.25">
      <c r="A10" s="84" t="s">
        <v>141</v>
      </c>
      <c r="B10" s="153">
        <f>B8+B9</f>
        <v>137.9</v>
      </c>
      <c r="C10" s="84"/>
      <c r="D10" s="3">
        <f>SUM('Gebouwgegevens Allacker'!N6:N9,'Gebouwgegevens Allacker'!N17:N20)</f>
        <v>206.43000000000004</v>
      </c>
    </row>
    <row r="11" spans="1:5" ht="15" customHeight="1" x14ac:dyDescent="0.25">
      <c r="A11" s="84" t="s">
        <v>142</v>
      </c>
      <c r="B11" s="84">
        <v>65.7</v>
      </c>
      <c r="C11" s="84" t="s">
        <v>9</v>
      </c>
      <c r="D11">
        <v>0</v>
      </c>
    </row>
    <row r="12" spans="1:5" ht="15" customHeight="1" x14ac:dyDescent="0.25">
      <c r="A12" s="84" t="s">
        <v>143</v>
      </c>
      <c r="B12" s="84">
        <v>37.700000000000003</v>
      </c>
      <c r="C12" s="84" t="s">
        <v>9</v>
      </c>
      <c r="D12">
        <v>0</v>
      </c>
    </row>
    <row r="13" spans="1:5" ht="15" customHeight="1" x14ac:dyDescent="0.25">
      <c r="A13" s="84" t="s">
        <v>144</v>
      </c>
      <c r="B13" s="84">
        <v>0</v>
      </c>
      <c r="C13" s="84" t="s">
        <v>9</v>
      </c>
      <c r="D13">
        <v>0</v>
      </c>
    </row>
    <row r="14" spans="1:5" ht="15" customHeight="1" x14ac:dyDescent="0.25">
      <c r="A14" s="84" t="s">
        <v>145</v>
      </c>
      <c r="B14" s="84">
        <f>B11+B12</f>
        <v>103.4</v>
      </c>
      <c r="C14" s="84"/>
      <c r="D14" s="3">
        <f>SUM('Gebouwgegevens Allacker'!N14)</f>
        <v>104.86</v>
      </c>
    </row>
    <row r="15" spans="1:5" s="81" customFormat="1" ht="15" customHeight="1" x14ac:dyDescent="0.25">
      <c r="A15" s="84" t="s">
        <v>612</v>
      </c>
      <c r="B15" s="84">
        <v>2</v>
      </c>
      <c r="C15" s="84"/>
      <c r="D15" s="3"/>
    </row>
    <row r="16" spans="1:5" s="81" customFormat="1" ht="15" customHeight="1" x14ac:dyDescent="0.25">
      <c r="A16" s="84" t="s">
        <v>613</v>
      </c>
      <c r="B16" s="317">
        <f>E5</f>
        <v>2.7495535714285713</v>
      </c>
      <c r="C16" s="318" t="s">
        <v>70</v>
      </c>
      <c r="D16" s="3"/>
    </row>
    <row r="17" spans="1:4" s="81" customFormat="1" ht="15" customHeight="1" x14ac:dyDescent="0.25">
      <c r="A17" s="84" t="s">
        <v>614</v>
      </c>
      <c r="B17" s="317">
        <f>SQRT(B14/2)</f>
        <v>7.1902712048990196</v>
      </c>
      <c r="C17" s="318" t="s">
        <v>70</v>
      </c>
      <c r="D17" s="3"/>
    </row>
    <row r="18" spans="1:4" s="81" customFormat="1" ht="15" customHeight="1" x14ac:dyDescent="0.25">
      <c r="A18" s="84" t="s">
        <v>615</v>
      </c>
      <c r="B18" s="317">
        <f>B14/B17</f>
        <v>14.380542409798041</v>
      </c>
      <c r="C18" s="318" t="s">
        <v>70</v>
      </c>
      <c r="D18" s="3"/>
    </row>
    <row r="19" spans="1:4" s="81" customFormat="1" ht="15" customHeight="1" x14ac:dyDescent="0.25">
      <c r="A19" s="84" t="s">
        <v>616</v>
      </c>
      <c r="B19" s="317">
        <f>B15*B16*B17</f>
        <v>39.540071741940231</v>
      </c>
      <c r="C19" s="318"/>
      <c r="D19" s="3"/>
    </row>
    <row r="20" spans="1:4" s="81" customFormat="1" ht="15" customHeight="1" x14ac:dyDescent="0.25">
      <c r="A20" s="84" t="s">
        <v>617</v>
      </c>
      <c r="B20" s="317">
        <f>B10-2*B19</f>
        <v>58.819856516119543</v>
      </c>
      <c r="C20" s="318" t="s">
        <v>9</v>
      </c>
      <c r="D20" s="3"/>
    </row>
    <row r="21" spans="1:4" ht="15" customHeight="1" x14ac:dyDescent="0.25">
      <c r="A21" s="84" t="s">
        <v>146</v>
      </c>
      <c r="B21" s="84">
        <v>9.5</v>
      </c>
      <c r="C21" s="84" t="s">
        <v>9</v>
      </c>
      <c r="D21" s="3">
        <f>'Gebouwgegevens Allacker'!N16</f>
        <v>7.5</v>
      </c>
    </row>
    <row r="22" spans="1:4" ht="15" customHeight="1" x14ac:dyDescent="0.25">
      <c r="A22" s="84" t="s">
        <v>147</v>
      </c>
      <c r="B22" s="84">
        <v>8.1</v>
      </c>
      <c r="C22" s="84" t="s">
        <v>9</v>
      </c>
      <c r="D22">
        <v>0</v>
      </c>
    </row>
    <row r="23" spans="1:4" ht="15" customHeight="1" x14ac:dyDescent="0.25">
      <c r="A23" s="84" t="s">
        <v>148</v>
      </c>
      <c r="B23" s="84">
        <v>6.9</v>
      </c>
      <c r="C23" s="84" t="s">
        <v>9</v>
      </c>
      <c r="D23">
        <v>0</v>
      </c>
    </row>
    <row r="24" spans="1:4" ht="15" customHeight="1" x14ac:dyDescent="0.25">
      <c r="A24" s="84" t="s">
        <v>149</v>
      </c>
      <c r="B24" s="84">
        <v>9</v>
      </c>
      <c r="C24" s="84" t="s">
        <v>9</v>
      </c>
      <c r="D24">
        <v>0</v>
      </c>
    </row>
    <row r="25" spans="1:4" ht="15" customHeight="1" x14ac:dyDescent="0.25">
      <c r="A25" s="84" t="s">
        <v>150</v>
      </c>
      <c r="B25" s="84">
        <v>10.1</v>
      </c>
      <c r="C25" s="84" t="s">
        <v>9</v>
      </c>
      <c r="D25">
        <v>0</v>
      </c>
    </row>
    <row r="26" spans="1:4" ht="15" customHeight="1" x14ac:dyDescent="0.25">
      <c r="A26" s="84" t="s">
        <v>151</v>
      </c>
      <c r="B26" s="84">
        <f>SUM(B22:B25)</f>
        <v>34.1</v>
      </c>
      <c r="C26" s="84"/>
      <c r="D26">
        <f>'Gebouwgegevens Allacker'!G5</f>
        <v>14</v>
      </c>
    </row>
    <row r="27" spans="1:4" ht="15" customHeight="1" x14ac:dyDescent="0.25">
      <c r="A27" s="84" t="s">
        <v>152</v>
      </c>
      <c r="B27" s="86">
        <f>B5/B6</f>
        <v>1.5021951219512195</v>
      </c>
      <c r="C27" s="84"/>
      <c r="D27" s="3">
        <f>'Gebouwgegevens Allacker'!F17</f>
        <v>1.0879517640207914</v>
      </c>
    </row>
    <row r="28" spans="1:4" ht="15" customHeight="1" x14ac:dyDescent="0.25">
      <c r="A28" s="84" t="s">
        <v>153</v>
      </c>
      <c r="B28" s="86">
        <f>B6/(SUM(B11:B13)*2)</f>
        <v>1.9825918762088974</v>
      </c>
      <c r="C28" s="84"/>
      <c r="D28" s="3">
        <f>'Gebouwgegevens Allacker'!F18</f>
        <v>2.5486484807930534</v>
      </c>
    </row>
    <row r="29" spans="1:4" ht="15" customHeight="1" x14ac:dyDescent="0.25">
      <c r="A29" s="84" t="s">
        <v>154</v>
      </c>
      <c r="B29" s="86">
        <f>B6/(SUM(B11:B13))</f>
        <v>3.9651837524177949</v>
      </c>
      <c r="C29" s="84"/>
      <c r="D29" s="3">
        <f>'Gebouwgegevens Allacker'!F19</f>
        <v>4.4003196219406586</v>
      </c>
    </row>
    <row r="30" spans="1:4" ht="15" customHeight="1" x14ac:dyDescent="0.25">
      <c r="A30" s="84" t="s">
        <v>155</v>
      </c>
      <c r="B30" s="86">
        <f>SUM(B22:B25)/B6</f>
        <v>8.3170731707317078E-2</v>
      </c>
      <c r="C30" s="84"/>
      <c r="D30" s="3">
        <f>'Gebouwgegevens Allacker'!F23</f>
        <v>3.034128425555992E-2</v>
      </c>
    </row>
    <row r="31" spans="1:4" ht="15" customHeight="1" x14ac:dyDescent="0.25">
      <c r="A31" s="84" t="s">
        <v>156</v>
      </c>
      <c r="B31" s="87">
        <f>SUM(B22:B25)/SUM(B11:B13)/2</f>
        <v>0.16489361702127658</v>
      </c>
      <c r="C31" s="84"/>
      <c r="D31" s="3">
        <f>'Gebouwgegevens Allacker'!F21</f>
        <v>7.732926802324297E-2</v>
      </c>
    </row>
    <row r="32" spans="1:4" ht="15" customHeight="1" x14ac:dyDescent="0.25">
      <c r="A32" s="84" t="s">
        <v>157</v>
      </c>
      <c r="B32" s="88">
        <f>SUM(B22:B25)/SUM(B11:B13)</f>
        <v>0.32978723404255317</v>
      </c>
      <c r="C32" s="84"/>
      <c r="D32" s="3">
        <f>'Gebouwgegevens Allacker'!F22</f>
        <v>0.13351134846461948</v>
      </c>
    </row>
    <row r="33" spans="1:6" s="81" customFormat="1" ht="15" customHeight="1" x14ac:dyDescent="0.25">
      <c r="A33" s="84"/>
      <c r="B33" s="298">
        <v>12</v>
      </c>
      <c r="C33" s="84"/>
      <c r="D33" s="3"/>
      <c r="E33" s="81">
        <v>6</v>
      </c>
      <c r="F33" s="81">
        <v>2.5</v>
      </c>
    </row>
    <row r="34" spans="1:6" x14ac:dyDescent="0.25">
      <c r="A34" s="84" t="s">
        <v>302</v>
      </c>
      <c r="B34">
        <f>B33/B5*B6</f>
        <v>7.9883097905504146</v>
      </c>
      <c r="E34">
        <f>E33/B5*B6</f>
        <v>3.9941548952752073</v>
      </c>
      <c r="F34">
        <f>F33/B5*B6</f>
        <v>1.6642312063646696</v>
      </c>
    </row>
    <row r="38" spans="1:6" ht="15" customHeight="1" x14ac:dyDescent="0.25">
      <c r="A38" s="89" t="s">
        <v>158</v>
      </c>
      <c r="B38" s="89"/>
    </row>
    <row r="39" spans="1:6" ht="15" customHeight="1" x14ac:dyDescent="0.25">
      <c r="A39" s="90" t="s">
        <v>137</v>
      </c>
      <c r="B39" s="90">
        <f>'Tabula data'!B4/'Gebouwgegevens Allacker'!B24</f>
        <v>1.2372682883718875</v>
      </c>
    </row>
    <row r="40" spans="1:6" ht="15" customHeight="1" x14ac:dyDescent="0.25">
      <c r="A40" s="90" t="s">
        <v>6</v>
      </c>
      <c r="B40" s="90">
        <f>B5/'Gebouwgegevens Allacker'!B5</f>
        <v>1.2268924302788844</v>
      </c>
    </row>
    <row r="41" spans="1:6" ht="15" customHeight="1" x14ac:dyDescent="0.25">
      <c r="A41" s="90" t="s">
        <v>138</v>
      </c>
      <c r="B41" s="90">
        <f>B6/'Gebouwgegevens Allacker'!B27</f>
        <v>0.88856618176996915</v>
      </c>
    </row>
    <row r="42" spans="1:6" ht="15" customHeight="1" x14ac:dyDescent="0.25">
      <c r="A42" s="90" t="s">
        <v>20</v>
      </c>
      <c r="B42" s="90">
        <f>B7/('Gebouwgegevens Allacker'!N15+'Gebouwgegevens Allacker'!N25)</f>
        <v>0.97335316987299914</v>
      </c>
    </row>
    <row r="43" spans="1:6" ht="15" customHeight="1" x14ac:dyDescent="0.25">
      <c r="A43" s="90" t="s">
        <v>139</v>
      </c>
      <c r="B43" s="90">
        <f>(B8+B9)/SUM('Gebouwgegevens Allacker'!N6:N9,'Gebouwgegevens Allacker'!N17:N20)</f>
        <v>0.66802305866395384</v>
      </c>
    </row>
    <row r="44" spans="1:6" ht="15" customHeight="1" x14ac:dyDescent="0.25">
      <c r="A44" s="90" t="s">
        <v>159</v>
      </c>
      <c r="B44" s="90">
        <f>SUM(B11:B12)/'Gebouwgegevens Allacker'!B7</f>
        <v>0.98607667366011831</v>
      </c>
    </row>
    <row r="45" spans="1:6" ht="15" customHeight="1" x14ac:dyDescent="0.25">
      <c r="A45" s="90" t="s">
        <v>146</v>
      </c>
      <c r="B45" s="90">
        <f>B21/'Gebouwgegevens Allacker'!N16</f>
        <v>1.2666666666666666</v>
      </c>
    </row>
    <row r="46" spans="1:6" ht="15" customHeight="1" x14ac:dyDescent="0.25">
      <c r="A46" s="90" t="s">
        <v>160</v>
      </c>
      <c r="B46" s="90">
        <f>SUM(B22:B25)/'Gebouwgegevens Allacker'!G5</f>
        <v>2.4357142857142859</v>
      </c>
    </row>
    <row r="47" spans="1:6" ht="15" customHeight="1" x14ac:dyDescent="0.25">
      <c r="A47" s="90" t="s">
        <v>152</v>
      </c>
      <c r="B47" s="90">
        <f>B27/'Gebouwgegevens Allacker'!F17</f>
        <v>1.3807552610600038</v>
      </c>
    </row>
    <row r="48" spans="1:6" ht="15" customHeight="1" x14ac:dyDescent="0.25">
      <c r="A48" s="90" t="s">
        <v>153</v>
      </c>
      <c r="B48" s="90">
        <f>B28/'Gebouwgegevens Allacker'!F18</f>
        <v>0.77789930276770913</v>
      </c>
    </row>
    <row r="49" spans="1:2" ht="15" customHeight="1" x14ac:dyDescent="0.25">
      <c r="A49" s="90" t="s">
        <v>154</v>
      </c>
      <c r="B49" s="90">
        <f>'Tabula data'!B29/'Gebouwgegevens Allacker'!F19</f>
        <v>0.90111266750869401</v>
      </c>
    </row>
    <row r="50" spans="1:2" ht="15" customHeight="1" x14ac:dyDescent="0.25">
      <c r="A50" s="90" t="s">
        <v>155</v>
      </c>
      <c r="B50" s="90">
        <f>B30/'Gebouwgegevens Allacker'!F23</f>
        <v>2.7411737422444924</v>
      </c>
    </row>
    <row r="51" spans="1:2" ht="15" customHeight="1" x14ac:dyDescent="0.25">
      <c r="A51" s="90" t="s">
        <v>156</v>
      </c>
      <c r="B51" s="90">
        <f>B31/'Gebouwgegevens Allacker'!F21</f>
        <v>2.1323571428571428</v>
      </c>
    </row>
    <row r="52" spans="1:2" ht="15" customHeight="1" x14ac:dyDescent="0.25">
      <c r="A52" s="90" t="s">
        <v>157</v>
      </c>
      <c r="B52" s="90">
        <f>B32/'Gebouwgegevens Allacker'!F22</f>
        <v>2.4701063829787233</v>
      </c>
    </row>
  </sheetData>
  <mergeCells count="1">
    <mergeCell ref="B3: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zoomScaleNormal="100" workbookViewId="0">
      <selection activeCellId="1" sqref="A27:B27 A1:I1"/>
    </sheetView>
  </sheetViews>
  <sheetFormatPr defaultRowHeight="15" x14ac:dyDescent="0.25"/>
  <cols>
    <col min="1" max="1" width="9.140625" style="3"/>
    <col min="2" max="2" width="11.5703125" style="3"/>
    <col min="3" max="3" width="10" style="3"/>
    <col min="4" max="4" width="12.5703125" style="3"/>
    <col min="5" max="5" width="21.7109375" style="3"/>
    <col min="6" max="7" width="12" style="3"/>
    <col min="8" max="21" width="9.140625" style="3"/>
    <col min="22" max="22" width="9.28515625" style="3"/>
    <col min="23" max="23" width="12.42578125" style="3"/>
    <col min="24" max="1025" width="9.140625" style="3"/>
  </cols>
  <sheetData>
    <row r="1" spans="1:25" ht="20.25" customHeight="1" x14ac:dyDescent="0.25">
      <c r="A1" s="341" t="s">
        <v>161</v>
      </c>
      <c r="B1" s="341"/>
      <c r="C1" s="341"/>
      <c r="D1" s="341"/>
      <c r="E1" s="341"/>
      <c r="F1" s="341"/>
      <c r="G1" s="341"/>
      <c r="H1" s="341"/>
      <c r="I1" s="341"/>
      <c r="J1" s="91"/>
      <c r="K1" s="91"/>
      <c r="L1" s="91"/>
      <c r="M1" s="91"/>
      <c r="N1" s="91"/>
      <c r="O1" s="91"/>
      <c r="P1" s="91"/>
    </row>
    <row r="2" spans="1:25" ht="15.75" customHeight="1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25" ht="15.75" customHeight="1" x14ac:dyDescent="0.25">
      <c r="A3" s="91" t="s">
        <v>162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25" ht="15.75" customHeight="1" x14ac:dyDescent="0.25">
      <c r="A4" s="92" t="s">
        <v>163</v>
      </c>
      <c r="B4" s="92">
        <v>-8</v>
      </c>
      <c r="C4" s="92" t="s">
        <v>164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U4" s="93"/>
      <c r="V4" s="75"/>
      <c r="W4" s="75"/>
      <c r="X4" s="75"/>
      <c r="Y4" s="94"/>
    </row>
    <row r="5" spans="1:25" ht="18" customHeight="1" x14ac:dyDescent="0.25">
      <c r="A5" s="93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94"/>
      <c r="U5" s="95"/>
      <c r="V5" s="338" t="s">
        <v>165</v>
      </c>
      <c r="W5" s="338"/>
      <c r="X5" s="338"/>
      <c r="Y5" s="96"/>
    </row>
    <row r="6" spans="1:25" ht="18.75" customHeight="1" x14ac:dyDescent="0.3">
      <c r="A6" s="97" t="s">
        <v>166</v>
      </c>
      <c r="B6" s="92">
        <v>1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6"/>
      <c r="U6" s="95"/>
      <c r="V6" s="99" t="s">
        <v>166</v>
      </c>
      <c r="W6" s="100" t="s">
        <v>167</v>
      </c>
      <c r="X6" s="75"/>
      <c r="Y6" s="96"/>
    </row>
    <row r="7" spans="1:25" ht="16.5" customHeight="1" x14ac:dyDescent="0.25">
      <c r="A7" s="343" t="s">
        <v>168</v>
      </c>
      <c r="B7" s="343"/>
      <c r="C7" s="343"/>
      <c r="D7" s="343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94"/>
      <c r="U7" s="95"/>
      <c r="V7" s="101">
        <f>B6</f>
        <v>1</v>
      </c>
      <c r="W7" s="102">
        <f>B73</f>
        <v>21584.030838614995</v>
      </c>
      <c r="X7" s="98" t="s">
        <v>169</v>
      </c>
      <c r="Y7" s="96"/>
    </row>
    <row r="8" spans="1:25" ht="15" customHeight="1" x14ac:dyDescent="0.25">
      <c r="A8" s="95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6"/>
      <c r="U8" s="95"/>
      <c r="V8" s="101">
        <f>B78</f>
        <v>2</v>
      </c>
      <c r="W8" s="102" t="e">
        <f>B152</f>
        <v>#N/A</v>
      </c>
      <c r="X8" s="98" t="s">
        <v>169</v>
      </c>
      <c r="Y8" s="96"/>
    </row>
    <row r="9" spans="1:25" ht="15" customHeight="1" x14ac:dyDescent="0.25">
      <c r="A9" s="103" t="s">
        <v>170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6"/>
      <c r="U9" s="95"/>
      <c r="V9" s="101">
        <f>B158</f>
        <v>3</v>
      </c>
      <c r="W9" s="102" t="e">
        <f>B232</f>
        <v>#N/A</v>
      </c>
      <c r="X9" s="98" t="s">
        <v>169</v>
      </c>
      <c r="Y9" s="96"/>
    </row>
    <row r="10" spans="1:25" ht="15" customHeight="1" x14ac:dyDescent="0.25">
      <c r="A10" s="95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6"/>
      <c r="U10" s="95"/>
      <c r="V10" s="101">
        <f>B237</f>
        <v>4</v>
      </c>
      <c r="W10" s="102" t="e">
        <f>B311</f>
        <v>#N/A</v>
      </c>
      <c r="X10" s="98" t="s">
        <v>169</v>
      </c>
      <c r="Y10" s="96"/>
    </row>
    <row r="11" spans="1:25" ht="15.75" customHeight="1" x14ac:dyDescent="0.25">
      <c r="A11" s="95"/>
      <c r="B11" s="104" t="s">
        <v>10</v>
      </c>
      <c r="C11" s="104" t="s">
        <v>171</v>
      </c>
      <c r="D11" s="104" t="s">
        <v>172</v>
      </c>
      <c r="E11" s="104" t="s">
        <v>173</v>
      </c>
      <c r="F11" s="104" t="s">
        <v>174</v>
      </c>
      <c r="G11" s="104" t="s">
        <v>16</v>
      </c>
      <c r="H11" s="105" t="s">
        <v>17</v>
      </c>
      <c r="I11" s="105" t="s">
        <v>175</v>
      </c>
      <c r="J11" s="98"/>
      <c r="K11" s="98"/>
      <c r="L11" s="98"/>
      <c r="M11" s="98"/>
      <c r="N11" s="98"/>
      <c r="O11" s="98"/>
      <c r="P11" s="96"/>
      <c r="U11" s="95"/>
      <c r="V11" s="101">
        <f>B316</f>
        <v>5</v>
      </c>
      <c r="W11" s="102" t="e">
        <f>B390</f>
        <v>#N/A</v>
      </c>
      <c r="X11" s="98" t="s">
        <v>169</v>
      </c>
      <c r="Y11" s="96"/>
    </row>
    <row r="12" spans="1:25" ht="16.5" customHeight="1" x14ac:dyDescent="0.25">
      <c r="A12" s="95"/>
      <c r="B12" s="106" t="str">
        <f>'Gebouwgegevens Allacker'!J6</f>
        <v>W1</v>
      </c>
      <c r="C12" s="107">
        <f>VLOOKUP(B12,'Gebouwgegevens Allacker'!$J$5:$Q$83,3,0)</f>
        <v>1</v>
      </c>
      <c r="D12" s="107" t="str">
        <f>VLOOKUP(B12,'Gebouwgegevens Allacker'!$J$5:$Q$83,4,0)</f>
        <v>Wall External</v>
      </c>
      <c r="E12" s="107">
        <f>VLOOKUP(B12,'Gebouwgegevens Allacker'!$J$5:$Q$83,5,0)</f>
        <v>25.449999999999996</v>
      </c>
      <c r="F12" s="107" t="str">
        <f>VLOOKUP(B12,'Gebouwgegevens Allacker'!$J$5:$Q$83,6,0)</f>
        <v>front</v>
      </c>
      <c r="G12" s="107">
        <f>VLOOKUP(B12,'Gebouwgegevens Allacker'!$J$5:$Q$83,7,0)</f>
        <v>2.2022341505875525</v>
      </c>
      <c r="H12" s="108">
        <f>VLOOKUP(B12,'Gebouwgegevens Allacker'!$J$5:$Q$83,8,0)</f>
        <v>56.0468591324532</v>
      </c>
      <c r="I12" s="108">
        <v>1</v>
      </c>
      <c r="J12" s="98"/>
      <c r="K12" s="98"/>
      <c r="L12" s="98"/>
      <c r="M12" s="98"/>
      <c r="N12" s="98"/>
      <c r="O12" s="98"/>
      <c r="P12" s="96"/>
      <c r="U12" s="95"/>
      <c r="V12" s="101">
        <f>6</f>
        <v>6</v>
      </c>
      <c r="W12" s="102" t="e">
        <f>B468</f>
        <v>#N/A</v>
      </c>
      <c r="X12" s="98" t="s">
        <v>169</v>
      </c>
      <c r="Y12" s="96"/>
    </row>
    <row r="13" spans="1:25" ht="16.5" customHeight="1" x14ac:dyDescent="0.25">
      <c r="A13" s="95"/>
      <c r="B13" s="106" t="str">
        <f>'Gebouwgegevens Allacker'!J7</f>
        <v>W2</v>
      </c>
      <c r="C13" s="107">
        <f>VLOOKUP(B13,'Gebouwgegevens Allacker'!$J$5:$Q$83,3,0)</f>
        <v>1</v>
      </c>
      <c r="D13" s="107" t="str">
        <f>VLOOKUP(B13,'Gebouwgegevens Allacker'!$J$5:$Q$83,4,0)</f>
        <v>Wall External</v>
      </c>
      <c r="E13" s="107">
        <f>VLOOKUP(B13,'Gebouwgegevens Allacker'!$J$5:$Q$83,5,0)</f>
        <v>85.750000000000014</v>
      </c>
      <c r="F13" s="107" t="str">
        <f>VLOOKUP(B13,'Gebouwgegevens Allacker'!$J$5:$Q$83,6,0)</f>
        <v>right</v>
      </c>
      <c r="G13" s="107">
        <f>VLOOKUP(B13,'Gebouwgegevens Allacker'!$J$5:$Q$83,7,0)</f>
        <v>2.2022341505875525</v>
      </c>
      <c r="H13" s="108">
        <f>VLOOKUP(B13,'Gebouwgegevens Allacker'!$J$5:$Q$83,8,0)</f>
        <v>188.84157841288265</v>
      </c>
      <c r="I13" s="108">
        <v>1</v>
      </c>
      <c r="J13" s="98"/>
      <c r="K13" s="98"/>
      <c r="L13" s="98"/>
      <c r="M13" s="98"/>
      <c r="N13" s="98"/>
      <c r="O13" s="98"/>
      <c r="P13" s="96"/>
      <c r="U13" s="95"/>
      <c r="V13" s="101">
        <v>7</v>
      </c>
      <c r="W13" s="102" t="e">
        <f>B546</f>
        <v>#N/A</v>
      </c>
      <c r="X13" s="98" t="s">
        <v>169</v>
      </c>
      <c r="Y13" s="96"/>
    </row>
    <row r="14" spans="1:25" ht="16.5" customHeight="1" x14ac:dyDescent="0.25">
      <c r="A14" s="95"/>
      <c r="B14" s="106" t="str">
        <f>'Gebouwgegevens Allacker'!J8</f>
        <v>W3</v>
      </c>
      <c r="C14" s="107">
        <f>VLOOKUP(B14,'Gebouwgegevens Allacker'!$J$5:$Q$83,3,0)</f>
        <v>1</v>
      </c>
      <c r="D14" s="107" t="str">
        <f>VLOOKUP(B14,'Gebouwgegevens Allacker'!$J$5:$Q$83,4,0)</f>
        <v>Wall External</v>
      </c>
      <c r="E14" s="107">
        <f>VLOOKUP(B14,'Gebouwgegevens Allacker'!$J$5:$Q$83,5,0)</f>
        <v>32.449999999999996</v>
      </c>
      <c r="F14" s="107" t="str">
        <f>VLOOKUP(B14,'Gebouwgegevens Allacker'!$J$5:$Q$83,6,0)</f>
        <v>back</v>
      </c>
      <c r="G14" s="107">
        <f>VLOOKUP(B14,'Gebouwgegevens Allacker'!$J$5:$Q$83,7,0)</f>
        <v>2.2022341505875525</v>
      </c>
      <c r="H14" s="108">
        <f>VLOOKUP(B14,'Gebouwgegevens Allacker'!$J$5:$Q$83,8,0)</f>
        <v>71.462498186566066</v>
      </c>
      <c r="I14" s="108">
        <v>1</v>
      </c>
      <c r="J14" s="98"/>
      <c r="K14" s="98"/>
      <c r="L14" s="98"/>
      <c r="M14" s="98"/>
      <c r="N14" s="98"/>
      <c r="O14" s="98"/>
      <c r="P14" s="96"/>
      <c r="U14" s="95"/>
      <c r="V14" s="101">
        <v>8</v>
      </c>
      <c r="W14" s="102" t="e">
        <f>B625</f>
        <v>#N/A</v>
      </c>
      <c r="X14" s="98" t="s">
        <v>169</v>
      </c>
      <c r="Y14" s="96"/>
    </row>
    <row r="15" spans="1:25" ht="16.5" customHeight="1" x14ac:dyDescent="0.25">
      <c r="A15" s="95"/>
      <c r="B15" s="106" t="str">
        <f>'Gebouwgegevens Allacker'!J9</f>
        <v>W4</v>
      </c>
      <c r="C15" s="107">
        <f>VLOOKUP(B15,'Gebouwgegevens Allacker'!$J$5:$Q$83,3,0)</f>
        <v>1</v>
      </c>
      <c r="D15" s="107" t="str">
        <f>VLOOKUP(B15,'Gebouwgegevens Allacker'!$J$5:$Q$83,4,0)</f>
        <v>Wall External</v>
      </c>
      <c r="E15" s="107">
        <f>VLOOKUP(B15,'Gebouwgegevens Allacker'!$J$5:$Q$83,5,0)</f>
        <v>34.300000000000004</v>
      </c>
      <c r="F15" s="107" t="str">
        <f>VLOOKUP(B15,'Gebouwgegevens Allacker'!$J$5:$Q$83,6,0)</f>
        <v>left</v>
      </c>
      <c r="G15" s="107">
        <f>VLOOKUP(B15,'Gebouwgegevens Allacker'!$J$5:$Q$83,7,0)</f>
        <v>2.2022341505875525</v>
      </c>
      <c r="H15" s="108">
        <f>VLOOKUP(B15,'Gebouwgegevens Allacker'!$J$5:$Q$83,8,0)</f>
        <v>75.536631365153056</v>
      </c>
      <c r="I15" s="108">
        <v>1</v>
      </c>
      <c r="J15" s="98"/>
      <c r="K15" s="98"/>
      <c r="L15" s="98"/>
      <c r="M15" s="98"/>
      <c r="N15" s="98"/>
      <c r="O15" s="98"/>
      <c r="P15" s="96"/>
      <c r="U15" s="95"/>
      <c r="V15" s="101">
        <v>9</v>
      </c>
      <c r="W15" s="102" t="e">
        <f>B704</f>
        <v>#N/A</v>
      </c>
      <c r="X15" s="98" t="s">
        <v>169</v>
      </c>
      <c r="Y15" s="96"/>
    </row>
    <row r="16" spans="1:25" ht="16.5" customHeight="1" x14ac:dyDescent="0.25">
      <c r="A16" s="95"/>
      <c r="B16" s="106" t="str">
        <f>'Gebouwgegevens Allacker'!J10</f>
        <v>W5</v>
      </c>
      <c r="C16" s="107">
        <f>VLOOKUP(B16,'Gebouwgegevens Allacker'!$J$5:$Q$83,3,0)</f>
        <v>1</v>
      </c>
      <c r="D16" s="107" t="str">
        <f>VLOOKUP(B16,'Gebouwgegevens Allacker'!$J$5:$Q$83,4,0)</f>
        <v>Window</v>
      </c>
      <c r="E16" s="107">
        <f>VLOOKUP(B16,'Gebouwgegevens Allacker'!$J$5:$Q$83,5,0)</f>
        <v>7</v>
      </c>
      <c r="F16" s="107" t="str">
        <f>VLOOKUP(B16,'Gebouwgegevens Allacker'!$J$5:$Q$83,6,0)</f>
        <v>front</v>
      </c>
      <c r="G16" s="107">
        <f>VLOOKUP(B16,'Gebouwgegevens Allacker'!$J$5:$Q$83,7,0)</f>
        <v>5</v>
      </c>
      <c r="H16" s="108">
        <f>VLOOKUP(B16,'Gebouwgegevens Allacker'!$J$5:$Q$83,8,0)</f>
        <v>35</v>
      </c>
      <c r="I16" s="108">
        <v>1</v>
      </c>
      <c r="J16" s="98"/>
      <c r="K16" s="98"/>
      <c r="L16" s="98"/>
      <c r="M16" s="98"/>
      <c r="N16" s="98"/>
      <c r="O16" s="98"/>
      <c r="P16" s="96"/>
      <c r="U16" s="95"/>
      <c r="V16" s="101">
        <v>10</v>
      </c>
      <c r="W16" s="102" t="e">
        <f>B783</f>
        <v>#N/A</v>
      </c>
      <c r="X16" s="98" t="s">
        <v>169</v>
      </c>
      <c r="Y16" s="96"/>
    </row>
    <row r="17" spans="1:25" ht="16.5" customHeight="1" x14ac:dyDescent="0.25">
      <c r="A17" s="95"/>
      <c r="B17" s="106" t="str">
        <f>'Gebouwgegevens Allacker'!J11</f>
        <v>W6</v>
      </c>
      <c r="C17" s="107">
        <f>VLOOKUP(B17,'Gebouwgegevens Allacker'!$J$5:$Q$83,3,0)</f>
        <v>1</v>
      </c>
      <c r="D17" s="107" t="str">
        <f>VLOOKUP(B17,'Gebouwgegevens Allacker'!$J$5:$Q$83,4,0)</f>
        <v>Window</v>
      </c>
      <c r="E17" s="107">
        <f>VLOOKUP(B17,'Gebouwgegevens Allacker'!$J$5:$Q$83,5,0)</f>
        <v>0</v>
      </c>
      <c r="F17" s="107" t="str">
        <f>VLOOKUP(B17,'Gebouwgegevens Allacker'!$J$5:$Q$83,6,0)</f>
        <v>right</v>
      </c>
      <c r="G17" s="107">
        <f>VLOOKUP(B17,'Gebouwgegevens Allacker'!$J$5:$Q$83,7,0)</f>
        <v>5</v>
      </c>
      <c r="H17" s="108">
        <f>VLOOKUP(B17,'Gebouwgegevens Allacker'!$J$5:$Q$83,8,0)</f>
        <v>0</v>
      </c>
      <c r="I17" s="108">
        <v>1</v>
      </c>
      <c r="J17" s="98"/>
      <c r="K17" s="98"/>
      <c r="L17" s="98"/>
      <c r="M17" s="98"/>
      <c r="N17" s="98"/>
      <c r="O17" s="98"/>
      <c r="P17" s="96"/>
      <c r="U17" s="95"/>
      <c r="V17" s="101"/>
      <c r="W17" s="102"/>
      <c r="X17" s="98"/>
      <c r="Y17" s="96"/>
    </row>
    <row r="18" spans="1:25" ht="16.5" customHeight="1" x14ac:dyDescent="0.25">
      <c r="A18" s="95"/>
      <c r="B18" s="106" t="str">
        <f>'Gebouwgegevens Allacker'!J12</f>
        <v>W7</v>
      </c>
      <c r="C18" s="107">
        <f>VLOOKUP(B18,'Gebouwgegevens Allacker'!$J$5:$Q$83,3,0)</f>
        <v>1</v>
      </c>
      <c r="D18" s="107" t="str">
        <f>VLOOKUP(B18,'Gebouwgegevens Allacker'!$J$5:$Q$83,4,0)</f>
        <v>Window</v>
      </c>
      <c r="E18" s="107">
        <f>VLOOKUP(B18,'Gebouwgegevens Allacker'!$J$5:$Q$83,5,0)</f>
        <v>5</v>
      </c>
      <c r="F18" s="107" t="str">
        <f>VLOOKUP(B18,'Gebouwgegevens Allacker'!$J$5:$Q$83,6,0)</f>
        <v>back</v>
      </c>
      <c r="G18" s="107">
        <f>VLOOKUP(B18,'Gebouwgegevens Allacker'!$J$5:$Q$83,7,0)</f>
        <v>5</v>
      </c>
      <c r="H18" s="108">
        <f>VLOOKUP(B18,'Gebouwgegevens Allacker'!$J$5:$Q$83,8,0)</f>
        <v>25</v>
      </c>
      <c r="I18" s="108">
        <v>1</v>
      </c>
      <c r="J18" s="98"/>
      <c r="K18" s="98"/>
      <c r="L18" s="98"/>
      <c r="M18" s="98"/>
      <c r="N18" s="98"/>
      <c r="O18" s="98"/>
      <c r="P18" s="96"/>
      <c r="U18" s="95"/>
      <c r="V18" s="99" t="s">
        <v>176</v>
      </c>
      <c r="W18" s="100" t="e">
        <f>SUM(W7:W16)</f>
        <v>#N/A</v>
      </c>
      <c r="X18" s="75" t="s">
        <v>169</v>
      </c>
      <c r="Y18" s="96"/>
    </row>
    <row r="19" spans="1:25" ht="16.5" customHeight="1" x14ac:dyDescent="0.25">
      <c r="A19" s="95"/>
      <c r="B19" s="106" t="str">
        <f>'Gebouwgegevens Allacker'!J13</f>
        <v>W8</v>
      </c>
      <c r="C19" s="107">
        <f>VLOOKUP(B19,'Gebouwgegevens Allacker'!$J$5:$Q$83,3,0)</f>
        <v>1</v>
      </c>
      <c r="D19" s="107" t="str">
        <f>VLOOKUP(B19,'Gebouwgegevens Allacker'!$J$5:$Q$83,4,0)</f>
        <v>Window</v>
      </c>
      <c r="E19" s="107">
        <f>VLOOKUP(B19,'Gebouwgegevens Allacker'!$J$5:$Q$83,5,0)</f>
        <v>0</v>
      </c>
      <c r="F19" s="107" t="str">
        <f>VLOOKUP(B19,'Gebouwgegevens Allacker'!$J$5:$Q$83,6,0)</f>
        <v>left</v>
      </c>
      <c r="G19" s="107">
        <f>VLOOKUP(B19,'Gebouwgegevens Allacker'!$J$5:$Q$83,7,0)</f>
        <v>5</v>
      </c>
      <c r="H19" s="108">
        <f>VLOOKUP(B19,'Gebouwgegevens Allacker'!$J$5:$Q$83,8,0)</f>
        <v>0</v>
      </c>
      <c r="I19" s="108">
        <v>1</v>
      </c>
      <c r="J19" s="98"/>
      <c r="K19" s="98"/>
      <c r="L19" s="98"/>
      <c r="M19" s="98"/>
      <c r="N19" s="98"/>
      <c r="O19" s="98"/>
      <c r="P19" s="96"/>
      <c r="U19" s="109"/>
      <c r="V19" s="110"/>
      <c r="W19" s="110"/>
      <c r="X19" s="110"/>
      <c r="Y19" s="111"/>
    </row>
    <row r="20" spans="1:25" ht="16.5" customHeight="1" x14ac:dyDescent="0.25">
      <c r="A20" s="95"/>
      <c r="B20" s="106"/>
      <c r="C20" s="107"/>
      <c r="D20" s="107"/>
      <c r="E20" s="107"/>
      <c r="F20" s="107"/>
      <c r="G20" s="107"/>
      <c r="H20" s="108"/>
      <c r="I20" s="108"/>
      <c r="J20" s="98"/>
      <c r="K20" s="98"/>
      <c r="L20" s="98"/>
      <c r="M20" s="98"/>
      <c r="N20" s="98"/>
      <c r="O20" s="98"/>
      <c r="P20" s="96"/>
      <c r="U20" s="98"/>
      <c r="V20" s="98"/>
      <c r="W20" s="98"/>
      <c r="X20" s="98"/>
      <c r="Y20" s="98"/>
    </row>
    <row r="21" spans="1:25" ht="16.5" customHeight="1" x14ac:dyDescent="0.25">
      <c r="A21" s="95"/>
      <c r="B21" s="106" t="str">
        <f>'Gebouwgegevens Allacker'!J15</f>
        <v>W10</v>
      </c>
      <c r="C21" s="107">
        <f>VLOOKUP(B21,'Gebouwgegevens Allacker'!$J$5:$Q$83,3,0)</f>
        <v>1</v>
      </c>
      <c r="D21" s="107" t="str">
        <f>VLOOKUP(B21,'Gebouwgegevens Allacker'!$J$5:$Q$83,4,0)</f>
        <v>Roof</v>
      </c>
      <c r="E21" s="107">
        <f>VLOOKUP(B21,'Gebouwgegevens Allacker'!$J$5:$Q$83,5,0)</f>
        <v>29</v>
      </c>
      <c r="F21" s="107">
        <f>VLOOKUP(B21,'Gebouwgegevens Allacker'!$J$5:$Q$83,6,0)</f>
        <v>0</v>
      </c>
      <c r="G21" s="107">
        <f>VLOOKUP(B21,'Gebouwgegevens Allacker'!$J$5:$Q$83,7,0)</f>
        <v>1.6975498473547073</v>
      </c>
      <c r="H21" s="108">
        <f>VLOOKUP(B21,'Gebouwgegevens Allacker'!$J$5:$Q$83,8,0)</f>
        <v>49.228945573286509</v>
      </c>
      <c r="I21" s="108">
        <v>1</v>
      </c>
      <c r="J21" s="98"/>
      <c r="K21" s="98"/>
      <c r="L21" s="98"/>
      <c r="M21" s="98"/>
      <c r="N21" s="98"/>
      <c r="O21" s="98"/>
      <c r="P21" s="96"/>
      <c r="U21" s="98"/>
      <c r="V21" s="98"/>
      <c r="W21" s="98"/>
      <c r="X21" s="98"/>
      <c r="Y21" s="98"/>
    </row>
    <row r="22" spans="1:25" ht="16.5" customHeight="1" x14ac:dyDescent="0.25">
      <c r="A22" s="95"/>
      <c r="B22" s="106"/>
      <c r="C22" s="107"/>
      <c r="D22" s="107"/>
      <c r="E22" s="107"/>
      <c r="F22" s="107"/>
      <c r="G22" s="107"/>
      <c r="H22" s="108"/>
      <c r="I22" s="108"/>
      <c r="J22" s="98"/>
      <c r="K22" s="98"/>
      <c r="L22" s="98"/>
      <c r="M22" s="98"/>
      <c r="N22" s="98"/>
      <c r="O22" s="98"/>
      <c r="P22" s="96"/>
      <c r="U22" s="98"/>
      <c r="V22" s="98"/>
      <c r="W22" s="98"/>
      <c r="X22" s="98"/>
      <c r="Y22" s="98"/>
    </row>
    <row r="23" spans="1:25" ht="16.5" customHeight="1" x14ac:dyDescent="0.25">
      <c r="A23" s="95"/>
      <c r="B23" s="106"/>
      <c r="C23" s="107"/>
      <c r="D23" s="107"/>
      <c r="E23" s="107"/>
      <c r="F23" s="107"/>
      <c r="G23" s="107"/>
      <c r="H23" s="108"/>
      <c r="I23" s="108"/>
      <c r="J23" s="98"/>
      <c r="K23" s="98"/>
      <c r="L23" s="98"/>
      <c r="M23" s="98"/>
      <c r="N23" s="98"/>
      <c r="O23" s="98"/>
      <c r="P23" s="96"/>
      <c r="U23" s="98"/>
      <c r="V23" s="98"/>
      <c r="W23" s="98"/>
      <c r="X23" s="98"/>
      <c r="Y23" s="98"/>
    </row>
    <row r="24" spans="1:25" ht="15.75" customHeight="1" x14ac:dyDescent="0.25">
      <c r="A24" s="95"/>
      <c r="B24" s="112"/>
      <c r="C24" s="113"/>
      <c r="D24" s="113"/>
      <c r="E24" s="113"/>
      <c r="F24" s="113"/>
      <c r="G24" s="113"/>
      <c r="H24" s="108"/>
      <c r="I24" s="108"/>
      <c r="J24" s="98"/>
      <c r="K24" s="98"/>
      <c r="L24" s="98"/>
      <c r="M24" s="98"/>
      <c r="N24" s="98"/>
      <c r="O24" s="98"/>
      <c r="P24" s="96"/>
      <c r="U24" s="98"/>
      <c r="V24" s="98"/>
      <c r="W24" s="98"/>
      <c r="X24" s="98"/>
      <c r="Y24" s="98"/>
    </row>
    <row r="25" spans="1:25" ht="15" customHeight="1" x14ac:dyDescent="0.25">
      <c r="A25" s="95"/>
      <c r="B25" s="112"/>
      <c r="C25" s="113"/>
      <c r="D25" s="113"/>
      <c r="E25" s="113"/>
      <c r="F25" s="113"/>
      <c r="G25" s="113"/>
      <c r="H25" s="108"/>
      <c r="I25" s="108"/>
      <c r="J25" s="98"/>
      <c r="K25" s="98"/>
      <c r="L25" s="98"/>
      <c r="M25" s="98"/>
      <c r="N25" s="98"/>
      <c r="O25" s="98"/>
      <c r="P25" s="96"/>
      <c r="U25" s="98"/>
      <c r="V25" s="98"/>
      <c r="W25" s="98"/>
      <c r="X25" s="98"/>
      <c r="Y25" s="98"/>
    </row>
    <row r="26" spans="1:25" ht="15" customHeight="1" x14ac:dyDescent="0.25">
      <c r="A26" s="103" t="s">
        <v>177</v>
      </c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6"/>
    </row>
    <row r="27" spans="1:25" ht="15.75" customHeight="1" x14ac:dyDescent="0.25">
      <c r="A27" s="95"/>
      <c r="B27" s="58" t="s">
        <v>10</v>
      </c>
      <c r="C27" s="58" t="s">
        <v>178</v>
      </c>
      <c r="D27" s="58" t="s">
        <v>172</v>
      </c>
      <c r="E27" s="58" t="s">
        <v>179</v>
      </c>
      <c r="F27" s="58" t="s">
        <v>16</v>
      </c>
      <c r="G27" s="114" t="s">
        <v>17</v>
      </c>
      <c r="H27" s="114" t="s">
        <v>175</v>
      </c>
      <c r="I27" s="58" t="s">
        <v>180</v>
      </c>
      <c r="J27" s="58" t="s">
        <v>181</v>
      </c>
      <c r="K27" s="58" t="s">
        <v>182</v>
      </c>
      <c r="L27" s="115" t="s">
        <v>183</v>
      </c>
      <c r="M27" s="115" t="s">
        <v>184</v>
      </c>
      <c r="N27" s="115" t="s">
        <v>185</v>
      </c>
      <c r="O27" s="98"/>
      <c r="P27" s="96"/>
    </row>
    <row r="28" spans="1:25" ht="16.5" customHeight="1" x14ac:dyDescent="0.25">
      <c r="A28" s="95"/>
      <c r="B28" s="116" t="s">
        <v>61</v>
      </c>
      <c r="C28" s="117">
        <f>VLOOKUP(B28,'Gebouwgegevens Allacker'!$J$5:$Q$83,3,0)</f>
        <v>1</v>
      </c>
      <c r="D28" s="117" t="str">
        <f>VLOOKUP(B28,'Gebouwgegevens Allacker'!$J$5:$Q$83,4,0)</f>
        <v>Floor</v>
      </c>
      <c r="E28" s="117">
        <f>VLOOKUP(B28,'Gebouwgegevens Allacker'!$J$5:$Q$83,5,0)</f>
        <v>104.86</v>
      </c>
      <c r="F28" s="117">
        <f>VLOOKUP(B28,'Gebouwgegevens Allacker'!$J$5:$Q$83,7,0)</f>
        <v>2.5990099009900991</v>
      </c>
      <c r="G28" s="118">
        <f>VLOOKUP(B28,'Gebouwgegevens Allacker'!$J$5:$Q$83,8,0)</f>
        <v>272.53217821782181</v>
      </c>
      <c r="H28" s="118">
        <f>N28/F28</f>
        <v>0.21722245983746219</v>
      </c>
      <c r="I28" s="117">
        <v>132</v>
      </c>
      <c r="J28" s="116">
        <v>42</v>
      </c>
      <c r="K28" s="116">
        <v>0.33</v>
      </c>
      <c r="L28" s="119">
        <f>I28/(0.5*J28)</f>
        <v>6.2857142857142856</v>
      </c>
      <c r="M28" s="119">
        <f>K28+2*(1/F28)</f>
        <v>1.0995238095238096</v>
      </c>
      <c r="N28" s="120">
        <f>IF(M28&lt;L28,2*2/(PI()*L28+M28)*LN(PI()*L28/M28+1),2/(0.457*L28+M28))</f>
        <v>0.56456332383498842</v>
      </c>
      <c r="O28" s="98"/>
      <c r="P28" s="96"/>
    </row>
    <row r="29" spans="1:25" ht="15.75" customHeight="1" x14ac:dyDescent="0.25">
      <c r="A29" s="95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8"/>
      <c r="P29" s="96"/>
    </row>
    <row r="30" spans="1:25" ht="15" customHeight="1" x14ac:dyDescent="0.25">
      <c r="A30" s="95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6"/>
    </row>
    <row r="31" spans="1:25" ht="15" customHeight="1" x14ac:dyDescent="0.25">
      <c r="A31" s="103" t="s">
        <v>186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6"/>
      <c r="V31" s="3" t="e">
        <f>1.1*W18</f>
        <v>#N/A</v>
      </c>
    </row>
    <row r="32" spans="1:25" ht="15.75" customHeight="1" x14ac:dyDescent="0.25">
      <c r="A32" s="95"/>
      <c r="B32" s="58" t="s">
        <v>10</v>
      </c>
      <c r="C32" s="58" t="s">
        <v>187</v>
      </c>
      <c r="D32" s="58" t="s">
        <v>188</v>
      </c>
      <c r="E32" s="58" t="s">
        <v>135</v>
      </c>
      <c r="F32" s="58" t="s">
        <v>189</v>
      </c>
      <c r="G32" s="58" t="s">
        <v>190</v>
      </c>
      <c r="H32" s="58" t="s">
        <v>191</v>
      </c>
      <c r="I32" s="58" t="s">
        <v>16</v>
      </c>
      <c r="J32" s="114" t="s">
        <v>17</v>
      </c>
      <c r="K32" s="114" t="s">
        <v>175</v>
      </c>
      <c r="L32" s="98"/>
      <c r="M32" s="98"/>
      <c r="N32" s="98"/>
      <c r="O32" s="98"/>
      <c r="P32" s="96"/>
    </row>
    <row r="33" spans="1:16" ht="16.5" customHeight="1" x14ac:dyDescent="0.25">
      <c r="A33" s="95"/>
      <c r="B33" s="121"/>
      <c r="C33" s="122"/>
      <c r="D33" s="122"/>
      <c r="E33" s="122"/>
      <c r="F33" s="122"/>
      <c r="G33" s="122">
        <v>20</v>
      </c>
      <c r="H33" s="122"/>
      <c r="I33" s="122"/>
      <c r="J33" s="118"/>
      <c r="K33" s="118"/>
      <c r="L33" s="98"/>
      <c r="M33" s="98"/>
      <c r="N33" s="98"/>
      <c r="O33" s="98"/>
      <c r="P33" s="96"/>
    </row>
    <row r="34" spans="1:16" ht="16.5" customHeight="1" x14ac:dyDescent="0.25">
      <c r="A34" s="95"/>
      <c r="B34" s="121"/>
      <c r="C34" s="122"/>
      <c r="D34" s="122"/>
      <c r="E34" s="122"/>
      <c r="F34" s="122"/>
      <c r="G34" s="122"/>
      <c r="H34" s="122"/>
      <c r="I34" s="122"/>
      <c r="J34" s="118"/>
      <c r="K34" s="118"/>
      <c r="L34" s="98"/>
      <c r="M34" s="98"/>
      <c r="N34" s="98"/>
      <c r="O34" s="98"/>
      <c r="P34" s="96"/>
    </row>
    <row r="35" spans="1:16" ht="16.5" customHeight="1" x14ac:dyDescent="0.25">
      <c r="A35" s="95"/>
      <c r="B35" s="121"/>
      <c r="C35" s="122"/>
      <c r="D35" s="122"/>
      <c r="E35" s="122"/>
      <c r="F35" s="122"/>
      <c r="G35" s="122"/>
      <c r="H35" s="122"/>
      <c r="I35" s="122"/>
      <c r="J35" s="118"/>
      <c r="K35" s="118"/>
      <c r="L35" s="98"/>
      <c r="M35" s="98"/>
      <c r="N35" s="98"/>
      <c r="O35" s="98"/>
      <c r="P35" s="96"/>
    </row>
    <row r="36" spans="1:16" ht="16.5" customHeight="1" x14ac:dyDescent="0.25">
      <c r="A36" s="95"/>
      <c r="B36" s="92"/>
      <c r="C36" s="122"/>
      <c r="D36" s="122"/>
      <c r="E36" s="122"/>
      <c r="F36" s="122"/>
      <c r="G36" s="122"/>
      <c r="H36" s="122"/>
      <c r="I36" s="122"/>
      <c r="J36" s="118"/>
      <c r="K36" s="118"/>
      <c r="L36" s="98"/>
      <c r="M36" s="98"/>
      <c r="N36" s="98"/>
      <c r="O36" s="98"/>
      <c r="P36" s="96"/>
    </row>
    <row r="37" spans="1:16" ht="16.5" customHeight="1" x14ac:dyDescent="0.25">
      <c r="A37" s="95"/>
      <c r="B37" s="123"/>
      <c r="C37" s="122"/>
      <c r="D37" s="122"/>
      <c r="E37" s="122"/>
      <c r="F37" s="122"/>
      <c r="G37" s="122"/>
      <c r="H37" s="122"/>
      <c r="I37" s="122"/>
      <c r="J37" s="118"/>
      <c r="K37" s="118"/>
      <c r="L37" s="98"/>
      <c r="M37" s="98"/>
      <c r="N37" s="98"/>
      <c r="O37" s="98"/>
      <c r="P37" s="96"/>
    </row>
    <row r="38" spans="1:16" ht="16.5" customHeight="1" x14ac:dyDescent="0.25">
      <c r="A38" s="95"/>
      <c r="B38" s="123"/>
      <c r="C38" s="122"/>
      <c r="D38" s="122"/>
      <c r="E38" s="122"/>
      <c r="F38" s="122"/>
      <c r="G38" s="122"/>
      <c r="H38" s="122"/>
      <c r="I38" s="122"/>
      <c r="J38" s="118"/>
      <c r="K38" s="118"/>
      <c r="L38" s="98"/>
      <c r="M38" s="98"/>
      <c r="N38" s="98"/>
      <c r="O38" s="98"/>
      <c r="P38" s="96"/>
    </row>
    <row r="39" spans="1:16" ht="15.75" customHeight="1" x14ac:dyDescent="0.25">
      <c r="A39" s="95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8"/>
      <c r="M39" s="98"/>
      <c r="N39" s="98"/>
      <c r="O39" s="98"/>
      <c r="P39" s="96"/>
    </row>
    <row r="40" spans="1:16" ht="15" customHeight="1" x14ac:dyDescent="0.25">
      <c r="A40" s="95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6"/>
    </row>
    <row r="41" spans="1:16" ht="15.75" customHeight="1" x14ac:dyDescent="0.25">
      <c r="A41" s="103" t="s">
        <v>192</v>
      </c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6"/>
    </row>
    <row r="42" spans="1:16" ht="16.5" customHeight="1" x14ac:dyDescent="0.25">
      <c r="A42" s="124" t="s">
        <v>193</v>
      </c>
      <c r="B42" s="118">
        <f>SUMPRODUCT(H12:H21,I12:I21)+SUMPRODUCT(G28,H28)+SUMPRODUCT(J33:J38,K33:K38)</f>
        <v>560.31662280767841</v>
      </c>
      <c r="C42" s="118" t="s">
        <v>107</v>
      </c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6"/>
    </row>
    <row r="43" spans="1:16" ht="16.5" customHeight="1" x14ac:dyDescent="0.25">
      <c r="A43" s="124" t="s">
        <v>167</v>
      </c>
      <c r="B43" s="118">
        <f>B42*(G33-$B$4)</f>
        <v>15688.865438614996</v>
      </c>
      <c r="C43" s="118" t="s">
        <v>169</v>
      </c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6"/>
    </row>
    <row r="44" spans="1:16" ht="15.75" customHeight="1" x14ac:dyDescent="0.25">
      <c r="A44" s="109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1"/>
    </row>
    <row r="45" spans="1:16" ht="15.75" customHeight="1" x14ac:dyDescent="0.25">
      <c r="A45" s="343" t="s">
        <v>194</v>
      </c>
      <c r="B45" s="343"/>
      <c r="C45" s="343"/>
      <c r="D45" s="12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94"/>
    </row>
    <row r="46" spans="1:16" ht="15" customHeight="1" x14ac:dyDescent="0.25">
      <c r="A46" s="95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6"/>
    </row>
    <row r="47" spans="1:16" ht="15" customHeight="1" x14ac:dyDescent="0.25">
      <c r="A47" s="126" t="s">
        <v>195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6"/>
    </row>
    <row r="48" spans="1:16" ht="15" customHeight="1" x14ac:dyDescent="0.25">
      <c r="A48" s="127" t="s">
        <v>196</v>
      </c>
      <c r="B48" s="121">
        <v>0.6</v>
      </c>
      <c r="C48" s="120" t="s">
        <v>197</v>
      </c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6"/>
    </row>
    <row r="49" spans="1:16" ht="15" customHeight="1" x14ac:dyDescent="0.25">
      <c r="A49" s="127" t="s">
        <v>198</v>
      </c>
      <c r="B49" s="121">
        <v>0.03</v>
      </c>
      <c r="C49" s="120" t="s">
        <v>199</v>
      </c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6"/>
    </row>
    <row r="50" spans="1:16" ht="15.75" customHeight="1" x14ac:dyDescent="0.25">
      <c r="A50" s="127" t="s">
        <v>200</v>
      </c>
      <c r="B50" s="121">
        <v>1</v>
      </c>
      <c r="C50" s="120" t="s">
        <v>201</v>
      </c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6"/>
    </row>
    <row r="51" spans="1:16" ht="16.5" customHeight="1" x14ac:dyDescent="0.25">
      <c r="A51" s="124" t="s">
        <v>202</v>
      </c>
      <c r="B51" s="118">
        <f>B48/20*741</f>
        <v>22.23</v>
      </c>
      <c r="C51" s="118" t="s">
        <v>203</v>
      </c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6"/>
    </row>
    <row r="52" spans="1:16" ht="15.75" customHeight="1" x14ac:dyDescent="0.25">
      <c r="A52" s="95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6"/>
    </row>
    <row r="53" spans="1:16" ht="15" customHeight="1" x14ac:dyDescent="0.25">
      <c r="A53" s="126" t="s">
        <v>204</v>
      </c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6"/>
    </row>
    <row r="54" spans="1:16" ht="15.75" customHeight="1" x14ac:dyDescent="0.25">
      <c r="A54" s="95" t="s">
        <v>180</v>
      </c>
      <c r="B54" s="98">
        <f>'Gebouwgegevens Allacker'!G35</f>
        <v>59.291999999999994</v>
      </c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6"/>
    </row>
    <row r="55" spans="1:16" ht="16.5" customHeight="1" x14ac:dyDescent="0.25">
      <c r="A55" s="124" t="s">
        <v>205</v>
      </c>
      <c r="B55" s="128">
        <f>0.5*'Gebouwgegevens Allacker'!B5*(1-F55)</f>
        <v>40.160000000000011</v>
      </c>
      <c r="C55" s="118" t="s">
        <v>203</v>
      </c>
      <c r="D55" s="98"/>
      <c r="E55" s="98" t="s">
        <v>206</v>
      </c>
      <c r="F55" s="98">
        <f>0.84</f>
        <v>0.84</v>
      </c>
      <c r="G55" s="98"/>
      <c r="H55" s="98"/>
      <c r="I55" s="98"/>
      <c r="J55" s="98"/>
      <c r="K55" s="98"/>
      <c r="L55" s="98"/>
      <c r="M55" s="98"/>
      <c r="N55" s="98"/>
      <c r="O55" s="98"/>
      <c r="P55" s="96"/>
    </row>
    <row r="56" spans="1:16" ht="15.75" customHeight="1" x14ac:dyDescent="0.25">
      <c r="A56" s="95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6"/>
    </row>
    <row r="57" spans="1:16" ht="15.75" customHeight="1" x14ac:dyDescent="0.25">
      <c r="A57" s="95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6"/>
    </row>
    <row r="58" spans="1:16" ht="16.5" customHeight="1" x14ac:dyDescent="0.25">
      <c r="A58" s="124" t="s">
        <v>207</v>
      </c>
      <c r="B58" s="118">
        <f>B51+B55</f>
        <v>62.390000000000015</v>
      </c>
      <c r="C58" s="118" t="s">
        <v>203</v>
      </c>
      <c r="D58" s="98"/>
      <c r="E58" s="98"/>
      <c r="F58" s="118" t="s">
        <v>208</v>
      </c>
      <c r="G58" s="118">
        <f>B58/VLOOKUP(B6,'Gebouwgegevens Allacker'!$A$35:$B$46,2,0)</f>
        <v>0.30064282341149379</v>
      </c>
      <c r="H58" s="98"/>
      <c r="I58" s="98"/>
      <c r="J58" s="98"/>
      <c r="K58" s="98"/>
      <c r="L58" s="98"/>
      <c r="M58" s="98"/>
      <c r="N58" s="98"/>
      <c r="O58" s="98"/>
      <c r="P58" s="96"/>
    </row>
    <row r="59" spans="1:16" ht="16.5" customHeight="1" x14ac:dyDescent="0.25">
      <c r="A59" s="95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6"/>
    </row>
    <row r="60" spans="1:16" ht="16.5" customHeight="1" x14ac:dyDescent="0.25">
      <c r="A60" s="124" t="s">
        <v>209</v>
      </c>
      <c r="B60" s="118">
        <f>0.34*B58</f>
        <v>21.212600000000005</v>
      </c>
      <c r="C60" s="118" t="s">
        <v>107</v>
      </c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6"/>
    </row>
    <row r="61" spans="1:16" ht="16.5" customHeight="1" x14ac:dyDescent="0.25">
      <c r="A61" s="124" t="s">
        <v>167</v>
      </c>
      <c r="B61" s="118">
        <f>B60*('Gebouwgegevens Allacker'!E35-$B$4)</f>
        <v>615.1654000000002</v>
      </c>
      <c r="C61" s="118" t="s">
        <v>169</v>
      </c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6"/>
    </row>
    <row r="62" spans="1:16" ht="15.75" customHeight="1" x14ac:dyDescent="0.25">
      <c r="A62" s="109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6" ht="15.75" customHeight="1" x14ac:dyDescent="0.25">
      <c r="A63" s="343" t="s">
        <v>210</v>
      </c>
      <c r="B63" s="343"/>
      <c r="C63" s="343"/>
      <c r="D63" s="343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6"/>
    </row>
    <row r="64" spans="1:16" ht="15" customHeight="1" x14ac:dyDescent="0.25">
      <c r="A64" s="95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6"/>
    </row>
    <row r="65" spans="1:16" ht="15" customHeight="1" x14ac:dyDescent="0.25">
      <c r="A65" s="127" t="s">
        <v>211</v>
      </c>
      <c r="B65" s="121">
        <v>20</v>
      </c>
      <c r="C65" s="58" t="s">
        <v>212</v>
      </c>
      <c r="D65" s="5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6"/>
    </row>
    <row r="66" spans="1:16" ht="15.75" customHeight="1" x14ac:dyDescent="0.25">
      <c r="A66" s="127" t="s">
        <v>113</v>
      </c>
      <c r="B66" s="121">
        <v>264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6"/>
    </row>
    <row r="67" spans="1:16" ht="16.5" customHeight="1" x14ac:dyDescent="0.25">
      <c r="A67" s="124" t="s">
        <v>213</v>
      </c>
      <c r="B67" s="118">
        <f>B68/('Gebouwgegevens Allacker'!E35-'Verwarming Allacker'!$B$4)</f>
        <v>182.06896551724137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6"/>
    </row>
    <row r="68" spans="1:16" ht="16.5" customHeight="1" x14ac:dyDescent="0.25">
      <c r="A68" s="124" t="s">
        <v>167</v>
      </c>
      <c r="B68" s="118">
        <f>B65*B66</f>
        <v>5280</v>
      </c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6"/>
    </row>
    <row r="69" spans="1:16" ht="15.75" customHeight="1" x14ac:dyDescent="0.25">
      <c r="A69" s="95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6"/>
    </row>
    <row r="70" spans="1:16" ht="15.75" customHeight="1" x14ac:dyDescent="0.25">
      <c r="A70" s="95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6"/>
    </row>
    <row r="71" spans="1:16" ht="15.75" customHeight="1" x14ac:dyDescent="0.25">
      <c r="A71" s="129" t="s">
        <v>214</v>
      </c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1"/>
    </row>
    <row r="72" spans="1:16" ht="16.5" customHeight="1" x14ac:dyDescent="0.25">
      <c r="A72" s="124" t="s">
        <v>215</v>
      </c>
      <c r="B72" s="118">
        <f>SUM(B42,B60,B67)</f>
        <v>763.59818832491976</v>
      </c>
      <c r="C72" s="118" t="s">
        <v>107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3"/>
    </row>
    <row r="73" spans="1:16" ht="16.5" customHeight="1" x14ac:dyDescent="0.25">
      <c r="A73" s="124" t="s">
        <v>167</v>
      </c>
      <c r="B73" s="118">
        <f>SUM(B43,B61,B68)</f>
        <v>21584.030838614995</v>
      </c>
      <c r="C73" s="118" t="s">
        <v>169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3"/>
    </row>
    <row r="74" spans="1:16" ht="16.5" customHeight="1" x14ac:dyDescent="0.25">
      <c r="A74" s="134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6"/>
    </row>
    <row r="75" spans="1:16" ht="15" customHeight="1" x14ac:dyDescent="0.25">
      <c r="A75" s="137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</row>
    <row r="76" spans="1:16" ht="15.75" customHeight="1" x14ac:dyDescent="0.25">
      <c r="A76" s="137"/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</row>
    <row r="77" spans="1:16" ht="15" customHeight="1" x14ac:dyDescent="0.25">
      <c r="A77" s="93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94"/>
    </row>
    <row r="78" spans="1:16" ht="17.25" customHeight="1" x14ac:dyDescent="0.3">
      <c r="A78" s="97" t="s">
        <v>166</v>
      </c>
      <c r="B78" s="92">
        <v>2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6"/>
    </row>
    <row r="79" spans="1:16" ht="15.75" customHeight="1" x14ac:dyDescent="0.25">
      <c r="A79" s="343" t="s">
        <v>168</v>
      </c>
      <c r="B79" s="343"/>
      <c r="C79" s="343"/>
      <c r="D79" s="343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94"/>
    </row>
    <row r="80" spans="1:16" ht="15" customHeight="1" x14ac:dyDescent="0.25">
      <c r="A80" s="95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6"/>
    </row>
    <row r="81" spans="1:16" ht="15" customHeight="1" x14ac:dyDescent="0.25">
      <c r="A81" s="103" t="s">
        <v>170</v>
      </c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6"/>
    </row>
    <row r="82" spans="1:16" ht="15" customHeight="1" x14ac:dyDescent="0.25">
      <c r="A82" s="95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6"/>
    </row>
    <row r="83" spans="1:16" ht="15.75" customHeight="1" x14ac:dyDescent="0.25">
      <c r="A83" s="95"/>
      <c r="B83" s="104" t="s">
        <v>10</v>
      </c>
      <c r="C83" s="104" t="s">
        <v>171</v>
      </c>
      <c r="D83" s="104" t="s">
        <v>172</v>
      </c>
      <c r="E83" s="104" t="s">
        <v>173</v>
      </c>
      <c r="F83" s="104" t="s">
        <v>174</v>
      </c>
      <c r="G83" s="104" t="s">
        <v>16</v>
      </c>
      <c r="H83" s="105" t="s">
        <v>17</v>
      </c>
      <c r="I83" s="105" t="s">
        <v>175</v>
      </c>
      <c r="J83" s="98"/>
      <c r="K83" s="98"/>
      <c r="L83" s="98"/>
      <c r="M83" s="98"/>
      <c r="N83" s="98"/>
      <c r="O83" s="98"/>
      <c r="P83" s="96"/>
    </row>
    <row r="84" spans="1:16" ht="16.5" customHeight="1" x14ac:dyDescent="0.25">
      <c r="A84" s="95"/>
      <c r="B84" s="106" t="s">
        <v>59</v>
      </c>
      <c r="C84" s="107">
        <f>VLOOKUP(B84,'Gebouwgegevens Allacker'!$J$5:$Q$83,3,0)</f>
        <v>1</v>
      </c>
      <c r="D84" s="107" t="str">
        <f>VLOOKUP(B84,'Gebouwgegevens Allacker'!$J$5:$Q$83,4,0)</f>
        <v>Window</v>
      </c>
      <c r="E84" s="107">
        <f>VLOOKUP(B84,'Gebouwgegevens Allacker'!$J$5:$Q$83,5,0)</f>
        <v>5</v>
      </c>
      <c r="F84" s="107" t="str">
        <f>VLOOKUP(B84,'Gebouwgegevens Allacker'!$J$5:$Q$83,6,0)</f>
        <v>back</v>
      </c>
      <c r="G84" s="107">
        <f>VLOOKUP(B84,'Gebouwgegevens Allacker'!$J$5:$Q$83,7,0)</f>
        <v>5</v>
      </c>
      <c r="H84" s="108">
        <f>VLOOKUP(B84,'Gebouwgegevens Allacker'!$J$5:$Q$83,8,0)</f>
        <v>25</v>
      </c>
      <c r="I84" s="108">
        <v>1</v>
      </c>
      <c r="J84" s="98"/>
      <c r="K84" s="98"/>
      <c r="L84" s="98"/>
      <c r="M84" s="98"/>
      <c r="N84" s="98"/>
      <c r="O84" s="98"/>
      <c r="P84" s="96"/>
    </row>
    <row r="85" spans="1:16" ht="16.5" customHeight="1" x14ac:dyDescent="0.25">
      <c r="A85" s="95"/>
      <c r="B85" s="106" t="s">
        <v>60</v>
      </c>
      <c r="C85" s="107">
        <f>VLOOKUP(B85,'Gebouwgegevens Allacker'!$J$5:$Q$83,3,0)</f>
        <v>1</v>
      </c>
      <c r="D85" s="107" t="str">
        <f>VLOOKUP(B85,'Gebouwgegevens Allacker'!$J$5:$Q$83,4,0)</f>
        <v>Window</v>
      </c>
      <c r="E85" s="107">
        <f>VLOOKUP(B85,'Gebouwgegevens Allacker'!$J$5:$Q$83,5,0)</f>
        <v>0</v>
      </c>
      <c r="F85" s="107" t="str">
        <f>VLOOKUP(B85,'Gebouwgegevens Allacker'!$J$5:$Q$83,6,0)</f>
        <v>left</v>
      </c>
      <c r="G85" s="107">
        <f>VLOOKUP(B85,'Gebouwgegevens Allacker'!$J$5:$Q$83,7,0)</f>
        <v>5</v>
      </c>
      <c r="H85" s="108">
        <f>VLOOKUP(B85,'Gebouwgegevens Allacker'!$J$5:$Q$83,8,0)</f>
        <v>0</v>
      </c>
      <c r="I85" s="108">
        <v>1</v>
      </c>
      <c r="J85" s="98"/>
      <c r="K85" s="98"/>
      <c r="L85" s="98"/>
      <c r="M85" s="98"/>
      <c r="N85" s="98"/>
      <c r="O85" s="98"/>
      <c r="P85" s="96"/>
    </row>
    <row r="86" spans="1:16" ht="16.5" customHeight="1" x14ac:dyDescent="0.25">
      <c r="A86" s="95"/>
      <c r="B86" s="106" t="s">
        <v>61</v>
      </c>
      <c r="C86" s="107">
        <f>VLOOKUP(B86,'Gebouwgegevens Allacker'!$J$5:$Q$83,3,0)</f>
        <v>1</v>
      </c>
      <c r="D86" s="107" t="str">
        <f>VLOOKUP(B86,'Gebouwgegevens Allacker'!$J$5:$Q$83,4,0)</f>
        <v>Floor</v>
      </c>
      <c r="E86" s="107">
        <f>VLOOKUP(B86,'Gebouwgegevens Allacker'!$J$5:$Q$83,5,0)</f>
        <v>104.86</v>
      </c>
      <c r="F86" s="107">
        <f>VLOOKUP(B86,'Gebouwgegevens Allacker'!$J$5:$Q$83,6,0)</f>
        <v>0</v>
      </c>
      <c r="G86" s="107">
        <f>VLOOKUP(B86,'Gebouwgegevens Allacker'!$J$5:$Q$83,7,0)</f>
        <v>2.5990099009900991</v>
      </c>
      <c r="H86" s="108">
        <f>VLOOKUP(B86,'Gebouwgegevens Allacker'!$J$5:$Q$83,8,0)</f>
        <v>272.53217821782181</v>
      </c>
      <c r="I86" s="108">
        <v>1</v>
      </c>
      <c r="J86" s="98"/>
      <c r="K86" s="98"/>
      <c r="L86" s="98"/>
      <c r="M86" s="98"/>
      <c r="N86" s="98"/>
      <c r="O86" s="98"/>
      <c r="P86" s="96"/>
    </row>
    <row r="87" spans="1:16" ht="16.5" customHeight="1" x14ac:dyDescent="0.25">
      <c r="A87" s="95"/>
      <c r="B87" s="106"/>
      <c r="C87" s="107"/>
      <c r="D87" s="107"/>
      <c r="E87" s="107"/>
      <c r="F87" s="107"/>
      <c r="G87" s="107"/>
      <c r="H87" s="108"/>
      <c r="I87" s="108"/>
      <c r="J87" s="98"/>
      <c r="K87" s="98"/>
      <c r="L87" s="98"/>
      <c r="M87" s="98"/>
      <c r="N87" s="98"/>
      <c r="O87" s="98"/>
      <c r="P87" s="96"/>
    </row>
    <row r="88" spans="1:16" ht="16.5" customHeight="1" x14ac:dyDescent="0.25">
      <c r="A88" s="95"/>
      <c r="B88" s="106"/>
      <c r="C88" s="107"/>
      <c r="D88" s="107"/>
      <c r="E88" s="107"/>
      <c r="F88" s="107"/>
      <c r="G88" s="107"/>
      <c r="H88" s="108"/>
      <c r="I88" s="108"/>
      <c r="J88" s="98"/>
      <c r="K88" s="98"/>
      <c r="L88" s="98"/>
      <c r="M88" s="98"/>
      <c r="N88" s="98"/>
      <c r="O88" s="98"/>
      <c r="P88" s="96"/>
    </row>
    <row r="89" spans="1:16" ht="16.5" customHeight="1" x14ac:dyDescent="0.25">
      <c r="A89" s="95"/>
      <c r="B89" s="106"/>
      <c r="C89" s="107"/>
      <c r="D89" s="107"/>
      <c r="E89" s="107"/>
      <c r="F89" s="107"/>
      <c r="G89" s="107"/>
      <c r="H89" s="108"/>
      <c r="I89" s="108"/>
      <c r="J89" s="98"/>
      <c r="K89" s="98"/>
      <c r="L89" s="98"/>
      <c r="M89" s="98"/>
      <c r="N89" s="98"/>
      <c r="O89" s="98"/>
      <c r="P89" s="96"/>
    </row>
    <row r="90" spans="1:16" ht="16.5" customHeight="1" x14ac:dyDescent="0.25">
      <c r="A90" s="95"/>
      <c r="B90" s="106"/>
      <c r="C90" s="107"/>
      <c r="D90" s="107"/>
      <c r="E90" s="107"/>
      <c r="F90" s="107"/>
      <c r="G90" s="107"/>
      <c r="H90" s="108"/>
      <c r="I90" s="108"/>
      <c r="J90" s="98"/>
      <c r="K90" s="98"/>
      <c r="L90" s="98"/>
      <c r="M90" s="98"/>
      <c r="N90" s="98"/>
      <c r="O90" s="98"/>
      <c r="P90" s="96"/>
    </row>
    <row r="91" spans="1:16" ht="16.5" customHeight="1" x14ac:dyDescent="0.25">
      <c r="A91" s="95"/>
      <c r="B91" s="106"/>
      <c r="C91" s="107"/>
      <c r="D91" s="107"/>
      <c r="E91" s="107"/>
      <c r="F91" s="107"/>
      <c r="G91" s="107"/>
      <c r="H91" s="108"/>
      <c r="I91" s="108"/>
      <c r="J91" s="98"/>
      <c r="K91" s="98"/>
      <c r="L91" s="98"/>
      <c r="M91" s="98"/>
      <c r="N91" s="98"/>
      <c r="O91" s="98"/>
      <c r="P91" s="96"/>
    </row>
    <row r="92" spans="1:16" ht="16.5" customHeight="1" x14ac:dyDescent="0.25">
      <c r="A92" s="95"/>
      <c r="B92" s="106"/>
      <c r="C92" s="107"/>
      <c r="D92" s="107"/>
      <c r="E92" s="107"/>
      <c r="F92" s="107"/>
      <c r="G92" s="107"/>
      <c r="H92" s="108"/>
      <c r="I92" s="108"/>
      <c r="J92" s="98"/>
      <c r="K92" s="98"/>
      <c r="L92" s="98"/>
      <c r="M92" s="98"/>
      <c r="N92" s="98"/>
      <c r="O92" s="98"/>
      <c r="P92" s="96"/>
    </row>
    <row r="93" spans="1:16" ht="16.5" customHeight="1" x14ac:dyDescent="0.25">
      <c r="A93" s="95"/>
      <c r="B93" s="106"/>
      <c r="C93" s="107"/>
      <c r="D93" s="107"/>
      <c r="E93" s="107"/>
      <c r="F93" s="107"/>
      <c r="G93" s="107"/>
      <c r="H93" s="108"/>
      <c r="I93" s="108"/>
      <c r="J93" s="98"/>
      <c r="K93" s="98"/>
      <c r="L93" s="98"/>
      <c r="M93" s="98"/>
      <c r="N93" s="98"/>
      <c r="O93" s="98"/>
      <c r="P93" s="96"/>
    </row>
    <row r="94" spans="1:16" ht="16.5" customHeight="1" x14ac:dyDescent="0.25">
      <c r="A94" s="95"/>
      <c r="B94" s="106"/>
      <c r="C94" s="107"/>
      <c r="D94" s="107"/>
      <c r="E94" s="107"/>
      <c r="F94" s="107"/>
      <c r="G94" s="107"/>
      <c r="H94" s="108"/>
      <c r="I94" s="108"/>
      <c r="J94" s="98"/>
      <c r="K94" s="98"/>
      <c r="L94" s="98"/>
      <c r="M94" s="98"/>
      <c r="N94" s="98"/>
      <c r="O94" s="98"/>
      <c r="P94" s="96"/>
    </row>
    <row r="95" spans="1:16" ht="16.5" customHeight="1" x14ac:dyDescent="0.25">
      <c r="A95" s="95"/>
      <c r="B95" s="106"/>
      <c r="C95" s="107"/>
      <c r="D95" s="107"/>
      <c r="E95" s="107"/>
      <c r="F95" s="107"/>
      <c r="G95" s="107"/>
      <c r="H95" s="108"/>
      <c r="I95" s="108"/>
      <c r="J95" s="98"/>
      <c r="K95" s="98"/>
      <c r="L95" s="98"/>
      <c r="M95" s="98"/>
      <c r="N95" s="98"/>
      <c r="O95" s="98"/>
      <c r="P95" s="96"/>
    </row>
    <row r="96" spans="1:16" ht="15.75" customHeight="1" x14ac:dyDescent="0.25">
      <c r="A96" s="95"/>
      <c r="B96" s="58"/>
      <c r="C96" s="58"/>
      <c r="D96" s="58"/>
      <c r="E96" s="58"/>
      <c r="F96" s="58"/>
      <c r="G96" s="114"/>
      <c r="H96" s="58"/>
      <c r="I96" s="58"/>
      <c r="J96" s="98"/>
      <c r="K96" s="98"/>
      <c r="L96" s="98"/>
      <c r="M96" s="98"/>
      <c r="N96" s="98"/>
      <c r="O96" s="98"/>
      <c r="P96" s="96"/>
    </row>
    <row r="97" spans="1:16" ht="15" customHeight="1" x14ac:dyDescent="0.25">
      <c r="A97" s="95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6"/>
    </row>
    <row r="98" spans="1:16" ht="15" customHeight="1" x14ac:dyDescent="0.25">
      <c r="A98" s="103" t="s">
        <v>177</v>
      </c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6"/>
    </row>
    <row r="99" spans="1:16" ht="15.75" customHeight="1" x14ac:dyDescent="0.25">
      <c r="A99" s="95"/>
      <c r="B99" s="58" t="s">
        <v>10</v>
      </c>
      <c r="C99" s="58" t="s">
        <v>178</v>
      </c>
      <c r="D99" s="58" t="s">
        <v>172</v>
      </c>
      <c r="E99" s="58" t="s">
        <v>179</v>
      </c>
      <c r="F99" s="58" t="s">
        <v>16</v>
      </c>
      <c r="G99" s="114" t="s">
        <v>17</v>
      </c>
      <c r="H99" s="114" t="s">
        <v>175</v>
      </c>
      <c r="I99" s="58" t="s">
        <v>180</v>
      </c>
      <c r="J99" s="58" t="s">
        <v>181</v>
      </c>
      <c r="K99" s="58" t="s">
        <v>182</v>
      </c>
      <c r="L99" s="115" t="s">
        <v>183</v>
      </c>
      <c r="M99" s="115" t="s">
        <v>184</v>
      </c>
      <c r="N99" s="115" t="s">
        <v>185</v>
      </c>
      <c r="O99" s="98"/>
      <c r="P99" s="96"/>
    </row>
    <row r="100" spans="1:16" ht="18.75" customHeight="1" x14ac:dyDescent="0.25">
      <c r="A100" s="95"/>
      <c r="B100" s="116" t="s">
        <v>216</v>
      </c>
      <c r="C100" s="117" t="e">
        <f>VLOOKUP(B100,'Gebouwgegevens Allacker'!$J$5:$Q$83,3,0)</f>
        <v>#N/A</v>
      </c>
      <c r="D100" s="117" t="e">
        <f>VLOOKUP(B100,'Gebouwgegevens Allacker'!$J$5:$Q$83,4,0)</f>
        <v>#N/A</v>
      </c>
      <c r="E100" s="117" t="e">
        <f>VLOOKUP(B100,'Gebouwgegevens Allacker'!$J$5:$Q$83,5,0)</f>
        <v>#N/A</v>
      </c>
      <c r="F100" s="117" t="e">
        <f>VLOOKUP(B100,'Gebouwgegevens Allacker'!$J$5:$Q$83,7,0)</f>
        <v>#N/A</v>
      </c>
      <c r="G100" s="118" t="e">
        <f>VLOOKUP(B100,'Gebouwgegevens Allacker'!$J$5:$Q$83,8,0)</f>
        <v>#N/A</v>
      </c>
      <c r="H100" s="118" t="e">
        <f>N100/F100</f>
        <v>#N/A</v>
      </c>
      <c r="I100" s="117" t="e">
        <f>VLOOKUP(C100,'Gebouwgegevens Allacker'!$A$35:$F$46,6,0)</f>
        <v>#N/A</v>
      </c>
      <c r="J100" s="116">
        <v>6.91</v>
      </c>
      <c r="K100" s="116">
        <v>0.33</v>
      </c>
      <c r="L100" s="119" t="e">
        <f>I100/(0.5*J100)</f>
        <v>#N/A</v>
      </c>
      <c r="M100" s="119" t="e">
        <f>K100+2*(1/F100)</f>
        <v>#N/A</v>
      </c>
      <c r="N100" s="120" t="e">
        <f>IF(M100&lt;L100,2*2/(PI()*L100+M100)*LN(PI()*L100/M100+1),2/(0.457*L100+M100))</f>
        <v>#N/A</v>
      </c>
      <c r="O100" s="98"/>
      <c r="P100" s="96"/>
    </row>
    <row r="101" spans="1:16" ht="18.75" customHeight="1" x14ac:dyDescent="0.25">
      <c r="A101" s="95"/>
      <c r="B101" s="116"/>
      <c r="C101" s="117"/>
      <c r="D101" s="117"/>
      <c r="E101" s="117"/>
      <c r="F101" s="117"/>
      <c r="G101" s="118"/>
      <c r="H101" s="118"/>
      <c r="I101" s="117"/>
      <c r="J101" s="116"/>
      <c r="K101" s="116"/>
      <c r="L101" s="119"/>
      <c r="M101" s="119"/>
      <c r="N101" s="120"/>
      <c r="O101" s="98"/>
      <c r="P101" s="96"/>
    </row>
    <row r="102" spans="1:16" ht="18.75" customHeight="1" x14ac:dyDescent="0.25">
      <c r="A102" s="95"/>
      <c r="B102" s="116"/>
      <c r="C102" s="117"/>
      <c r="D102" s="117"/>
      <c r="E102" s="117"/>
      <c r="F102" s="117"/>
      <c r="G102" s="118"/>
      <c r="H102" s="118"/>
      <c r="I102" s="117"/>
      <c r="J102" s="116"/>
      <c r="K102" s="116"/>
      <c r="L102" s="119"/>
      <c r="M102" s="119"/>
      <c r="N102" s="120"/>
      <c r="O102" s="98"/>
      <c r="P102" s="96"/>
    </row>
    <row r="103" spans="1:16" ht="18.75" customHeight="1" x14ac:dyDescent="0.25">
      <c r="A103" s="95"/>
      <c r="B103" s="116"/>
      <c r="C103" s="117"/>
      <c r="D103" s="117"/>
      <c r="E103" s="117"/>
      <c r="F103" s="117"/>
      <c r="G103" s="118"/>
      <c r="H103" s="118"/>
      <c r="I103" s="117"/>
      <c r="J103" s="116"/>
      <c r="K103" s="116"/>
      <c r="L103" s="119"/>
      <c r="M103" s="119"/>
      <c r="N103" s="120"/>
      <c r="O103" s="98"/>
      <c r="P103" s="96"/>
    </row>
    <row r="104" spans="1:16" ht="16.5" customHeight="1" x14ac:dyDescent="0.25">
      <c r="A104" s="138"/>
      <c r="B104" s="116"/>
      <c r="C104" s="117"/>
      <c r="D104" s="117"/>
      <c r="E104" s="117"/>
      <c r="F104" s="117"/>
      <c r="G104" s="118"/>
      <c r="H104" s="118"/>
      <c r="I104" s="117"/>
      <c r="J104" s="116"/>
      <c r="K104" s="116"/>
      <c r="L104" s="119"/>
      <c r="M104" s="119"/>
      <c r="N104" s="120"/>
      <c r="O104" s="98"/>
      <c r="P104" s="96"/>
    </row>
    <row r="105" spans="1:16" ht="15.75" customHeight="1" x14ac:dyDescent="0.25">
      <c r="A105" s="95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6"/>
    </row>
    <row r="106" spans="1:16" ht="15" customHeight="1" x14ac:dyDescent="0.25">
      <c r="A106" s="103" t="s">
        <v>186</v>
      </c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6"/>
    </row>
    <row r="107" spans="1:16" ht="15.75" customHeight="1" x14ac:dyDescent="0.25">
      <c r="A107" s="95"/>
      <c r="B107" s="58" t="s">
        <v>10</v>
      </c>
      <c r="C107" s="58" t="s">
        <v>187</v>
      </c>
      <c r="D107" s="58" t="s">
        <v>188</v>
      </c>
      <c r="E107" s="58" t="s">
        <v>135</v>
      </c>
      <c r="F107" s="58" t="s">
        <v>189</v>
      </c>
      <c r="G107" s="58" t="s">
        <v>190</v>
      </c>
      <c r="H107" s="58" t="s">
        <v>191</v>
      </c>
      <c r="I107" s="58" t="s">
        <v>16</v>
      </c>
      <c r="J107" s="114" t="s">
        <v>17</v>
      </c>
      <c r="K107" s="114" t="s">
        <v>175</v>
      </c>
      <c r="L107" s="98"/>
      <c r="M107" s="98"/>
      <c r="N107" s="98"/>
      <c r="O107" s="98"/>
      <c r="P107" s="96"/>
    </row>
    <row r="108" spans="1:16" ht="16.5" customHeight="1" x14ac:dyDescent="0.25">
      <c r="A108" s="95"/>
      <c r="B108" s="121" t="s">
        <v>217</v>
      </c>
      <c r="C108" s="122" t="e">
        <f>IF(VLOOKUP(B108,'Gebouwgegevens Allacker'!$J$5:$Q$83,2,0)=B78,VLOOKUP(B108,'Gebouwgegevens Allacker'!$J$5:$Q$83,2,0),VLOOKUP(B108,'Gebouwgegevens Allacker'!$J$5:$Q$83,3,0))</f>
        <v>#N/A</v>
      </c>
      <c r="D108" s="122" t="e">
        <f>IF(VLOOKUP(B108,'Gebouwgegevens Allacker'!$J$5:$Q$83,2,0)=B78,VLOOKUP(B108,'Gebouwgegevens Allacker'!$J$5:$Q$83,3,0),VLOOKUP(B108,'Gebouwgegevens Allacker'!$J$5:$Q$83,2,0))</f>
        <v>#N/A</v>
      </c>
      <c r="E108" s="122" t="e">
        <f>VLOOKUP(B108,'Gebouwgegevens Allacker'!$J$5:$Q$83,4,0)</f>
        <v>#N/A</v>
      </c>
      <c r="F108" s="122" t="e">
        <f>VLOOKUP(B108,'Gebouwgegevens Allacker'!$J$5:$Q$83,5,0)</f>
        <v>#N/A</v>
      </c>
      <c r="G108" s="122" t="e">
        <f>VLOOKUP('Verwarming Allacker'!C108,'Gebouwgegevens Allacker'!$A$35:$F$46,5,0)</f>
        <v>#N/A</v>
      </c>
      <c r="H108" s="122" t="e">
        <f>VLOOKUP('Verwarming Allacker'!D108,'Gebouwgegevens Allacker'!$A$35:$F$46,5,0)</f>
        <v>#N/A</v>
      </c>
      <c r="I108" s="122" t="e">
        <f>VLOOKUP(B108,'Gebouwgegevens Allacker'!$J$5:$Q$83,7,0)</f>
        <v>#N/A</v>
      </c>
      <c r="J108" s="118" t="e">
        <f>VLOOKUP(B108,'Gebouwgegevens Allacker'!$J$5:$Q$83,8,0)</f>
        <v>#N/A</v>
      </c>
      <c r="K108" s="118" t="e">
        <f>(G108-H108)/(G108-$B$4)</f>
        <v>#N/A</v>
      </c>
      <c r="L108" s="98"/>
      <c r="M108" s="98"/>
      <c r="N108" s="98"/>
      <c r="O108" s="98"/>
      <c r="P108" s="96"/>
    </row>
    <row r="109" spans="1:16" ht="16.5" customHeight="1" x14ac:dyDescent="0.25">
      <c r="A109" s="95"/>
      <c r="B109" s="121" t="s">
        <v>218</v>
      </c>
      <c r="C109" s="122" t="e">
        <f>IF(VLOOKUP(B109,'Gebouwgegevens Allacker'!$J$5:$Q$83,2,0)=B78,VLOOKUP(B109,'Gebouwgegevens Allacker'!$J$5:$Q$83,2,0),VLOOKUP(B109,'Gebouwgegevens Allacker'!$J$5:$Q$83,3,0))</f>
        <v>#N/A</v>
      </c>
      <c r="D109" s="122" t="e">
        <f>IF(VLOOKUP(B109,'Gebouwgegevens Allacker'!$J$5:$Q$83,2,0)=B78,VLOOKUP(B109,'Gebouwgegevens Allacker'!$J$5:$Q$83,3,0),VLOOKUP(B109,'Gebouwgegevens Allacker'!$J$5:$Q$83,2,0))</f>
        <v>#N/A</v>
      </c>
      <c r="E109" s="122" t="e">
        <f>VLOOKUP(B109,'Gebouwgegevens Allacker'!$J$5:$Q$83,4,0)</f>
        <v>#N/A</v>
      </c>
      <c r="F109" s="122" t="e">
        <f>VLOOKUP(B109,'Gebouwgegevens Allacker'!$J$5:$Q$83,5,0)</f>
        <v>#N/A</v>
      </c>
      <c r="G109" s="122" t="e">
        <f>VLOOKUP('Verwarming Allacker'!C109,'Gebouwgegevens Allacker'!$A$35:$F$46,5,0)</f>
        <v>#N/A</v>
      </c>
      <c r="H109" s="122" t="e">
        <f>VLOOKUP('Verwarming Allacker'!D109,'Gebouwgegevens Allacker'!$A$35:$F$46,5,0)</f>
        <v>#N/A</v>
      </c>
      <c r="I109" s="122" t="e">
        <f>VLOOKUP(B109,'Gebouwgegevens Allacker'!$J$5:$Q$83,7,0)</f>
        <v>#N/A</v>
      </c>
      <c r="J109" s="118" t="e">
        <f>VLOOKUP(B109,'Gebouwgegevens Allacker'!$J$5:$Q$83,8,0)</f>
        <v>#N/A</v>
      </c>
      <c r="K109" s="118" t="e">
        <f>(G109-H109)/(G109-$B$4)</f>
        <v>#N/A</v>
      </c>
      <c r="L109" s="98"/>
      <c r="M109" s="98"/>
      <c r="N109" s="98"/>
      <c r="O109" s="98"/>
      <c r="P109" s="96"/>
    </row>
    <row r="110" spans="1:16" ht="16.5" customHeight="1" x14ac:dyDescent="0.25">
      <c r="A110" s="95"/>
      <c r="B110" s="121" t="s">
        <v>219</v>
      </c>
      <c r="C110" s="122" t="e">
        <f>IF(VLOOKUP(B110,'Gebouwgegevens Allacker'!$J$5:$Q$83,2,0)=B78,VLOOKUP(B110,'Gebouwgegevens Allacker'!$J$5:$Q$83,2,0),VLOOKUP(B110,'Gebouwgegevens Allacker'!$J$5:$Q$83,3,0))</f>
        <v>#N/A</v>
      </c>
      <c r="D110" s="122" t="e">
        <f>IF(VLOOKUP(B110,'Gebouwgegevens Allacker'!$J$5:$Q$83,2,0)=B78,VLOOKUP(B110,'Gebouwgegevens Allacker'!$J$5:$Q$83,3,0),VLOOKUP(B110,'Gebouwgegevens Allacker'!$J$5:$Q$83,2,0))</f>
        <v>#N/A</v>
      </c>
      <c r="E110" s="122" t="e">
        <f>VLOOKUP(B110,'Gebouwgegevens Allacker'!$J$5:$Q$83,4,0)</f>
        <v>#N/A</v>
      </c>
      <c r="F110" s="122" t="e">
        <f>VLOOKUP(B110,'Gebouwgegevens Allacker'!$J$5:$Q$83,5,0)</f>
        <v>#N/A</v>
      </c>
      <c r="G110" s="122" t="e">
        <f>VLOOKUP('Verwarming Allacker'!C110,'Gebouwgegevens Allacker'!$A$35:$F$46,5,0)</f>
        <v>#N/A</v>
      </c>
      <c r="H110" s="122" t="e">
        <f>VLOOKUP('Verwarming Allacker'!D110,'Gebouwgegevens Allacker'!$A$35:$F$46,5,0)</f>
        <v>#N/A</v>
      </c>
      <c r="I110" s="122" t="e">
        <f>VLOOKUP(B110,'Gebouwgegevens Allacker'!$J$5:$Q$83,7,0)</f>
        <v>#N/A</v>
      </c>
      <c r="J110" s="118" t="e">
        <f>VLOOKUP(B110,'Gebouwgegevens Allacker'!$J$5:$Q$83,8,0)</f>
        <v>#N/A</v>
      </c>
      <c r="K110" s="118" t="e">
        <f>(G110-H110)/(G110-$B$4)</f>
        <v>#N/A</v>
      </c>
      <c r="L110" s="98"/>
      <c r="M110" s="98"/>
      <c r="N110" s="98"/>
      <c r="O110" s="98"/>
      <c r="P110" s="96"/>
    </row>
    <row r="111" spans="1:16" ht="16.5" customHeight="1" x14ac:dyDescent="0.25">
      <c r="A111" s="95"/>
      <c r="B111" s="92" t="s">
        <v>220</v>
      </c>
      <c r="C111" s="122" t="e">
        <f>IF(VLOOKUP(B111,'Gebouwgegevens Allacker'!$J$5:$Q$83,2,0)=B78,VLOOKUP(B111,'Gebouwgegevens Allacker'!$J$5:$Q$83,2,0),VLOOKUP(B111,'Gebouwgegevens Allacker'!$J$5:$Q$83,3,0))</f>
        <v>#N/A</v>
      </c>
      <c r="D111" s="122" t="e">
        <f>IF(VLOOKUP(B111,'Gebouwgegevens Allacker'!$J$5:$Q$83,2,0)=B78,VLOOKUP(B111,'Gebouwgegevens Allacker'!$J$5:$Q$83,3,0),VLOOKUP(B111,'Gebouwgegevens Allacker'!$J$5:$Q$83,2,0))</f>
        <v>#N/A</v>
      </c>
      <c r="E111" s="122" t="e">
        <f>VLOOKUP(B111,'Gebouwgegevens Allacker'!$J$5:$Q$83,4,0)</f>
        <v>#N/A</v>
      </c>
      <c r="F111" s="122" t="e">
        <f>VLOOKUP(B111,'Gebouwgegevens Allacker'!$J$5:$Q$83,5,0)</f>
        <v>#N/A</v>
      </c>
      <c r="G111" s="122" t="e">
        <f>VLOOKUP('Verwarming Allacker'!C111,'Gebouwgegevens Allacker'!$A$35:$F$46,5,0)</f>
        <v>#N/A</v>
      </c>
      <c r="H111" s="122" t="e">
        <f>VLOOKUP('Verwarming Allacker'!D111,'Gebouwgegevens Allacker'!$A$35:$F$46,5,0)</f>
        <v>#N/A</v>
      </c>
      <c r="I111" s="122" t="e">
        <f>VLOOKUP(B111,'Gebouwgegevens Allacker'!$J$5:$Q$83,7,0)</f>
        <v>#N/A</v>
      </c>
      <c r="J111" s="118" t="e">
        <f>VLOOKUP(B111,'Gebouwgegevens Allacker'!$J$5:$Q$83,8,0)</f>
        <v>#N/A</v>
      </c>
      <c r="K111" s="118" t="e">
        <f>(G111-H111)/(G111-$B$4)</f>
        <v>#N/A</v>
      </c>
      <c r="L111" s="98"/>
      <c r="M111" s="98"/>
      <c r="N111" s="98"/>
      <c r="O111" s="98"/>
      <c r="P111" s="96"/>
    </row>
    <row r="112" spans="1:16" ht="16.5" customHeight="1" x14ac:dyDescent="0.25">
      <c r="A112" s="95"/>
      <c r="B112" s="123" t="s">
        <v>221</v>
      </c>
      <c r="C112" s="139" t="e">
        <f>IF(VLOOKUP(B112,'Gebouwgegevens Allacker'!$J$5:$Q$83,2,0)=B78,VLOOKUP(B112,'Gebouwgegevens Allacker'!$J$5:$Q$83,2,0),VLOOKUP(B112,'Gebouwgegevens Allacker'!$J$5:$Q$83,3,0))</f>
        <v>#N/A</v>
      </c>
      <c r="D112" s="122" t="e">
        <f>IF(VLOOKUP(B112,'Gebouwgegevens Allacker'!$J$5:$Q$83,2,0)=B78,VLOOKUP(B112,'Gebouwgegevens Allacker'!$J$5:$Q$83,3,0),VLOOKUP(B112,'Gebouwgegevens Allacker'!$J$5:$Q$83,2,0))</f>
        <v>#N/A</v>
      </c>
      <c r="E112" s="122" t="e">
        <f>VLOOKUP(B112,'Gebouwgegevens Allacker'!$J$5:$Q$83,4,0)</f>
        <v>#N/A</v>
      </c>
      <c r="F112" s="122" t="e">
        <f>VLOOKUP(B112,'Gebouwgegevens Allacker'!$J$5:$Q$83,5,0)</f>
        <v>#N/A</v>
      </c>
      <c r="G112" s="122" t="e">
        <f>VLOOKUP('Verwarming Allacker'!C112,'Gebouwgegevens Allacker'!$A$35:$F$46,5,0)</f>
        <v>#N/A</v>
      </c>
      <c r="H112" s="122" t="e">
        <f>VLOOKUP('Verwarming Allacker'!D112,'Gebouwgegevens Allacker'!$A$35:$F$46,5,0)</f>
        <v>#N/A</v>
      </c>
      <c r="I112" s="122" t="e">
        <f>VLOOKUP(B112,'Gebouwgegevens Allacker'!$J$5:$Q$83,7,0)</f>
        <v>#N/A</v>
      </c>
      <c r="J112" s="118" t="e">
        <f>VLOOKUP(B112,'Gebouwgegevens Allacker'!$J$5:$Q$83,8,0)</f>
        <v>#N/A</v>
      </c>
      <c r="K112" s="118" t="e">
        <f>(G112-H112)/(G112-$B$4)</f>
        <v>#N/A</v>
      </c>
      <c r="L112" s="98"/>
      <c r="M112" s="98"/>
      <c r="N112" s="98"/>
      <c r="O112" s="98"/>
      <c r="P112" s="96"/>
    </row>
    <row r="113" spans="1:16" ht="16.5" customHeight="1" x14ac:dyDescent="0.25">
      <c r="A113" s="95"/>
      <c r="B113" s="123"/>
      <c r="C113" s="139"/>
      <c r="D113" s="122"/>
      <c r="E113" s="122"/>
      <c r="F113" s="122"/>
      <c r="G113" s="122"/>
      <c r="H113" s="122"/>
      <c r="I113" s="122"/>
      <c r="J113" s="118"/>
      <c r="K113" s="118"/>
      <c r="L113" s="98"/>
      <c r="M113" s="98"/>
      <c r="N113" s="98"/>
      <c r="O113" s="98"/>
      <c r="P113" s="96"/>
    </row>
    <row r="114" spans="1:16" ht="16.5" customHeight="1" x14ac:dyDescent="0.25">
      <c r="A114" s="95"/>
      <c r="B114" s="123"/>
      <c r="C114" s="139"/>
      <c r="D114" s="122"/>
      <c r="E114" s="122"/>
      <c r="F114" s="122"/>
      <c r="G114" s="122"/>
      <c r="H114" s="122"/>
      <c r="I114" s="122"/>
      <c r="J114" s="118"/>
      <c r="K114" s="118"/>
      <c r="L114" s="98"/>
      <c r="M114" s="98"/>
      <c r="N114" s="98"/>
      <c r="O114" s="98"/>
      <c r="P114" s="96"/>
    </row>
    <row r="115" spans="1:16" ht="16.5" customHeight="1" x14ac:dyDescent="0.25">
      <c r="A115" s="95"/>
      <c r="B115" s="123"/>
      <c r="C115" s="139"/>
      <c r="D115" s="122"/>
      <c r="E115" s="122"/>
      <c r="F115" s="122"/>
      <c r="G115" s="122"/>
      <c r="H115" s="122"/>
      <c r="I115" s="122"/>
      <c r="J115" s="118"/>
      <c r="K115" s="118"/>
      <c r="L115" s="98"/>
      <c r="M115" s="98"/>
      <c r="N115" s="98"/>
      <c r="O115" s="98"/>
      <c r="P115" s="96"/>
    </row>
    <row r="116" spans="1:16" ht="16.5" customHeight="1" x14ac:dyDescent="0.25">
      <c r="A116" s="95"/>
      <c r="B116" s="123"/>
      <c r="C116" s="139"/>
      <c r="D116" s="122"/>
      <c r="E116" s="122"/>
      <c r="F116" s="122"/>
      <c r="G116" s="122"/>
      <c r="H116" s="122"/>
      <c r="I116" s="122"/>
      <c r="J116" s="118"/>
      <c r="K116" s="118"/>
      <c r="L116" s="98"/>
      <c r="M116" s="98"/>
      <c r="N116" s="98"/>
      <c r="O116" s="98"/>
      <c r="P116" s="96"/>
    </row>
    <row r="117" spans="1:16" ht="16.5" customHeight="1" x14ac:dyDescent="0.25">
      <c r="A117" s="95"/>
      <c r="B117" s="123"/>
      <c r="C117" s="139"/>
      <c r="D117" s="122"/>
      <c r="E117" s="122"/>
      <c r="F117" s="122"/>
      <c r="G117" s="122"/>
      <c r="H117" s="122"/>
      <c r="I117" s="122"/>
      <c r="J117" s="118"/>
      <c r="K117" s="118"/>
      <c r="L117" s="98"/>
      <c r="M117" s="98"/>
      <c r="N117" s="98"/>
      <c r="O117" s="98"/>
      <c r="P117" s="96"/>
    </row>
    <row r="118" spans="1:16" ht="15.75" customHeight="1" x14ac:dyDescent="0.25">
      <c r="A118" s="95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8"/>
      <c r="M118" s="98"/>
      <c r="N118" s="98"/>
      <c r="O118" s="98"/>
      <c r="P118" s="96"/>
    </row>
    <row r="119" spans="1:16" ht="15" customHeight="1" x14ac:dyDescent="0.25">
      <c r="A119" s="95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6"/>
    </row>
    <row r="120" spans="1:16" ht="15.75" customHeight="1" x14ac:dyDescent="0.25">
      <c r="A120" s="103" t="s">
        <v>192</v>
      </c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6"/>
    </row>
    <row r="121" spans="1:16" ht="16.5" customHeight="1" x14ac:dyDescent="0.25">
      <c r="A121" s="124" t="s">
        <v>193</v>
      </c>
      <c r="B121" s="118" t="e">
        <f>SUMPRODUCT(H84:H95,I84:I95)+SUMPRODUCT(G100:G104,H100:H104)+SUMPRODUCT(J108:J117,K108:K117)</f>
        <v>#N/A</v>
      </c>
      <c r="C121" s="118" t="s">
        <v>107</v>
      </c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6"/>
    </row>
    <row r="122" spans="1:16" ht="16.5" customHeight="1" x14ac:dyDescent="0.25">
      <c r="A122" s="124" t="s">
        <v>167</v>
      </c>
      <c r="B122" s="118" t="e">
        <f>B121*(G111-$B$4)</f>
        <v>#N/A</v>
      </c>
      <c r="C122" s="118" t="s">
        <v>169</v>
      </c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6"/>
    </row>
    <row r="123" spans="1:16" ht="15.75" customHeight="1" x14ac:dyDescent="0.25">
      <c r="A123" s="109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1"/>
    </row>
    <row r="124" spans="1:16" ht="15.75" customHeight="1" x14ac:dyDescent="0.25">
      <c r="A124" s="343" t="s">
        <v>194</v>
      </c>
      <c r="B124" s="343"/>
      <c r="C124" s="343"/>
      <c r="D124" s="125" t="s">
        <v>222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94"/>
    </row>
    <row r="125" spans="1:16" ht="15" customHeight="1" x14ac:dyDescent="0.25">
      <c r="A125" s="95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6"/>
    </row>
    <row r="126" spans="1:16" ht="15" customHeight="1" x14ac:dyDescent="0.25">
      <c r="A126" s="126" t="s">
        <v>195</v>
      </c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6"/>
    </row>
    <row r="127" spans="1:16" ht="15" customHeight="1" x14ac:dyDescent="0.25">
      <c r="A127" s="127" t="s">
        <v>196</v>
      </c>
      <c r="B127" s="121">
        <v>8</v>
      </c>
      <c r="C127" s="120" t="s">
        <v>197</v>
      </c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6"/>
    </row>
    <row r="128" spans="1:16" ht="15" customHeight="1" x14ac:dyDescent="0.25">
      <c r="A128" s="127" t="s">
        <v>198</v>
      </c>
      <c r="B128" s="121">
        <v>0.03</v>
      </c>
      <c r="C128" s="120" t="s">
        <v>199</v>
      </c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6"/>
    </row>
    <row r="129" spans="1:16" ht="15.75" customHeight="1" x14ac:dyDescent="0.25">
      <c r="A129" s="127" t="s">
        <v>200</v>
      </c>
      <c r="B129" s="121">
        <v>1</v>
      </c>
      <c r="C129" s="120" t="s">
        <v>201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6"/>
    </row>
    <row r="130" spans="1:16" ht="16.5" customHeight="1" x14ac:dyDescent="0.25">
      <c r="A130" s="124" t="s">
        <v>202</v>
      </c>
      <c r="B130" s="118">
        <f>2*VLOOKUP(B78,'Gebouwgegevens Allacker'!$A$35:$F$46,6,0)*B127*B128*B129</f>
        <v>0</v>
      </c>
      <c r="C130" s="118" t="s">
        <v>203</v>
      </c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6"/>
    </row>
    <row r="131" spans="1:16" ht="15.75" customHeight="1" x14ac:dyDescent="0.25">
      <c r="A131" s="95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6"/>
    </row>
    <row r="132" spans="1:16" ht="15" customHeight="1" x14ac:dyDescent="0.25">
      <c r="A132" s="126" t="s">
        <v>204</v>
      </c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6"/>
    </row>
    <row r="133" spans="1:16" ht="15.75" customHeight="1" x14ac:dyDescent="0.25">
      <c r="A133" s="95" t="s">
        <v>180</v>
      </c>
      <c r="B133" s="98">
        <f>VLOOKUP(B78,'Gebouwgegevens Allacker'!$A$35:$F$46,6,0)</f>
        <v>0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6"/>
    </row>
    <row r="134" spans="1:16" ht="16.5" customHeight="1" x14ac:dyDescent="0.25">
      <c r="A134" s="124" t="s">
        <v>205</v>
      </c>
      <c r="B134" s="128">
        <v>50</v>
      </c>
      <c r="C134" s="118" t="s">
        <v>203</v>
      </c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6"/>
    </row>
    <row r="135" spans="1:16" ht="15.75" customHeight="1" x14ac:dyDescent="0.25">
      <c r="A135" s="95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6"/>
    </row>
    <row r="136" spans="1:16" ht="15.75" customHeight="1" x14ac:dyDescent="0.25">
      <c r="A136" s="95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6"/>
    </row>
    <row r="137" spans="1:16" ht="16.5" customHeight="1" x14ac:dyDescent="0.25">
      <c r="A137" s="124" t="s">
        <v>207</v>
      </c>
      <c r="B137" s="118">
        <f>MAX(B130,B134)</f>
        <v>50</v>
      </c>
      <c r="C137" s="118" t="s">
        <v>203</v>
      </c>
      <c r="D137" s="98"/>
      <c r="E137" s="98"/>
      <c r="F137" s="118" t="s">
        <v>208</v>
      </c>
      <c r="G137" s="118">
        <f>B137/VLOOKUP(B78,'Gebouwgegevens Allacker'!$A$35:$B$46,2,0)</f>
        <v>0.31350321027287315</v>
      </c>
      <c r="H137" s="98"/>
      <c r="I137" s="98"/>
      <c r="J137" s="98"/>
      <c r="K137" s="98"/>
      <c r="L137" s="98"/>
      <c r="M137" s="98"/>
      <c r="N137" s="98"/>
      <c r="O137" s="98"/>
      <c r="P137" s="96"/>
    </row>
    <row r="138" spans="1:16" ht="16.5" customHeight="1" x14ac:dyDescent="0.25">
      <c r="A138" s="95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6"/>
    </row>
    <row r="139" spans="1:16" ht="16.5" customHeight="1" x14ac:dyDescent="0.25">
      <c r="A139" s="124" t="s">
        <v>209</v>
      </c>
      <c r="B139" s="118">
        <f>0.34*B137</f>
        <v>17</v>
      </c>
      <c r="C139" s="118" t="s">
        <v>107</v>
      </c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6"/>
    </row>
    <row r="140" spans="1:16" ht="16.5" customHeight="1" x14ac:dyDescent="0.25">
      <c r="A140" s="124" t="s">
        <v>167</v>
      </c>
      <c r="B140" s="118">
        <f>B139*('Gebouwgegevens Allacker'!E100-$B$4)</f>
        <v>136</v>
      </c>
      <c r="C140" s="118" t="s">
        <v>169</v>
      </c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6"/>
    </row>
    <row r="141" spans="1:16" ht="15.75" customHeight="1" x14ac:dyDescent="0.25">
      <c r="A141" s="109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1"/>
    </row>
    <row r="142" spans="1:16" ht="15.75" customHeight="1" x14ac:dyDescent="0.25">
      <c r="A142" s="343" t="s">
        <v>210</v>
      </c>
      <c r="B142" s="343"/>
      <c r="C142" s="343"/>
      <c r="D142" s="343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6"/>
    </row>
    <row r="143" spans="1:16" ht="15" customHeight="1" x14ac:dyDescent="0.25">
      <c r="A143" s="95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6"/>
    </row>
    <row r="144" spans="1:16" ht="15" customHeight="1" x14ac:dyDescent="0.25">
      <c r="A144" s="127" t="s">
        <v>211</v>
      </c>
      <c r="B144" s="121">
        <v>45</v>
      </c>
      <c r="C144" s="58" t="s">
        <v>212</v>
      </c>
      <c r="D144" s="5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6"/>
    </row>
    <row r="145" spans="1:16" ht="15.75" customHeight="1" x14ac:dyDescent="0.25">
      <c r="A145" s="127" t="s">
        <v>113</v>
      </c>
      <c r="B145" s="121">
        <f>VLOOKUP(B78,'Gebouwgegevens Allacker'!$A$35:$F$46,6,0)</f>
        <v>0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6"/>
    </row>
    <row r="146" spans="1:16" ht="16.5" customHeight="1" x14ac:dyDescent="0.25">
      <c r="A146" s="124" t="s">
        <v>213</v>
      </c>
      <c r="B146" s="118">
        <f>B147/('Gebouwgegevens Allacker'!E100-'Verwarming Allacker'!$B$4)</f>
        <v>0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6"/>
    </row>
    <row r="147" spans="1:16" ht="16.5" customHeight="1" x14ac:dyDescent="0.25">
      <c r="A147" s="124" t="s">
        <v>167</v>
      </c>
      <c r="B147" s="118">
        <f>B144*B145</f>
        <v>0</v>
      </c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6"/>
    </row>
    <row r="148" spans="1:16" ht="15.75" customHeight="1" x14ac:dyDescent="0.25">
      <c r="A148" s="95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6"/>
    </row>
    <row r="149" spans="1:16" ht="15.75" customHeight="1" x14ac:dyDescent="0.25">
      <c r="A149" s="95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6"/>
    </row>
    <row r="150" spans="1:16" ht="15.75" customHeight="1" x14ac:dyDescent="0.25">
      <c r="A150" s="129" t="s">
        <v>214</v>
      </c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1"/>
    </row>
    <row r="151" spans="1:16" ht="16.5" customHeight="1" x14ac:dyDescent="0.25">
      <c r="A151" s="124" t="s">
        <v>215</v>
      </c>
      <c r="B151" s="118" t="e">
        <f>SUM(B121,B139,B146)</f>
        <v>#N/A</v>
      </c>
      <c r="C151" s="118" t="s">
        <v>107</v>
      </c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3"/>
    </row>
    <row r="152" spans="1:16" ht="16.5" customHeight="1" x14ac:dyDescent="0.25">
      <c r="A152" s="124" t="s">
        <v>167</v>
      </c>
      <c r="B152" s="118" t="e">
        <f>SUM(B122,B140,B147)</f>
        <v>#N/A</v>
      </c>
      <c r="C152" s="118" t="s">
        <v>169</v>
      </c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3"/>
    </row>
    <row r="153" spans="1:16" ht="16.5" customHeight="1" x14ac:dyDescent="0.25">
      <c r="A153" s="134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6"/>
    </row>
    <row r="154" spans="1:16" ht="15" customHeight="1" x14ac:dyDescent="0.25">
      <c r="A154" s="137"/>
      <c r="B154" s="137"/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</row>
    <row r="155" spans="1:16" ht="15" customHeight="1" x14ac:dyDescent="0.25">
      <c r="A155" s="137"/>
      <c r="B155" s="137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</row>
    <row r="156" spans="1:16" ht="15.75" customHeight="1" x14ac:dyDescent="0.25">
      <c r="A156" s="137"/>
      <c r="B156" s="137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</row>
    <row r="157" spans="1:16" ht="15" customHeight="1" x14ac:dyDescent="0.25">
      <c r="A157" s="93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94"/>
    </row>
    <row r="158" spans="1:16" ht="17.25" customHeight="1" x14ac:dyDescent="0.3">
      <c r="A158" s="97" t="s">
        <v>166</v>
      </c>
      <c r="B158" s="92">
        <v>3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6"/>
    </row>
    <row r="159" spans="1:16" ht="15.75" customHeight="1" x14ac:dyDescent="0.25">
      <c r="A159" s="343" t="s">
        <v>168</v>
      </c>
      <c r="B159" s="343"/>
      <c r="C159" s="343"/>
      <c r="D159" s="343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94"/>
    </row>
    <row r="160" spans="1:16" ht="15" customHeight="1" x14ac:dyDescent="0.25">
      <c r="A160" s="95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6"/>
    </row>
    <row r="161" spans="1:16" ht="15" customHeight="1" x14ac:dyDescent="0.25">
      <c r="A161" s="103" t="s">
        <v>170</v>
      </c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6"/>
    </row>
    <row r="162" spans="1:16" ht="15" customHeight="1" x14ac:dyDescent="0.25">
      <c r="A162" s="95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6"/>
    </row>
    <row r="163" spans="1:16" ht="15.75" customHeight="1" x14ac:dyDescent="0.25">
      <c r="A163" s="95"/>
      <c r="B163" s="104" t="s">
        <v>10</v>
      </c>
      <c r="C163" s="104" t="s">
        <v>171</v>
      </c>
      <c r="D163" s="104" t="s">
        <v>172</v>
      </c>
      <c r="E163" s="104" t="s">
        <v>173</v>
      </c>
      <c r="F163" s="104" t="s">
        <v>174</v>
      </c>
      <c r="G163" s="104" t="s">
        <v>16</v>
      </c>
      <c r="H163" s="105" t="s">
        <v>17</v>
      </c>
      <c r="I163" s="105" t="s">
        <v>175</v>
      </c>
      <c r="J163" s="98"/>
      <c r="K163" s="98"/>
      <c r="L163" s="98"/>
      <c r="M163" s="98"/>
      <c r="N163" s="98"/>
      <c r="O163" s="98"/>
      <c r="P163" s="96"/>
    </row>
    <row r="164" spans="1:16" ht="16.5" customHeight="1" x14ac:dyDescent="0.25">
      <c r="A164" s="95"/>
      <c r="B164" s="106" t="s">
        <v>66</v>
      </c>
      <c r="C164" s="107">
        <f>VLOOKUP(B164,'Gebouwgegevens Allacker'!$J$5:$Q$83,3,0)</f>
        <v>1</v>
      </c>
      <c r="D164" s="107" t="str">
        <f>VLOOKUP(B164,'Gebouwgegevens Allacker'!$J$5:$Q$83,4,0)</f>
        <v>Roof</v>
      </c>
      <c r="E164" s="107">
        <f>VLOOKUP(B164,'Gebouwgegevens Allacker'!$J$5:$Q$83,5,0)</f>
        <v>29</v>
      </c>
      <c r="F164" s="107">
        <f>VLOOKUP(B164,'Gebouwgegevens Allacker'!$J$5:$Q$83,6,0)</f>
        <v>0</v>
      </c>
      <c r="G164" s="107">
        <f>VLOOKUP(B164,'Gebouwgegevens Allacker'!$J$5:$Q$83,7,0)</f>
        <v>1.6975498473547073</v>
      </c>
      <c r="H164" s="108">
        <f>VLOOKUP(B164,'Gebouwgegevens Allacker'!$J$5:$Q$83,8,0)</f>
        <v>49.228945573286509</v>
      </c>
      <c r="I164" s="108">
        <v>1</v>
      </c>
      <c r="J164" s="98"/>
      <c r="K164" s="98"/>
      <c r="L164" s="98"/>
      <c r="M164" s="98"/>
      <c r="N164" s="98"/>
      <c r="O164" s="98"/>
      <c r="P164" s="96"/>
    </row>
    <row r="165" spans="1:16" ht="16.5" customHeight="1" x14ac:dyDescent="0.25">
      <c r="A165" s="95"/>
      <c r="B165" s="106" t="s">
        <v>67</v>
      </c>
      <c r="C165" s="107">
        <f>VLOOKUP(B165,'Gebouwgegevens Allacker'!$J$5:$Q$83,3,0)</f>
        <v>1</v>
      </c>
      <c r="D165" s="107" t="str">
        <f>VLOOKUP(B165,'Gebouwgegevens Allacker'!$J$5:$Q$83,4,0)</f>
        <v>Door</v>
      </c>
      <c r="E165" s="107">
        <f>VLOOKUP(B165,'Gebouwgegevens Allacker'!$J$5:$Q$83,5,0)</f>
        <v>7.5</v>
      </c>
      <c r="F165" s="107">
        <f>VLOOKUP(B165,'Gebouwgegevens Allacker'!$J$5:$Q$83,6,0)</f>
        <v>0</v>
      </c>
      <c r="G165" s="107">
        <f>VLOOKUP(B165,'Gebouwgegevens Allacker'!$J$5:$Q$83,7,0)</f>
        <v>4</v>
      </c>
      <c r="H165" s="108">
        <f>VLOOKUP(B165,'Gebouwgegevens Allacker'!$J$5:$Q$83,8,0)</f>
        <v>30</v>
      </c>
      <c r="I165" s="108">
        <v>1</v>
      </c>
      <c r="J165" s="98"/>
      <c r="K165" s="98"/>
      <c r="L165" s="98"/>
      <c r="M165" s="98"/>
      <c r="N165" s="98"/>
      <c r="O165" s="98"/>
      <c r="P165" s="96"/>
    </row>
    <row r="166" spans="1:16" ht="16.5" customHeight="1" x14ac:dyDescent="0.25">
      <c r="A166" s="95"/>
      <c r="B166" s="106"/>
      <c r="C166" s="107"/>
      <c r="D166" s="107"/>
      <c r="E166" s="107"/>
      <c r="F166" s="107"/>
      <c r="G166" s="107"/>
      <c r="H166" s="108"/>
      <c r="I166" s="108"/>
      <c r="J166" s="98"/>
      <c r="K166" s="98"/>
      <c r="L166" s="98"/>
      <c r="M166" s="98"/>
      <c r="N166" s="98"/>
      <c r="O166" s="98"/>
      <c r="P166" s="96"/>
    </row>
    <row r="167" spans="1:16" ht="16.5" customHeight="1" x14ac:dyDescent="0.25">
      <c r="A167" s="95"/>
      <c r="B167" s="106"/>
      <c r="C167" s="107"/>
      <c r="D167" s="107"/>
      <c r="E167" s="107"/>
      <c r="F167" s="107"/>
      <c r="G167" s="107"/>
      <c r="H167" s="108"/>
      <c r="I167" s="108"/>
      <c r="J167" s="98"/>
      <c r="K167" s="98"/>
      <c r="L167" s="98"/>
      <c r="M167" s="98"/>
      <c r="N167" s="98"/>
      <c r="O167" s="98"/>
      <c r="P167" s="96"/>
    </row>
    <row r="168" spans="1:16" ht="16.5" customHeight="1" x14ac:dyDescent="0.25">
      <c r="A168" s="95"/>
      <c r="B168" s="106"/>
      <c r="C168" s="107"/>
      <c r="D168" s="107"/>
      <c r="E168" s="107"/>
      <c r="F168" s="107"/>
      <c r="G168" s="107"/>
      <c r="H168" s="108"/>
      <c r="I168" s="108"/>
      <c r="J168" s="98"/>
      <c r="K168" s="98"/>
      <c r="L168" s="98"/>
      <c r="M168" s="98"/>
      <c r="N168" s="98"/>
      <c r="O168" s="98"/>
      <c r="P168" s="96"/>
    </row>
    <row r="169" spans="1:16" ht="16.5" customHeight="1" x14ac:dyDescent="0.25">
      <c r="A169" s="95"/>
      <c r="B169" s="106"/>
      <c r="C169" s="107"/>
      <c r="D169" s="107"/>
      <c r="E169" s="107"/>
      <c r="F169" s="107"/>
      <c r="G169" s="107"/>
      <c r="H169" s="108"/>
      <c r="I169" s="108"/>
      <c r="J169" s="98"/>
      <c r="K169" s="98"/>
      <c r="L169" s="98"/>
      <c r="M169" s="98"/>
      <c r="N169" s="98"/>
      <c r="O169" s="98"/>
      <c r="P169" s="96"/>
    </row>
    <row r="170" spans="1:16" ht="16.5" customHeight="1" x14ac:dyDescent="0.25">
      <c r="A170" s="95"/>
      <c r="B170" s="106"/>
      <c r="C170" s="107"/>
      <c r="D170" s="107"/>
      <c r="E170" s="107"/>
      <c r="F170" s="107"/>
      <c r="G170" s="107"/>
      <c r="H170" s="108"/>
      <c r="I170" s="108"/>
      <c r="J170" s="98"/>
      <c r="K170" s="98"/>
      <c r="L170" s="98"/>
      <c r="M170" s="98"/>
      <c r="N170" s="98"/>
      <c r="O170" s="98"/>
      <c r="P170" s="96"/>
    </row>
    <row r="171" spans="1:16" ht="16.5" customHeight="1" x14ac:dyDescent="0.25">
      <c r="A171" s="95"/>
      <c r="B171" s="106"/>
      <c r="C171" s="107"/>
      <c r="D171" s="107"/>
      <c r="E171" s="107"/>
      <c r="F171" s="107"/>
      <c r="G171" s="107"/>
      <c r="H171" s="108"/>
      <c r="I171" s="108"/>
      <c r="J171" s="98"/>
      <c r="K171" s="98"/>
      <c r="L171" s="98"/>
      <c r="M171" s="98"/>
      <c r="N171" s="98"/>
      <c r="O171" s="98"/>
      <c r="P171" s="96"/>
    </row>
    <row r="172" spans="1:16" ht="16.5" customHeight="1" x14ac:dyDescent="0.25">
      <c r="A172" s="95"/>
      <c r="B172" s="106"/>
      <c r="C172" s="107"/>
      <c r="D172" s="107"/>
      <c r="E172" s="107"/>
      <c r="F172" s="107"/>
      <c r="G172" s="107"/>
      <c r="H172" s="108"/>
      <c r="I172" s="108"/>
      <c r="J172" s="98"/>
      <c r="K172" s="98"/>
      <c r="L172" s="98"/>
      <c r="M172" s="98"/>
      <c r="N172" s="98"/>
      <c r="O172" s="98"/>
      <c r="P172" s="96"/>
    </row>
    <row r="173" spans="1:16" ht="16.5" customHeight="1" x14ac:dyDescent="0.25">
      <c r="A173" s="95"/>
      <c r="B173" s="106"/>
      <c r="C173" s="107"/>
      <c r="D173" s="107"/>
      <c r="E173" s="107"/>
      <c r="F173" s="107"/>
      <c r="G173" s="107"/>
      <c r="H173" s="108"/>
      <c r="I173" s="108"/>
      <c r="J173" s="98"/>
      <c r="K173" s="98"/>
      <c r="L173" s="98"/>
      <c r="M173" s="98"/>
      <c r="N173" s="98"/>
      <c r="O173" s="98"/>
      <c r="P173" s="96"/>
    </row>
    <row r="174" spans="1:16" ht="16.5" customHeight="1" x14ac:dyDescent="0.25">
      <c r="A174" s="95"/>
      <c r="B174" s="106"/>
      <c r="C174" s="107"/>
      <c r="D174" s="107"/>
      <c r="E174" s="107"/>
      <c r="F174" s="107"/>
      <c r="G174" s="107"/>
      <c r="H174" s="108"/>
      <c r="I174" s="108"/>
      <c r="J174" s="98"/>
      <c r="K174" s="98"/>
      <c r="L174" s="98"/>
      <c r="M174" s="98"/>
      <c r="N174" s="98"/>
      <c r="O174" s="98"/>
      <c r="P174" s="96"/>
    </row>
    <row r="175" spans="1:16" ht="16.5" customHeight="1" x14ac:dyDescent="0.25">
      <c r="A175" s="95"/>
      <c r="B175" s="106"/>
      <c r="C175" s="107"/>
      <c r="D175" s="107"/>
      <c r="E175" s="107"/>
      <c r="F175" s="107"/>
      <c r="G175" s="107"/>
      <c r="H175" s="108"/>
      <c r="I175" s="108"/>
      <c r="J175" s="98"/>
      <c r="K175" s="98"/>
      <c r="L175" s="98"/>
      <c r="M175" s="98"/>
      <c r="N175" s="98"/>
      <c r="O175" s="98"/>
      <c r="P175" s="96"/>
    </row>
    <row r="176" spans="1:16" ht="15.75" customHeight="1" x14ac:dyDescent="0.25">
      <c r="A176" s="95"/>
      <c r="B176" s="58"/>
      <c r="C176" s="58"/>
      <c r="D176" s="58"/>
      <c r="E176" s="58"/>
      <c r="F176" s="58"/>
      <c r="G176" s="114"/>
      <c r="H176" s="58"/>
      <c r="I176" s="58"/>
      <c r="J176" s="98"/>
      <c r="K176" s="98"/>
      <c r="L176" s="98"/>
      <c r="M176" s="98"/>
      <c r="N176" s="98"/>
      <c r="O176" s="98"/>
      <c r="P176" s="96"/>
    </row>
    <row r="177" spans="1:16" ht="15" customHeight="1" x14ac:dyDescent="0.25">
      <c r="A177" s="95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6"/>
    </row>
    <row r="178" spans="1:16" ht="15" customHeight="1" x14ac:dyDescent="0.25">
      <c r="A178" s="103" t="s">
        <v>177</v>
      </c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6"/>
    </row>
    <row r="179" spans="1:16" ht="15.75" customHeight="1" x14ac:dyDescent="0.25">
      <c r="A179" s="95"/>
      <c r="B179" s="58" t="s">
        <v>10</v>
      </c>
      <c r="C179" s="58" t="s">
        <v>178</v>
      </c>
      <c r="D179" s="58" t="s">
        <v>172</v>
      </c>
      <c r="E179" s="58" t="s">
        <v>179</v>
      </c>
      <c r="F179" s="58" t="s">
        <v>16</v>
      </c>
      <c r="G179" s="114" t="s">
        <v>17</v>
      </c>
      <c r="H179" s="114" t="s">
        <v>175</v>
      </c>
      <c r="I179" s="58" t="s">
        <v>180</v>
      </c>
      <c r="J179" s="58" t="s">
        <v>181</v>
      </c>
      <c r="K179" s="58" t="s">
        <v>182</v>
      </c>
      <c r="L179" s="115" t="s">
        <v>183</v>
      </c>
      <c r="M179" s="115" t="s">
        <v>184</v>
      </c>
      <c r="N179" s="115" t="s">
        <v>185</v>
      </c>
      <c r="O179" s="98"/>
      <c r="P179" s="96"/>
    </row>
    <row r="180" spans="1:16" ht="16.5" customHeight="1" x14ac:dyDescent="0.25">
      <c r="A180" s="95"/>
      <c r="B180" s="116" t="s">
        <v>223</v>
      </c>
      <c r="C180" s="117" t="e">
        <f>VLOOKUP(B180,'Gebouwgegevens Allacker'!$J$5:$Q$83,3,0)</f>
        <v>#N/A</v>
      </c>
      <c r="D180" s="117" t="e">
        <f>VLOOKUP(B180,'Gebouwgegevens Allacker'!$J$5:$Q$83,4,0)</f>
        <v>#N/A</v>
      </c>
      <c r="E180" s="117" t="e">
        <f>VLOOKUP(B180,'Gebouwgegevens Allacker'!$J$5:$Q$83,5,0)</f>
        <v>#N/A</v>
      </c>
      <c r="F180" s="117" t="e">
        <f>VLOOKUP(B180,'Gebouwgegevens Allacker'!$J$5:$Q$83,7,0)</f>
        <v>#N/A</v>
      </c>
      <c r="G180" s="118" t="e">
        <f>VLOOKUP(B180,'Gebouwgegevens Allacker'!$J$5:$Q$83,8,0)</f>
        <v>#N/A</v>
      </c>
      <c r="H180" s="118" t="e">
        <f>N180/F180</f>
        <v>#N/A</v>
      </c>
      <c r="I180" s="117" t="e">
        <f>VLOOKUP(C180,'Gebouwgegevens Allacker'!$A$35:$F$46,6,0)</f>
        <v>#N/A</v>
      </c>
      <c r="J180" s="116">
        <v>1.05</v>
      </c>
      <c r="K180" s="116">
        <v>0.33</v>
      </c>
      <c r="L180" s="119" t="e">
        <f>I180/(0.5*J180)</f>
        <v>#N/A</v>
      </c>
      <c r="M180" s="119" t="e">
        <f>K180+2*(1/F180)</f>
        <v>#N/A</v>
      </c>
      <c r="N180" s="120" t="e">
        <f>IF(M180&lt;L180,2*2/(PI()*L180+M180)*LN(PI()*L180/M180+1),2/(0.457*L180+M180))</f>
        <v>#N/A</v>
      </c>
      <c r="O180" s="98"/>
      <c r="P180" s="96"/>
    </row>
    <row r="181" spans="1:16" ht="16.5" customHeight="1" x14ac:dyDescent="0.25">
      <c r="A181" s="95"/>
      <c r="B181" s="116"/>
      <c r="C181" s="117"/>
      <c r="D181" s="117"/>
      <c r="E181" s="117"/>
      <c r="F181" s="117"/>
      <c r="G181" s="118"/>
      <c r="H181" s="118"/>
      <c r="I181" s="117"/>
      <c r="J181" s="116"/>
      <c r="K181" s="116"/>
      <c r="L181" s="119"/>
      <c r="M181" s="119"/>
      <c r="N181" s="120"/>
      <c r="O181" s="98"/>
      <c r="P181" s="96"/>
    </row>
    <row r="182" spans="1:16" ht="16.5" customHeight="1" x14ac:dyDescent="0.25">
      <c r="A182" s="95"/>
      <c r="B182" s="116"/>
      <c r="C182" s="117"/>
      <c r="D182" s="117"/>
      <c r="E182" s="117"/>
      <c r="F182" s="117"/>
      <c r="G182" s="118"/>
      <c r="H182" s="118"/>
      <c r="I182" s="117"/>
      <c r="J182" s="116"/>
      <c r="K182" s="116"/>
      <c r="L182" s="119"/>
      <c r="M182" s="119"/>
      <c r="N182" s="120"/>
      <c r="O182" s="98"/>
      <c r="P182" s="96"/>
    </row>
    <row r="183" spans="1:16" ht="16.5" customHeight="1" x14ac:dyDescent="0.25">
      <c r="A183" s="95"/>
      <c r="B183" s="116"/>
      <c r="C183" s="117"/>
      <c r="D183" s="117"/>
      <c r="E183" s="117"/>
      <c r="F183" s="117"/>
      <c r="G183" s="118"/>
      <c r="H183" s="118"/>
      <c r="I183" s="117"/>
      <c r="J183" s="116"/>
      <c r="K183" s="116"/>
      <c r="L183" s="119"/>
      <c r="M183" s="119"/>
      <c r="N183" s="120"/>
      <c r="O183" s="98"/>
      <c r="P183" s="96"/>
    </row>
    <row r="184" spans="1:16" ht="16.5" customHeight="1" x14ac:dyDescent="0.25">
      <c r="A184" s="138"/>
      <c r="B184" s="116"/>
      <c r="C184" s="117"/>
      <c r="D184" s="117"/>
      <c r="E184" s="117"/>
      <c r="F184" s="117"/>
      <c r="G184" s="118"/>
      <c r="H184" s="118"/>
      <c r="I184" s="117"/>
      <c r="J184" s="116"/>
      <c r="K184" s="116"/>
      <c r="L184" s="119"/>
      <c r="M184" s="119"/>
      <c r="N184" s="120"/>
      <c r="O184" s="98"/>
      <c r="P184" s="96"/>
    </row>
    <row r="185" spans="1:16" ht="15.75" customHeight="1" x14ac:dyDescent="0.25">
      <c r="A185" s="95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6"/>
    </row>
    <row r="186" spans="1:16" ht="15" customHeight="1" x14ac:dyDescent="0.25">
      <c r="A186" s="103" t="s">
        <v>186</v>
      </c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6"/>
    </row>
    <row r="187" spans="1:16" ht="15.75" customHeight="1" x14ac:dyDescent="0.25">
      <c r="A187" s="95"/>
      <c r="B187" s="58" t="s">
        <v>10</v>
      </c>
      <c r="C187" s="58" t="s">
        <v>187</v>
      </c>
      <c r="D187" s="58" t="s">
        <v>188</v>
      </c>
      <c r="E187" s="58" t="s">
        <v>135</v>
      </c>
      <c r="F187" s="58" t="s">
        <v>189</v>
      </c>
      <c r="G187" s="58" t="s">
        <v>190</v>
      </c>
      <c r="H187" s="58" t="s">
        <v>191</v>
      </c>
      <c r="I187" s="58" t="s">
        <v>16</v>
      </c>
      <c r="J187" s="114" t="s">
        <v>17</v>
      </c>
      <c r="K187" s="114" t="s">
        <v>175</v>
      </c>
      <c r="L187" s="98"/>
      <c r="M187" s="98"/>
      <c r="N187" s="98"/>
      <c r="O187" s="98"/>
      <c r="P187" s="96"/>
    </row>
    <row r="188" spans="1:16" ht="16.5" customHeight="1" x14ac:dyDescent="0.25">
      <c r="A188" s="95"/>
      <c r="B188" s="121" t="s">
        <v>224</v>
      </c>
      <c r="C188" s="122" t="e">
        <f>IF(VLOOKUP(B188,'Gebouwgegevens Allacker'!$J$5:$Q$83,2,0)=$B$158,VLOOKUP(B188,'Gebouwgegevens Allacker'!$J$5:$Q$83,2,0),VLOOKUP(B188,'Gebouwgegevens Allacker'!$J$5:$Q$83,3,0))</f>
        <v>#N/A</v>
      </c>
      <c r="D188" s="122" t="e">
        <f>IF(VLOOKUP(B188,'Gebouwgegevens Allacker'!$J$5:$Q$83,2,0)=$B$158,VLOOKUP(B188,'Gebouwgegevens Allacker'!$J$5:$Q$83,3,0),VLOOKUP(B188,'Gebouwgegevens Allacker'!$J$5:$Q$83,2,0))</f>
        <v>#N/A</v>
      </c>
      <c r="E188" s="122" t="e">
        <f>VLOOKUP(B188,'Gebouwgegevens Allacker'!$J$5:$Q$83,4,0)</f>
        <v>#N/A</v>
      </c>
      <c r="F188" s="122" t="e">
        <f>VLOOKUP(B188,'Gebouwgegevens Allacker'!$J$5:$Q$83,5,0)</f>
        <v>#N/A</v>
      </c>
      <c r="G188" s="122" t="e">
        <f>VLOOKUP('Verwarming Allacker'!C188,'Gebouwgegevens Allacker'!$A$35:$F$46,5,0)</f>
        <v>#N/A</v>
      </c>
      <c r="H188" s="122" t="e">
        <f>VLOOKUP('Verwarming Allacker'!D188,'Gebouwgegevens Allacker'!$A$35:$F$46,5,0)</f>
        <v>#N/A</v>
      </c>
      <c r="I188" s="122" t="e">
        <f>VLOOKUP(B188,'Gebouwgegevens Allacker'!$J$5:$Q$83,7,0)</f>
        <v>#N/A</v>
      </c>
      <c r="J188" s="118" t="e">
        <f>VLOOKUP(B188,'Gebouwgegevens Allacker'!$J$5:$Q$83,8,0)</f>
        <v>#N/A</v>
      </c>
      <c r="K188" s="118" t="e">
        <f>(G188-H188)/(G188-$B$4)</f>
        <v>#N/A</v>
      </c>
      <c r="L188" s="98"/>
      <c r="M188" s="98"/>
      <c r="N188" s="98"/>
      <c r="O188" s="98"/>
      <c r="P188" s="96"/>
    </row>
    <row r="189" spans="1:16" ht="16.5" customHeight="1" x14ac:dyDescent="0.25">
      <c r="A189" s="95"/>
      <c r="B189" s="121" t="s">
        <v>225</v>
      </c>
      <c r="C189" s="122" t="e">
        <f>IF(VLOOKUP(B189,'Gebouwgegevens Allacker'!$J$5:$Q$83,2,0)=$B$158,VLOOKUP(B189,'Gebouwgegevens Allacker'!$J$5:$Q$83,2,0),VLOOKUP(B189,'Gebouwgegevens Allacker'!$J$5:$Q$83,3,0))</f>
        <v>#N/A</v>
      </c>
      <c r="D189" s="122" t="e">
        <f>IF(VLOOKUP(B189,'Gebouwgegevens Allacker'!$J$5:$Q$83,2,0)=$B$158,VLOOKUP(B189,'Gebouwgegevens Allacker'!$J$5:$Q$83,3,0),VLOOKUP(B189,'Gebouwgegevens Allacker'!$J$5:$Q$83,2,0))</f>
        <v>#N/A</v>
      </c>
      <c r="E189" s="122" t="e">
        <f>VLOOKUP(B189,'Gebouwgegevens Allacker'!$J$5:$Q$83,4,0)</f>
        <v>#N/A</v>
      </c>
      <c r="F189" s="122" t="e">
        <f>VLOOKUP(B189,'Gebouwgegevens Allacker'!$J$5:$Q$83,5,0)</f>
        <v>#N/A</v>
      </c>
      <c r="G189" s="122" t="e">
        <f>VLOOKUP('Verwarming Allacker'!C189,'Gebouwgegevens Allacker'!$A$35:$F$46,5,0)</f>
        <v>#N/A</v>
      </c>
      <c r="H189" s="122" t="e">
        <f>VLOOKUP('Verwarming Allacker'!D189,'Gebouwgegevens Allacker'!$A$35:$F$46,5,0)</f>
        <v>#N/A</v>
      </c>
      <c r="I189" s="122" t="e">
        <f>VLOOKUP(B189,'Gebouwgegevens Allacker'!$J$5:$Q$83,7,0)</f>
        <v>#N/A</v>
      </c>
      <c r="J189" s="118" t="e">
        <f>VLOOKUP(B189,'Gebouwgegevens Allacker'!$J$5:$Q$83,8,0)</f>
        <v>#N/A</v>
      </c>
      <c r="K189" s="118" t="e">
        <f>(G189-H189)/(G189-$B$4)</f>
        <v>#N/A</v>
      </c>
      <c r="L189" s="98"/>
      <c r="M189" s="98"/>
      <c r="N189" s="98"/>
      <c r="O189" s="98"/>
      <c r="P189" s="96"/>
    </row>
    <row r="190" spans="1:16" ht="16.5" customHeight="1" x14ac:dyDescent="0.25">
      <c r="A190" s="95"/>
      <c r="B190" s="121" t="s">
        <v>226</v>
      </c>
      <c r="C190" s="122" t="e">
        <f>IF(VLOOKUP(B190,'Gebouwgegevens Allacker'!$J$5:$Q$83,2,0)=$B$158,VLOOKUP(B190,'Gebouwgegevens Allacker'!$J$5:$Q$83,2,0),VLOOKUP(B190,'Gebouwgegevens Allacker'!$J$5:$Q$83,3,0))</f>
        <v>#N/A</v>
      </c>
      <c r="D190" s="122" t="e">
        <f>IF(VLOOKUP(B190,'Gebouwgegevens Allacker'!$J$5:$Q$83,2,0)=$B$158,VLOOKUP(B190,'Gebouwgegevens Allacker'!$J$5:$Q$83,3,0),VLOOKUP(B190,'Gebouwgegevens Allacker'!$J$5:$Q$83,2,0))</f>
        <v>#N/A</v>
      </c>
      <c r="E190" s="122" t="e">
        <f>VLOOKUP(B190,'Gebouwgegevens Allacker'!$J$5:$Q$83,4,0)</f>
        <v>#N/A</v>
      </c>
      <c r="F190" s="122" t="e">
        <f>VLOOKUP(B190,'Gebouwgegevens Allacker'!$J$5:$Q$83,5,0)</f>
        <v>#N/A</v>
      </c>
      <c r="G190" s="122" t="e">
        <f>VLOOKUP('Verwarming Allacker'!C190,'Gebouwgegevens Allacker'!$A$35:$F$46,5,0)</f>
        <v>#N/A</v>
      </c>
      <c r="H190" s="122" t="e">
        <f>VLOOKUP('Verwarming Allacker'!D190,'Gebouwgegevens Allacker'!$A$35:$F$46,5,0)</f>
        <v>#N/A</v>
      </c>
      <c r="I190" s="122" t="e">
        <f>VLOOKUP(B190,'Gebouwgegevens Allacker'!$J$5:$Q$83,7,0)</f>
        <v>#N/A</v>
      </c>
      <c r="J190" s="118" t="e">
        <f>VLOOKUP(B190,'Gebouwgegevens Allacker'!$J$5:$Q$83,8,0)</f>
        <v>#N/A</v>
      </c>
      <c r="K190" s="118" t="e">
        <f>(G190-H190)/(G190-$B$4)</f>
        <v>#N/A</v>
      </c>
      <c r="L190" s="98"/>
      <c r="M190" s="98"/>
      <c r="N190" s="98"/>
      <c r="O190" s="98"/>
      <c r="P190" s="96"/>
    </row>
    <row r="191" spans="1:16" ht="16.5" customHeight="1" x14ac:dyDescent="0.25">
      <c r="A191" s="95"/>
      <c r="B191" s="92"/>
      <c r="C191" s="122"/>
      <c r="D191" s="122"/>
      <c r="E191" s="122"/>
      <c r="F191" s="122"/>
      <c r="G191" s="122"/>
      <c r="H191" s="122"/>
      <c r="I191" s="122"/>
      <c r="J191" s="118"/>
      <c r="K191" s="118"/>
      <c r="L191" s="98"/>
      <c r="M191" s="98"/>
      <c r="N191" s="98"/>
      <c r="O191" s="98"/>
      <c r="P191" s="96"/>
    </row>
    <row r="192" spans="1:16" ht="16.5" customHeight="1" x14ac:dyDescent="0.25">
      <c r="A192" s="95"/>
      <c r="B192" s="123"/>
      <c r="C192" s="139"/>
      <c r="D192" s="122"/>
      <c r="E192" s="122"/>
      <c r="F192" s="122"/>
      <c r="G192" s="122"/>
      <c r="H192" s="122"/>
      <c r="I192" s="122"/>
      <c r="J192" s="118"/>
      <c r="K192" s="118"/>
      <c r="L192" s="98"/>
      <c r="M192" s="98"/>
      <c r="N192" s="98"/>
      <c r="O192" s="98"/>
      <c r="P192" s="96"/>
    </row>
    <row r="193" spans="1:16" ht="16.5" customHeight="1" x14ac:dyDescent="0.25">
      <c r="A193" s="95"/>
      <c r="B193" s="123"/>
      <c r="C193" s="139"/>
      <c r="D193" s="122"/>
      <c r="E193" s="122"/>
      <c r="F193" s="122"/>
      <c r="G193" s="122"/>
      <c r="H193" s="122"/>
      <c r="I193" s="122"/>
      <c r="J193" s="118"/>
      <c r="K193" s="118"/>
      <c r="L193" s="98"/>
      <c r="M193" s="98"/>
      <c r="N193" s="98"/>
      <c r="O193" s="98"/>
      <c r="P193" s="96"/>
    </row>
    <row r="194" spans="1:16" ht="16.5" customHeight="1" x14ac:dyDescent="0.25">
      <c r="A194" s="95"/>
      <c r="B194" s="123"/>
      <c r="C194" s="139"/>
      <c r="D194" s="122"/>
      <c r="E194" s="122"/>
      <c r="F194" s="122"/>
      <c r="G194" s="122"/>
      <c r="H194" s="122"/>
      <c r="I194" s="122"/>
      <c r="J194" s="118"/>
      <c r="K194" s="118"/>
      <c r="L194" s="98"/>
      <c r="M194" s="98"/>
      <c r="N194" s="98"/>
      <c r="O194" s="98"/>
      <c r="P194" s="96"/>
    </row>
    <row r="195" spans="1:16" ht="16.5" customHeight="1" x14ac:dyDescent="0.25">
      <c r="A195" s="95"/>
      <c r="B195" s="123"/>
      <c r="C195" s="139"/>
      <c r="D195" s="122"/>
      <c r="E195" s="122"/>
      <c r="F195" s="122"/>
      <c r="G195" s="122"/>
      <c r="H195" s="122"/>
      <c r="I195" s="122"/>
      <c r="J195" s="118"/>
      <c r="K195" s="118"/>
      <c r="L195" s="98"/>
      <c r="M195" s="98"/>
      <c r="N195" s="98"/>
      <c r="O195" s="98"/>
      <c r="P195" s="96"/>
    </row>
    <row r="196" spans="1:16" ht="16.5" customHeight="1" x14ac:dyDescent="0.25">
      <c r="A196" s="95"/>
      <c r="B196" s="123"/>
      <c r="C196" s="139"/>
      <c r="D196" s="122"/>
      <c r="E196" s="122"/>
      <c r="F196" s="122"/>
      <c r="G196" s="122"/>
      <c r="H196" s="122"/>
      <c r="I196" s="122"/>
      <c r="J196" s="118"/>
      <c r="K196" s="118"/>
      <c r="L196" s="98"/>
      <c r="M196" s="98"/>
      <c r="N196" s="98"/>
      <c r="O196" s="98"/>
      <c r="P196" s="96"/>
    </row>
    <row r="197" spans="1:16" ht="16.5" customHeight="1" x14ac:dyDescent="0.25">
      <c r="A197" s="95"/>
      <c r="B197" s="123"/>
      <c r="C197" s="139"/>
      <c r="D197" s="122"/>
      <c r="E197" s="122"/>
      <c r="F197" s="122"/>
      <c r="G197" s="122"/>
      <c r="H197" s="122"/>
      <c r="I197" s="122"/>
      <c r="J197" s="118"/>
      <c r="K197" s="118"/>
      <c r="L197" s="98"/>
      <c r="M197" s="98"/>
      <c r="N197" s="98"/>
      <c r="O197" s="98"/>
      <c r="P197" s="96"/>
    </row>
    <row r="198" spans="1:16" ht="15.75" customHeight="1" x14ac:dyDescent="0.25">
      <c r="A198" s="95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8"/>
      <c r="M198" s="98"/>
      <c r="N198" s="98"/>
      <c r="O198" s="98"/>
      <c r="P198" s="96"/>
    </row>
    <row r="199" spans="1:16" ht="15" customHeight="1" x14ac:dyDescent="0.25">
      <c r="A199" s="95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6"/>
    </row>
    <row r="200" spans="1:16" ht="15.75" customHeight="1" x14ac:dyDescent="0.25">
      <c r="A200" s="103" t="s">
        <v>192</v>
      </c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6"/>
    </row>
    <row r="201" spans="1:16" ht="16.5" customHeight="1" x14ac:dyDescent="0.25">
      <c r="A201" s="124" t="s">
        <v>193</v>
      </c>
      <c r="B201" s="118" t="e">
        <f>SUMPRODUCT(H164:H175,I164:I175)+SUMPRODUCT(G180:G184,H180:H184)+SUMPRODUCT(J188:J197,K188:K197)</f>
        <v>#N/A</v>
      </c>
      <c r="C201" s="118" t="s">
        <v>107</v>
      </c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6"/>
    </row>
    <row r="202" spans="1:16" ht="16.5" customHeight="1" x14ac:dyDescent="0.25">
      <c r="A202" s="124" t="s">
        <v>167</v>
      </c>
      <c r="B202" s="118" t="e">
        <f>B201*(G188-$B$4)</f>
        <v>#N/A</v>
      </c>
      <c r="C202" s="118" t="s">
        <v>169</v>
      </c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6"/>
    </row>
    <row r="203" spans="1:16" ht="15.75" customHeight="1" x14ac:dyDescent="0.25">
      <c r="A203" s="109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1"/>
    </row>
    <row r="204" spans="1:16" ht="15.75" customHeight="1" x14ac:dyDescent="0.25">
      <c r="A204" s="343" t="s">
        <v>194</v>
      </c>
      <c r="B204" s="343"/>
      <c r="C204" s="343"/>
      <c r="D204" s="125" t="s">
        <v>222</v>
      </c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94"/>
    </row>
    <row r="205" spans="1:16" ht="15" customHeight="1" x14ac:dyDescent="0.25">
      <c r="A205" s="95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6"/>
    </row>
    <row r="206" spans="1:16" ht="15" customHeight="1" x14ac:dyDescent="0.25">
      <c r="A206" s="126" t="s">
        <v>195</v>
      </c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6"/>
    </row>
    <row r="207" spans="1:16" ht="15" customHeight="1" x14ac:dyDescent="0.25">
      <c r="A207" s="127" t="s">
        <v>196</v>
      </c>
      <c r="B207" s="121">
        <v>8</v>
      </c>
      <c r="C207" s="120" t="s">
        <v>197</v>
      </c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6"/>
    </row>
    <row r="208" spans="1:16" ht="15" customHeight="1" x14ac:dyDescent="0.25">
      <c r="A208" s="127" t="s">
        <v>198</v>
      </c>
      <c r="B208" s="121">
        <v>0.03</v>
      </c>
      <c r="C208" s="120" t="s">
        <v>199</v>
      </c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6"/>
    </row>
    <row r="209" spans="1:16" ht="15.75" customHeight="1" x14ac:dyDescent="0.25">
      <c r="A209" s="127" t="s">
        <v>200</v>
      </c>
      <c r="B209" s="121">
        <v>1</v>
      </c>
      <c r="C209" s="120" t="s">
        <v>201</v>
      </c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6"/>
    </row>
    <row r="210" spans="1:16" ht="16.5" customHeight="1" x14ac:dyDescent="0.25">
      <c r="A210" s="124" t="s">
        <v>202</v>
      </c>
      <c r="B210" s="118">
        <f>2*VLOOKUP(B158,'Gebouwgegevens Allacker'!$A$35:$F$46,6,0)*B207*B208*B209</f>
        <v>0</v>
      </c>
      <c r="C210" s="118" t="s">
        <v>203</v>
      </c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6"/>
    </row>
    <row r="211" spans="1:16" ht="15.75" customHeight="1" x14ac:dyDescent="0.25">
      <c r="A211" s="95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6"/>
    </row>
    <row r="212" spans="1:16" ht="15" customHeight="1" x14ac:dyDescent="0.25">
      <c r="A212" s="126" t="s">
        <v>204</v>
      </c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6"/>
    </row>
    <row r="213" spans="1:16" ht="15.75" customHeight="1" x14ac:dyDescent="0.25">
      <c r="A213" s="95" t="s">
        <v>180</v>
      </c>
      <c r="B213" s="98">
        <f>VLOOKUP(B158,'Gebouwgegevens Allacker'!$A$35:$F$46,6,0)</f>
        <v>0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6"/>
    </row>
    <row r="214" spans="1:16" ht="16.5" customHeight="1" x14ac:dyDescent="0.25">
      <c r="A214" s="124" t="s">
        <v>205</v>
      </c>
      <c r="B214" s="128">
        <v>25</v>
      </c>
      <c r="C214" s="118" t="s">
        <v>203</v>
      </c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6"/>
    </row>
    <row r="215" spans="1:16" ht="15.75" customHeight="1" x14ac:dyDescent="0.25">
      <c r="A215" s="95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6"/>
    </row>
    <row r="216" spans="1:16" ht="15.75" customHeight="1" x14ac:dyDescent="0.25">
      <c r="A216" s="95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6"/>
    </row>
    <row r="217" spans="1:16" ht="16.5" customHeight="1" x14ac:dyDescent="0.25">
      <c r="A217" s="124" t="s">
        <v>207</v>
      </c>
      <c r="B217" s="118">
        <f>MAX(B210,B214)</f>
        <v>25</v>
      </c>
      <c r="C217" s="118" t="s">
        <v>203</v>
      </c>
      <c r="D217" s="98"/>
      <c r="E217" s="98"/>
      <c r="F217" s="118" t="s">
        <v>208</v>
      </c>
      <c r="G217" s="118">
        <f>B217/VLOOKUP(B158,'Gebouwgegevens Allacker'!$A$35:$B$46,2,0)</f>
        <v>0.16407644649795233</v>
      </c>
      <c r="H217" s="98"/>
      <c r="I217" s="98"/>
      <c r="J217" s="98"/>
      <c r="K217" s="98"/>
      <c r="L217" s="98"/>
      <c r="M217" s="98"/>
      <c r="N217" s="98"/>
      <c r="O217" s="98"/>
      <c r="P217" s="96"/>
    </row>
    <row r="218" spans="1:16" ht="16.5" customHeight="1" x14ac:dyDescent="0.25">
      <c r="A218" s="95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6"/>
    </row>
    <row r="219" spans="1:16" ht="16.5" customHeight="1" x14ac:dyDescent="0.25">
      <c r="A219" s="124" t="s">
        <v>209</v>
      </c>
      <c r="B219" s="118">
        <f>0.34*B217</f>
        <v>8.5</v>
      </c>
      <c r="C219" s="118" t="s">
        <v>107</v>
      </c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6"/>
    </row>
    <row r="220" spans="1:16" ht="16.5" customHeight="1" x14ac:dyDescent="0.25">
      <c r="A220" s="124" t="s">
        <v>167</v>
      </c>
      <c r="B220" s="118">
        <f>B219*('Gebouwgegevens Allacker'!E180-$B$4)</f>
        <v>68</v>
      </c>
      <c r="C220" s="118" t="s">
        <v>169</v>
      </c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6"/>
    </row>
    <row r="221" spans="1:16" ht="15.75" customHeight="1" x14ac:dyDescent="0.25">
      <c r="A221" s="140"/>
      <c r="B221" s="141"/>
      <c r="C221" s="141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1"/>
    </row>
    <row r="222" spans="1:16" ht="15.75" customHeight="1" x14ac:dyDescent="0.25">
      <c r="A222" s="343" t="s">
        <v>210</v>
      </c>
      <c r="B222" s="343"/>
      <c r="C222" s="343"/>
      <c r="D222" s="343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6"/>
    </row>
    <row r="223" spans="1:16" ht="15" customHeight="1" x14ac:dyDescent="0.25">
      <c r="A223" s="95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6"/>
    </row>
    <row r="224" spans="1:16" ht="15" customHeight="1" x14ac:dyDescent="0.25">
      <c r="A224" s="127" t="s">
        <v>211</v>
      </c>
      <c r="B224" s="121">
        <v>0</v>
      </c>
      <c r="C224" s="58" t="s">
        <v>227</v>
      </c>
      <c r="D224" s="5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6"/>
    </row>
    <row r="225" spans="1:16" ht="15.75" customHeight="1" x14ac:dyDescent="0.25">
      <c r="A225" s="3" t="s">
        <v>113</v>
      </c>
      <c r="B225" s="58">
        <f>VLOOKUP(B158,'Gebouwgegevens Allacker'!$A$35:$F$46,6,0)</f>
        <v>0</v>
      </c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6"/>
    </row>
    <row r="226" spans="1:16" ht="16.5" customHeight="1" x14ac:dyDescent="0.25">
      <c r="A226" s="124" t="s">
        <v>213</v>
      </c>
      <c r="B226" s="118">
        <f>B227/('Gebouwgegevens Allacker'!E180-'Verwarming Allacker'!$B$4)</f>
        <v>0</v>
      </c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6"/>
    </row>
    <row r="227" spans="1:16" ht="16.5" customHeight="1" x14ac:dyDescent="0.25">
      <c r="A227" s="124" t="s">
        <v>167</v>
      </c>
      <c r="B227" s="118">
        <f>B224*B225</f>
        <v>0</v>
      </c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6"/>
    </row>
    <row r="228" spans="1:16" ht="15.75" customHeight="1" x14ac:dyDescent="0.25">
      <c r="A228" s="95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6"/>
    </row>
    <row r="229" spans="1:16" ht="15.75" customHeight="1" x14ac:dyDescent="0.25">
      <c r="A229" s="95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6"/>
    </row>
    <row r="230" spans="1:16" ht="15.75" customHeight="1" x14ac:dyDescent="0.25">
      <c r="A230" s="129" t="s">
        <v>214</v>
      </c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1"/>
    </row>
    <row r="231" spans="1:16" ht="16.5" customHeight="1" x14ac:dyDescent="0.25">
      <c r="A231" s="124" t="s">
        <v>215</v>
      </c>
      <c r="B231" s="118" t="e">
        <f>SUM(B201,B219,B226)</f>
        <v>#N/A</v>
      </c>
      <c r="C231" s="118" t="s">
        <v>107</v>
      </c>
      <c r="D231" s="132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3"/>
    </row>
    <row r="232" spans="1:16" ht="16.5" customHeight="1" x14ac:dyDescent="0.25">
      <c r="A232" s="124" t="s">
        <v>167</v>
      </c>
      <c r="B232" s="118" t="e">
        <f>SUM(B202,B220,B227)</f>
        <v>#N/A</v>
      </c>
      <c r="C232" s="118" t="s">
        <v>169</v>
      </c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3"/>
    </row>
    <row r="233" spans="1:16" ht="16.5" customHeight="1" x14ac:dyDescent="0.25">
      <c r="A233" s="134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6"/>
    </row>
    <row r="234" spans="1:16" ht="15" customHeight="1" x14ac:dyDescent="0.25">
      <c r="A234" s="137"/>
      <c r="B234" s="137"/>
      <c r="C234" s="137"/>
      <c r="D234" s="137"/>
      <c r="E234" s="137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</row>
    <row r="235" spans="1:16" ht="15.75" customHeight="1" x14ac:dyDescent="0.25">
      <c r="A235" s="137"/>
      <c r="B235" s="137"/>
      <c r="C235" s="137"/>
      <c r="D235" s="137"/>
      <c r="E235" s="137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</row>
    <row r="236" spans="1:16" ht="15" customHeight="1" x14ac:dyDescent="0.25">
      <c r="A236" s="93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94"/>
    </row>
    <row r="237" spans="1:16" ht="17.25" customHeight="1" x14ac:dyDescent="0.3">
      <c r="A237" s="97" t="s">
        <v>166</v>
      </c>
      <c r="B237" s="92">
        <v>4</v>
      </c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6"/>
    </row>
    <row r="238" spans="1:16" ht="15.75" customHeight="1" x14ac:dyDescent="0.25">
      <c r="A238" s="343" t="s">
        <v>168</v>
      </c>
      <c r="B238" s="343"/>
      <c r="C238" s="343"/>
      <c r="D238" s="343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94"/>
    </row>
    <row r="239" spans="1:16" ht="15" customHeight="1" x14ac:dyDescent="0.25">
      <c r="A239" s="95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6"/>
    </row>
    <row r="240" spans="1:16" ht="15" customHeight="1" x14ac:dyDescent="0.25">
      <c r="A240" s="103" t="s">
        <v>170</v>
      </c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6"/>
    </row>
    <row r="241" spans="1:16" ht="15" customHeight="1" x14ac:dyDescent="0.25">
      <c r="A241" s="95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6"/>
    </row>
    <row r="242" spans="1:16" ht="15.75" customHeight="1" x14ac:dyDescent="0.25">
      <c r="A242" s="95"/>
      <c r="B242" s="104" t="s">
        <v>10</v>
      </c>
      <c r="C242" s="104" t="s">
        <v>171</v>
      </c>
      <c r="D242" s="104" t="s">
        <v>172</v>
      </c>
      <c r="E242" s="104" t="s">
        <v>173</v>
      </c>
      <c r="F242" s="104" t="s">
        <v>174</v>
      </c>
      <c r="G242" s="104" t="s">
        <v>16</v>
      </c>
      <c r="H242" s="105" t="s">
        <v>17</v>
      </c>
      <c r="I242" s="105" t="s">
        <v>175</v>
      </c>
      <c r="J242" s="98"/>
      <c r="K242" s="98"/>
      <c r="L242" s="98"/>
      <c r="M242" s="98"/>
      <c r="N242" s="98"/>
      <c r="O242" s="98"/>
      <c r="P242" s="96"/>
    </row>
    <row r="243" spans="1:16" ht="16.5" customHeight="1" x14ac:dyDescent="0.25">
      <c r="A243" s="95"/>
      <c r="B243" s="106" t="s">
        <v>71</v>
      </c>
      <c r="C243" s="107">
        <f>VLOOKUP(B243,'Gebouwgegevens Allacker'!$J$5:$Q$83,3,0)</f>
        <v>3</v>
      </c>
      <c r="D243" s="107" t="str">
        <f>VLOOKUP(B243,'Gebouwgegevens Allacker'!$J$5:$Q$83,4,0)</f>
        <v>Wall External</v>
      </c>
      <c r="E243" s="107">
        <f>VLOOKUP(B243,'Gebouwgegevens Allacker'!$J$5:$Q$83,5,0)</f>
        <v>0</v>
      </c>
      <c r="F243" s="107" t="str">
        <f>VLOOKUP(B243,'Gebouwgegevens Allacker'!$J$5:$Q$83,6,0)</f>
        <v>front</v>
      </c>
      <c r="G243" s="107">
        <f>VLOOKUP(B243,'Gebouwgegevens Allacker'!$J$5:$Q$83,7,0)</f>
        <v>2.2022341505875525</v>
      </c>
      <c r="H243" s="108">
        <f>VLOOKUP(B243,'Gebouwgegevens Allacker'!$J$5:$Q$83,8,0)</f>
        <v>0</v>
      </c>
      <c r="I243" s="108">
        <v>1</v>
      </c>
      <c r="J243" s="98"/>
      <c r="K243" s="98"/>
      <c r="L243" s="98"/>
      <c r="M243" s="98"/>
      <c r="N243" s="98"/>
      <c r="O243" s="98"/>
      <c r="P243" s="96"/>
    </row>
    <row r="244" spans="1:16" ht="16.5" customHeight="1" x14ac:dyDescent="0.25">
      <c r="A244" s="95"/>
      <c r="B244" s="106" t="s">
        <v>75</v>
      </c>
      <c r="C244" s="107">
        <f>VLOOKUP(B244,'Gebouwgegevens Allacker'!$J$5:$Q$83,3,0)</f>
        <v>3</v>
      </c>
      <c r="D244" s="107" t="str">
        <f>VLOOKUP(B244,'Gebouwgegevens Allacker'!$J$5:$Q$83,4,0)</f>
        <v>Wall External</v>
      </c>
      <c r="E244" s="107">
        <f>VLOOKUP(B244,'Gebouwgegevens Allacker'!$J$5:$Q$83,5,0)</f>
        <v>14.24</v>
      </c>
      <c r="F244" s="107" t="str">
        <f>VLOOKUP(B244,'Gebouwgegevens Allacker'!$J$5:$Q$83,6,0)</f>
        <v>right</v>
      </c>
      <c r="G244" s="107">
        <f>VLOOKUP(B244,'Gebouwgegevens Allacker'!$J$5:$Q$83,7,0)</f>
        <v>2.2022341505875525</v>
      </c>
      <c r="H244" s="108">
        <f>VLOOKUP(B244,'Gebouwgegevens Allacker'!$J$5:$Q$83,8,0)</f>
        <v>31.359814304366747</v>
      </c>
      <c r="I244" s="108">
        <v>1</v>
      </c>
      <c r="J244" s="98"/>
      <c r="K244" s="98"/>
      <c r="L244" s="98"/>
      <c r="M244" s="98"/>
      <c r="N244" s="98"/>
      <c r="O244" s="98"/>
      <c r="P244" s="96"/>
    </row>
    <row r="245" spans="1:16" ht="16.5" customHeight="1" x14ac:dyDescent="0.25">
      <c r="A245" s="95"/>
      <c r="B245" s="106" t="s">
        <v>79</v>
      </c>
      <c r="C245" s="107">
        <f>VLOOKUP(B245,'Gebouwgegevens Allacker'!$J$5:$Q$83,3,0)</f>
        <v>3</v>
      </c>
      <c r="D245" s="107" t="str">
        <f>VLOOKUP(B245,'Gebouwgegevens Allacker'!$J$5:$Q$83,4,0)</f>
        <v>Wall External</v>
      </c>
      <c r="E245" s="107">
        <f>VLOOKUP(B245,'Gebouwgegevens Allacker'!$J$5:$Q$83,5,0)</f>
        <v>0</v>
      </c>
      <c r="F245" s="107" t="str">
        <f>VLOOKUP(B245,'Gebouwgegevens Allacker'!$J$5:$Q$83,6,0)</f>
        <v>back</v>
      </c>
      <c r="G245" s="107">
        <f>VLOOKUP(B245,'Gebouwgegevens Allacker'!$J$5:$Q$83,7,0)</f>
        <v>2.2022341505875525</v>
      </c>
      <c r="H245" s="108">
        <f>VLOOKUP(B245,'Gebouwgegevens Allacker'!$J$5:$Q$83,8,0)</f>
        <v>0</v>
      </c>
      <c r="I245" s="108">
        <v>1</v>
      </c>
      <c r="J245" s="98"/>
      <c r="K245" s="98"/>
      <c r="L245" s="98"/>
      <c r="M245" s="98"/>
      <c r="N245" s="98"/>
      <c r="O245" s="98"/>
      <c r="P245" s="96"/>
    </row>
    <row r="246" spans="1:16" ht="16.5" customHeight="1" x14ac:dyDescent="0.25">
      <c r="A246" s="95"/>
      <c r="B246" s="142" t="s">
        <v>82</v>
      </c>
      <c r="C246" s="107">
        <f>VLOOKUP(B246,'Gebouwgegevens Allacker'!$J$5:$Q$83,3,0)</f>
        <v>3</v>
      </c>
      <c r="D246" s="107" t="str">
        <f>VLOOKUP(B246,'Gebouwgegevens Allacker'!$J$5:$Q$83,4,0)</f>
        <v>Wall External</v>
      </c>
      <c r="E246" s="107">
        <f>VLOOKUP(B246,'Gebouwgegevens Allacker'!$J$5:$Q$83,5,0)</f>
        <v>14.24</v>
      </c>
      <c r="F246" s="107" t="str">
        <f>VLOOKUP(B246,'Gebouwgegevens Allacker'!$J$5:$Q$83,6,0)</f>
        <v>left</v>
      </c>
      <c r="G246" s="107">
        <f>VLOOKUP(B246,'Gebouwgegevens Allacker'!$J$5:$Q$83,7,0)</f>
        <v>2.2022341505875525</v>
      </c>
      <c r="H246" s="108">
        <f>VLOOKUP(B246,'Gebouwgegevens Allacker'!$J$5:$Q$83,8,0)</f>
        <v>31.359814304366747</v>
      </c>
      <c r="I246" s="108">
        <v>1</v>
      </c>
      <c r="J246" s="98"/>
      <c r="K246" s="98"/>
      <c r="L246" s="98"/>
      <c r="M246" s="98"/>
      <c r="N246" s="98"/>
      <c r="O246" s="98"/>
      <c r="P246" s="96"/>
    </row>
    <row r="247" spans="1:16" ht="16.5" customHeight="1" x14ac:dyDescent="0.25">
      <c r="A247" s="95"/>
      <c r="B247" s="143"/>
      <c r="C247" s="144"/>
      <c r="D247" s="107"/>
      <c r="E247" s="107"/>
      <c r="F247" s="107"/>
      <c r="G247" s="107"/>
      <c r="H247" s="108"/>
      <c r="I247" s="108"/>
      <c r="J247" s="98"/>
      <c r="K247" s="98"/>
      <c r="L247" s="98"/>
      <c r="M247" s="98"/>
      <c r="N247" s="98"/>
      <c r="O247" s="98"/>
      <c r="P247" s="96"/>
    </row>
    <row r="248" spans="1:16" ht="16.5" customHeight="1" x14ac:dyDescent="0.25">
      <c r="A248" s="95"/>
      <c r="B248" s="143"/>
      <c r="C248" s="144"/>
      <c r="D248" s="107"/>
      <c r="E248" s="107"/>
      <c r="F248" s="107"/>
      <c r="G248" s="107"/>
      <c r="H248" s="108"/>
      <c r="I248" s="108"/>
      <c r="J248" s="98"/>
      <c r="K248" s="98"/>
      <c r="L248" s="98"/>
      <c r="M248" s="98"/>
      <c r="N248" s="98"/>
      <c r="O248" s="98"/>
      <c r="P248" s="96"/>
    </row>
    <row r="249" spans="1:16" ht="16.5" customHeight="1" x14ac:dyDescent="0.25">
      <c r="A249" s="95"/>
      <c r="B249" s="143"/>
      <c r="C249" s="144"/>
      <c r="D249" s="107"/>
      <c r="E249" s="107"/>
      <c r="F249" s="107"/>
      <c r="G249" s="107"/>
      <c r="H249" s="108"/>
      <c r="I249" s="108"/>
      <c r="J249" s="98"/>
      <c r="K249" s="98"/>
      <c r="L249" s="98"/>
      <c r="M249" s="98"/>
      <c r="N249" s="98"/>
      <c r="O249" s="98"/>
      <c r="P249" s="96"/>
    </row>
    <row r="250" spans="1:16" ht="16.5" customHeight="1" x14ac:dyDescent="0.25">
      <c r="A250" s="95"/>
      <c r="B250" s="143"/>
      <c r="C250" s="144"/>
      <c r="D250" s="107"/>
      <c r="E250" s="107"/>
      <c r="F250" s="107"/>
      <c r="G250" s="107"/>
      <c r="H250" s="108"/>
      <c r="I250" s="108"/>
      <c r="J250" s="98"/>
      <c r="K250" s="98"/>
      <c r="L250" s="98"/>
      <c r="M250" s="98"/>
      <c r="N250" s="98"/>
      <c r="O250" s="98"/>
      <c r="P250" s="96"/>
    </row>
    <row r="251" spans="1:16" ht="16.5" customHeight="1" x14ac:dyDescent="0.25">
      <c r="A251" s="95"/>
      <c r="B251" s="143"/>
      <c r="C251" s="144"/>
      <c r="D251" s="107"/>
      <c r="E251" s="107"/>
      <c r="F251" s="107"/>
      <c r="G251" s="107"/>
      <c r="H251" s="108"/>
      <c r="I251" s="108"/>
      <c r="J251" s="98"/>
      <c r="K251" s="98"/>
      <c r="L251" s="98"/>
      <c r="M251" s="98"/>
      <c r="N251" s="98"/>
      <c r="O251" s="98"/>
      <c r="P251" s="96"/>
    </row>
    <row r="252" spans="1:16" ht="16.5" customHeight="1" x14ac:dyDescent="0.25">
      <c r="A252" s="95"/>
      <c r="B252" s="143"/>
      <c r="C252" s="144"/>
      <c r="D252" s="107"/>
      <c r="E252" s="107"/>
      <c r="F252" s="107"/>
      <c r="G252" s="107"/>
      <c r="H252" s="108"/>
      <c r="I252" s="108"/>
      <c r="J252" s="98"/>
      <c r="K252" s="98"/>
      <c r="L252" s="98"/>
      <c r="M252" s="98"/>
      <c r="N252" s="98"/>
      <c r="O252" s="98"/>
      <c r="P252" s="96"/>
    </row>
    <row r="253" spans="1:16" ht="16.5" customHeight="1" x14ac:dyDescent="0.25">
      <c r="A253" s="95"/>
      <c r="B253" s="143"/>
      <c r="C253" s="144"/>
      <c r="D253" s="107"/>
      <c r="E253" s="107"/>
      <c r="F253" s="107"/>
      <c r="G253" s="107"/>
      <c r="H253" s="108"/>
      <c r="I253" s="108"/>
      <c r="J253" s="98"/>
      <c r="K253" s="98"/>
      <c r="L253" s="98"/>
      <c r="M253" s="98"/>
      <c r="N253" s="98"/>
      <c r="O253" s="98"/>
      <c r="P253" s="96"/>
    </row>
    <row r="254" spans="1:16" ht="16.5" customHeight="1" x14ac:dyDescent="0.25">
      <c r="A254" s="95"/>
      <c r="B254" s="143"/>
      <c r="C254" s="144"/>
      <c r="D254" s="107"/>
      <c r="E254" s="107"/>
      <c r="F254" s="107"/>
      <c r="G254" s="107"/>
      <c r="H254" s="108"/>
      <c r="I254" s="108"/>
      <c r="J254" s="98"/>
      <c r="K254" s="98"/>
      <c r="L254" s="98"/>
      <c r="M254" s="98"/>
      <c r="N254" s="98"/>
      <c r="O254" s="98"/>
      <c r="P254" s="96"/>
    </row>
    <row r="255" spans="1:16" ht="15.75" customHeight="1" x14ac:dyDescent="0.25">
      <c r="A255" s="95"/>
      <c r="B255" s="58"/>
      <c r="C255" s="58"/>
      <c r="D255" s="58"/>
      <c r="E255" s="58"/>
      <c r="F255" s="58"/>
      <c r="G255" s="114"/>
      <c r="H255" s="58"/>
      <c r="I255" s="58"/>
      <c r="J255" s="98"/>
      <c r="K255" s="98"/>
      <c r="L255" s="98"/>
      <c r="M255" s="98"/>
      <c r="N255" s="98"/>
      <c r="O255" s="98"/>
      <c r="P255" s="96"/>
    </row>
    <row r="256" spans="1:16" ht="15" customHeight="1" x14ac:dyDescent="0.25">
      <c r="A256" s="95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6"/>
    </row>
    <row r="257" spans="1:16" ht="15" customHeight="1" x14ac:dyDescent="0.25">
      <c r="A257" s="103" t="s">
        <v>177</v>
      </c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6"/>
    </row>
    <row r="258" spans="1:16" ht="15.75" customHeight="1" x14ac:dyDescent="0.25">
      <c r="A258" s="95"/>
      <c r="B258" s="58" t="s">
        <v>10</v>
      </c>
      <c r="C258" s="58" t="s">
        <v>178</v>
      </c>
      <c r="D258" s="58" t="s">
        <v>172</v>
      </c>
      <c r="E258" s="58" t="s">
        <v>179</v>
      </c>
      <c r="F258" s="58" t="s">
        <v>16</v>
      </c>
      <c r="G258" s="114" t="s">
        <v>17</v>
      </c>
      <c r="H258" s="114" t="s">
        <v>175</v>
      </c>
      <c r="I258" s="58" t="s">
        <v>180</v>
      </c>
      <c r="J258" s="58" t="s">
        <v>181</v>
      </c>
      <c r="K258" s="58" t="s">
        <v>182</v>
      </c>
      <c r="L258" s="115" t="s">
        <v>183</v>
      </c>
      <c r="M258" s="115" t="s">
        <v>184</v>
      </c>
      <c r="N258" s="115" t="s">
        <v>185</v>
      </c>
      <c r="O258" s="98"/>
      <c r="P258" s="96"/>
    </row>
    <row r="259" spans="1:16" ht="16.5" customHeight="1" x14ac:dyDescent="0.25">
      <c r="A259" s="95"/>
      <c r="B259" s="116"/>
      <c r="C259" s="117"/>
      <c r="D259" s="117"/>
      <c r="E259" s="117"/>
      <c r="F259" s="117"/>
      <c r="G259" s="118"/>
      <c r="H259" s="118"/>
      <c r="I259" s="117"/>
      <c r="J259" s="116"/>
      <c r="K259" s="116"/>
      <c r="L259" s="119"/>
      <c r="M259" s="119"/>
      <c r="N259" s="120"/>
      <c r="O259" s="98"/>
      <c r="P259" s="96"/>
    </row>
    <row r="260" spans="1:16" ht="16.5" customHeight="1" x14ac:dyDescent="0.25">
      <c r="A260" s="95"/>
      <c r="B260" s="116"/>
      <c r="C260" s="117"/>
      <c r="D260" s="117"/>
      <c r="E260" s="117"/>
      <c r="F260" s="117"/>
      <c r="G260" s="118"/>
      <c r="H260" s="118"/>
      <c r="I260" s="117"/>
      <c r="J260" s="116"/>
      <c r="K260" s="116"/>
      <c r="L260" s="119"/>
      <c r="M260" s="119"/>
      <c r="N260" s="120"/>
      <c r="O260" s="98"/>
      <c r="P260" s="96"/>
    </row>
    <row r="261" spans="1:16" ht="16.5" customHeight="1" x14ac:dyDescent="0.25">
      <c r="A261" s="95"/>
      <c r="B261" s="116"/>
      <c r="C261" s="117"/>
      <c r="D261" s="117"/>
      <c r="E261" s="117"/>
      <c r="F261" s="117"/>
      <c r="G261" s="118"/>
      <c r="H261" s="118"/>
      <c r="I261" s="117"/>
      <c r="J261" s="116"/>
      <c r="K261" s="116"/>
      <c r="L261" s="119"/>
      <c r="M261" s="119"/>
      <c r="N261" s="120"/>
      <c r="O261" s="98"/>
      <c r="P261" s="96"/>
    </row>
    <row r="262" spans="1:16" ht="16.5" customHeight="1" x14ac:dyDescent="0.25">
      <c r="A262" s="95"/>
      <c r="B262" s="116"/>
      <c r="C262" s="117"/>
      <c r="D262" s="117"/>
      <c r="E262" s="117"/>
      <c r="F262" s="117"/>
      <c r="G262" s="118"/>
      <c r="H262" s="118"/>
      <c r="I262" s="117"/>
      <c r="J262" s="116"/>
      <c r="K262" s="116"/>
      <c r="L262" s="119"/>
      <c r="M262" s="119"/>
      <c r="N262" s="120"/>
      <c r="O262" s="98"/>
      <c r="P262" s="96"/>
    </row>
    <row r="263" spans="1:16" ht="16.5" customHeight="1" x14ac:dyDescent="0.25">
      <c r="A263" s="138"/>
      <c r="B263" s="116"/>
      <c r="C263" s="117"/>
      <c r="D263" s="117"/>
      <c r="E263" s="117"/>
      <c r="F263" s="117"/>
      <c r="G263" s="118"/>
      <c r="H263" s="118"/>
      <c r="I263" s="117"/>
      <c r="J263" s="116"/>
      <c r="K263" s="116"/>
      <c r="L263" s="119"/>
      <c r="M263" s="119"/>
      <c r="N263" s="120"/>
      <c r="O263" s="98"/>
      <c r="P263" s="96"/>
    </row>
    <row r="264" spans="1:16" ht="15.75" customHeight="1" x14ac:dyDescent="0.25">
      <c r="A264" s="95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6"/>
    </row>
    <row r="265" spans="1:16" ht="15" customHeight="1" x14ac:dyDescent="0.25">
      <c r="A265" s="103" t="s">
        <v>186</v>
      </c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6"/>
    </row>
    <row r="266" spans="1:16" ht="15.75" customHeight="1" x14ac:dyDescent="0.25">
      <c r="A266" s="95"/>
      <c r="B266" s="58" t="s">
        <v>10</v>
      </c>
      <c r="C266" s="58" t="s">
        <v>187</v>
      </c>
      <c r="D266" s="58" t="s">
        <v>188</v>
      </c>
      <c r="E266" s="58" t="s">
        <v>135</v>
      </c>
      <c r="F266" s="58" t="s">
        <v>189</v>
      </c>
      <c r="G266" s="58" t="s">
        <v>190</v>
      </c>
      <c r="H266" s="58" t="s">
        <v>191</v>
      </c>
      <c r="I266" s="58" t="s">
        <v>16</v>
      </c>
      <c r="J266" s="114" t="s">
        <v>17</v>
      </c>
      <c r="K266" s="114" t="s">
        <v>175</v>
      </c>
      <c r="L266" s="98"/>
      <c r="M266" s="98"/>
      <c r="N266" s="98"/>
      <c r="O266" s="98"/>
      <c r="P266" s="96"/>
    </row>
    <row r="267" spans="1:16" ht="16.5" customHeight="1" x14ac:dyDescent="0.25">
      <c r="A267" s="95"/>
      <c r="B267" s="121" t="s">
        <v>228</v>
      </c>
      <c r="C267" s="122" t="e">
        <f>IF(VLOOKUP(B267,'Gebouwgegevens Allacker'!$J$5:$Q$83,2,0)=$B$237,VLOOKUP(B267,'Gebouwgegevens Allacker'!$J$5:$Q$83,2,0),VLOOKUP(B267,'Gebouwgegevens Allacker'!$J$5:$Q$83,3,0))</f>
        <v>#N/A</v>
      </c>
      <c r="D267" s="122" t="e">
        <f>IF(VLOOKUP(B267,'Gebouwgegevens Allacker'!$J$5:$Q$83,2,0)=$B$237,VLOOKUP(B267,'Gebouwgegevens Allacker'!$J$5:$Q$83,3,0),VLOOKUP(B267,'Gebouwgegevens Allacker'!$J$5:$Q$83,2,0))</f>
        <v>#N/A</v>
      </c>
      <c r="E267" s="122" t="e">
        <f>VLOOKUP(B267,'Gebouwgegevens Allacker'!$J$5:$Q$83,4,0)</f>
        <v>#N/A</v>
      </c>
      <c r="F267" s="122" t="e">
        <f>VLOOKUP(B267,'Gebouwgegevens Allacker'!$J$5:$Q$83,5,0)</f>
        <v>#N/A</v>
      </c>
      <c r="G267" s="122" t="e">
        <f>VLOOKUP('Verwarming Allacker'!C267,'Gebouwgegevens Allacker'!$A$35:$F$46,5,0)</f>
        <v>#N/A</v>
      </c>
      <c r="H267" s="122" t="e">
        <f>VLOOKUP('Verwarming Allacker'!D267,'Gebouwgegevens Allacker'!$A$35:$F$46,5,0)</f>
        <v>#N/A</v>
      </c>
      <c r="I267" s="122" t="e">
        <f>VLOOKUP(B267,'Gebouwgegevens Allacker'!$J$5:$Q$83,7,0)</f>
        <v>#N/A</v>
      </c>
      <c r="J267" s="118" t="e">
        <f>VLOOKUP(B267,'Gebouwgegevens Allacker'!$J$5:$Q$83,8,0)</f>
        <v>#N/A</v>
      </c>
      <c r="K267" s="118" t="e">
        <f>(G267-H267)/(G267-$B$4)</f>
        <v>#N/A</v>
      </c>
      <c r="L267" s="98"/>
      <c r="M267" s="98"/>
      <c r="N267" s="98"/>
      <c r="O267" s="98"/>
      <c r="P267" s="96"/>
    </row>
    <row r="268" spans="1:16" ht="16.5" customHeight="1" x14ac:dyDescent="0.25">
      <c r="A268" s="95"/>
      <c r="B268" s="121" t="s">
        <v>229</v>
      </c>
      <c r="C268" s="122" t="e">
        <f>IF(VLOOKUP(B268,'Gebouwgegevens Allacker'!$J$5:$Q$83,2,0)=$B$237,VLOOKUP(B268,'Gebouwgegevens Allacker'!$J$5:$Q$83,2,0),VLOOKUP(B268,'Gebouwgegevens Allacker'!$J$5:$Q$83,3,0))</f>
        <v>#N/A</v>
      </c>
      <c r="D268" s="122" t="e">
        <f>IF(VLOOKUP(B268,'Gebouwgegevens Allacker'!$J$5:$Q$83,2,0)=$B$237,VLOOKUP(B268,'Gebouwgegevens Allacker'!$J$5:$Q$83,3,0),VLOOKUP(B268,'Gebouwgegevens Allacker'!$J$5:$Q$83,2,0))</f>
        <v>#N/A</v>
      </c>
      <c r="E268" s="122" t="e">
        <f>VLOOKUP(B268,'Gebouwgegevens Allacker'!$J$5:$Q$83,4,0)</f>
        <v>#N/A</v>
      </c>
      <c r="F268" s="122" t="e">
        <f>VLOOKUP(B268,'Gebouwgegevens Allacker'!$J$5:$Q$83,5,0)</f>
        <v>#N/A</v>
      </c>
      <c r="G268" s="122" t="e">
        <f>VLOOKUP('Verwarming Allacker'!C268,'Gebouwgegevens Allacker'!$A$35:$F$46,5,0)</f>
        <v>#N/A</v>
      </c>
      <c r="H268" s="122" t="e">
        <f>VLOOKUP('Verwarming Allacker'!D268,'Gebouwgegevens Allacker'!$A$35:$F$46,5,0)</f>
        <v>#N/A</v>
      </c>
      <c r="I268" s="122" t="e">
        <f>VLOOKUP(B268,'Gebouwgegevens Allacker'!$J$5:$Q$83,7,0)</f>
        <v>#N/A</v>
      </c>
      <c r="J268" s="118" t="e">
        <f>VLOOKUP(B268,'Gebouwgegevens Allacker'!$J$5:$Q$83,8,0)</f>
        <v>#N/A</v>
      </c>
      <c r="K268" s="118" t="e">
        <f>(G268-H268)/(G268-$B$4)</f>
        <v>#N/A</v>
      </c>
      <c r="L268" s="98"/>
      <c r="M268" s="98"/>
      <c r="N268" s="98"/>
      <c r="O268" s="98"/>
      <c r="P268" s="96"/>
    </row>
    <row r="269" spans="1:16" ht="16.5" customHeight="1" x14ac:dyDescent="0.25">
      <c r="A269" s="95"/>
      <c r="B269" s="121" t="s">
        <v>230</v>
      </c>
      <c r="C269" s="122" t="e">
        <f>IF(VLOOKUP(B269,'Gebouwgegevens Allacker'!$J$5:$Q$83,2,0)=$B$237,VLOOKUP(B269,'Gebouwgegevens Allacker'!$J$5:$Q$83,2,0),VLOOKUP(B269,'Gebouwgegevens Allacker'!$J$5:$Q$83,3,0))</f>
        <v>#N/A</v>
      </c>
      <c r="D269" s="122" t="e">
        <f>IF(VLOOKUP(B269,'Gebouwgegevens Allacker'!$J$5:$Q$83,2,0)=$B$237,VLOOKUP(B269,'Gebouwgegevens Allacker'!$J$5:$Q$83,3,0),VLOOKUP(B269,'Gebouwgegevens Allacker'!$J$5:$Q$83,2,0))</f>
        <v>#N/A</v>
      </c>
      <c r="E269" s="122" t="e">
        <f>VLOOKUP(B269,'Gebouwgegevens Allacker'!$J$5:$Q$83,4,0)</f>
        <v>#N/A</v>
      </c>
      <c r="F269" s="122" t="e">
        <f>VLOOKUP(B269,'Gebouwgegevens Allacker'!$J$5:$Q$83,5,0)</f>
        <v>#N/A</v>
      </c>
      <c r="G269" s="122" t="e">
        <f>VLOOKUP('Verwarming Allacker'!C269,'Gebouwgegevens Allacker'!$A$35:$F$46,5,0)</f>
        <v>#N/A</v>
      </c>
      <c r="H269" s="122" t="e">
        <f>VLOOKUP('Verwarming Allacker'!D269,'Gebouwgegevens Allacker'!$A$35:$F$46,5,0)</f>
        <v>#N/A</v>
      </c>
      <c r="I269" s="122" t="e">
        <f>VLOOKUP(B269,'Gebouwgegevens Allacker'!$J$5:$Q$83,7,0)</f>
        <v>#N/A</v>
      </c>
      <c r="J269" s="118" t="e">
        <f>VLOOKUP(B269,'Gebouwgegevens Allacker'!$J$5:$Q$83,8,0)</f>
        <v>#N/A</v>
      </c>
      <c r="K269" s="118" t="e">
        <f>(G269-H269)/(G269-$B$4)</f>
        <v>#N/A</v>
      </c>
      <c r="L269" s="98"/>
      <c r="M269" s="98"/>
      <c r="N269" s="98"/>
      <c r="O269" s="98"/>
      <c r="P269" s="96"/>
    </row>
    <row r="270" spans="1:16" ht="16.5" customHeight="1" x14ac:dyDescent="0.25">
      <c r="A270" s="95"/>
      <c r="B270" s="92" t="s">
        <v>231</v>
      </c>
      <c r="C270" s="122" t="e">
        <f>IF(VLOOKUP(B270,'Gebouwgegevens Allacker'!$J$5:$Q$83,2,0)=$B$237,VLOOKUP(B270,'Gebouwgegevens Allacker'!$J$5:$Q$83,2,0),VLOOKUP(B270,'Gebouwgegevens Allacker'!$J$5:$Q$83,3,0))</f>
        <v>#N/A</v>
      </c>
      <c r="D270" s="122" t="e">
        <f>IF(VLOOKUP(B270,'Gebouwgegevens Allacker'!$J$5:$Q$83,2,0)=$B$237,VLOOKUP(B270,'Gebouwgegevens Allacker'!$J$5:$Q$83,3,0),VLOOKUP(B270,'Gebouwgegevens Allacker'!$J$5:$Q$83,2,0))</f>
        <v>#N/A</v>
      </c>
      <c r="E270" s="122" t="e">
        <f>VLOOKUP(B270,'Gebouwgegevens Allacker'!$J$5:$Q$83,4,0)</f>
        <v>#N/A</v>
      </c>
      <c r="F270" s="122" t="e">
        <f>VLOOKUP(B270,'Gebouwgegevens Allacker'!$J$5:$Q$83,5,0)</f>
        <v>#N/A</v>
      </c>
      <c r="G270" s="122" t="e">
        <f>VLOOKUP('Verwarming Allacker'!C270,'Gebouwgegevens Allacker'!$A$35:$F$46,5,0)</f>
        <v>#N/A</v>
      </c>
      <c r="H270" s="122" t="e">
        <f>VLOOKUP('Verwarming Allacker'!D270,'Gebouwgegevens Allacker'!$A$35:$F$46,5,0)</f>
        <v>#N/A</v>
      </c>
      <c r="I270" s="122" t="e">
        <f>VLOOKUP(B270,'Gebouwgegevens Allacker'!$J$5:$Q$83,7,0)</f>
        <v>#N/A</v>
      </c>
      <c r="J270" s="118" t="e">
        <f>VLOOKUP(B270,'Gebouwgegevens Allacker'!$J$5:$Q$83,8,0)</f>
        <v>#N/A</v>
      </c>
      <c r="K270" s="118" t="e">
        <f>(G270-H270)/(G270-$B$4)</f>
        <v>#N/A</v>
      </c>
      <c r="L270" s="98"/>
      <c r="M270" s="98"/>
      <c r="N270" s="98"/>
      <c r="O270" s="98"/>
      <c r="P270" s="96"/>
    </row>
    <row r="271" spans="1:16" ht="16.5" customHeight="1" x14ac:dyDescent="0.25">
      <c r="A271" s="95"/>
      <c r="B271" s="123"/>
      <c r="C271" s="139"/>
      <c r="D271" s="122"/>
      <c r="E271" s="122"/>
      <c r="F271" s="122"/>
      <c r="G271" s="122"/>
      <c r="H271" s="122"/>
      <c r="I271" s="122"/>
      <c r="J271" s="118"/>
      <c r="K271" s="118"/>
      <c r="L271" s="98"/>
      <c r="M271" s="98"/>
      <c r="N271" s="98"/>
      <c r="O271" s="98"/>
      <c r="P271" s="96"/>
    </row>
    <row r="272" spans="1:16" ht="16.5" customHeight="1" x14ac:dyDescent="0.25">
      <c r="A272" s="95"/>
      <c r="B272" s="123"/>
      <c r="C272" s="139"/>
      <c r="D272" s="122"/>
      <c r="E272" s="122"/>
      <c r="F272" s="122"/>
      <c r="G272" s="122"/>
      <c r="H272" s="122"/>
      <c r="I272" s="122"/>
      <c r="J272" s="118"/>
      <c r="K272" s="118"/>
      <c r="L272" s="98"/>
      <c r="M272" s="98"/>
      <c r="N272" s="98"/>
      <c r="O272" s="98"/>
      <c r="P272" s="96"/>
    </row>
    <row r="273" spans="1:16" ht="16.5" customHeight="1" x14ac:dyDescent="0.25">
      <c r="A273" s="95"/>
      <c r="B273" s="123"/>
      <c r="C273" s="139"/>
      <c r="D273" s="122"/>
      <c r="E273" s="122"/>
      <c r="F273" s="122"/>
      <c r="G273" s="122"/>
      <c r="H273" s="122"/>
      <c r="I273" s="122"/>
      <c r="J273" s="118"/>
      <c r="K273" s="118"/>
      <c r="L273" s="98"/>
      <c r="M273" s="98"/>
      <c r="N273" s="98"/>
      <c r="O273" s="98"/>
      <c r="P273" s="96"/>
    </row>
    <row r="274" spans="1:16" ht="16.5" customHeight="1" x14ac:dyDescent="0.25">
      <c r="A274" s="95"/>
      <c r="B274" s="123"/>
      <c r="C274" s="139"/>
      <c r="D274" s="122"/>
      <c r="E274" s="122"/>
      <c r="F274" s="122"/>
      <c r="G274" s="122"/>
      <c r="H274" s="122"/>
      <c r="I274" s="122"/>
      <c r="J274" s="118"/>
      <c r="K274" s="118"/>
      <c r="L274" s="98"/>
      <c r="M274" s="98"/>
      <c r="N274" s="98"/>
      <c r="O274" s="98"/>
      <c r="P274" s="96"/>
    </row>
    <row r="275" spans="1:16" ht="16.5" customHeight="1" x14ac:dyDescent="0.25">
      <c r="A275" s="95"/>
      <c r="B275" s="123"/>
      <c r="C275" s="139"/>
      <c r="D275" s="122"/>
      <c r="E275" s="122"/>
      <c r="F275" s="122"/>
      <c r="G275" s="122"/>
      <c r="H275" s="122"/>
      <c r="I275" s="122"/>
      <c r="J275" s="118"/>
      <c r="K275" s="118"/>
      <c r="L275" s="98"/>
      <c r="M275" s="98"/>
      <c r="N275" s="98"/>
      <c r="O275" s="98"/>
      <c r="P275" s="96"/>
    </row>
    <row r="276" spans="1:16" ht="16.5" customHeight="1" x14ac:dyDescent="0.25">
      <c r="A276" s="95"/>
      <c r="B276" s="123"/>
      <c r="C276" s="139"/>
      <c r="D276" s="122"/>
      <c r="E276" s="122"/>
      <c r="F276" s="122"/>
      <c r="G276" s="122"/>
      <c r="H276" s="122"/>
      <c r="I276" s="122"/>
      <c r="J276" s="118"/>
      <c r="K276" s="118"/>
      <c r="L276" s="98"/>
      <c r="M276" s="98"/>
      <c r="N276" s="98"/>
      <c r="O276" s="98"/>
      <c r="P276" s="96"/>
    </row>
    <row r="277" spans="1:16" ht="15.75" customHeight="1" x14ac:dyDescent="0.25">
      <c r="A277" s="95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8"/>
      <c r="M277" s="98"/>
      <c r="N277" s="98"/>
      <c r="O277" s="98"/>
      <c r="P277" s="96"/>
    </row>
    <row r="278" spans="1:16" ht="15" customHeight="1" x14ac:dyDescent="0.25">
      <c r="A278" s="95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6"/>
    </row>
    <row r="279" spans="1:16" ht="15.75" customHeight="1" x14ac:dyDescent="0.25">
      <c r="A279" s="103" t="s">
        <v>192</v>
      </c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6"/>
    </row>
    <row r="280" spans="1:16" ht="16.5" customHeight="1" x14ac:dyDescent="0.25">
      <c r="A280" s="124" t="s">
        <v>193</v>
      </c>
      <c r="B280" s="118" t="e">
        <f>SUMPRODUCT(H243:H254,I243:I254)+SUMPRODUCT(G259:G263,H259:H263)+SUMPRODUCT(J267:J276,K267:K276)</f>
        <v>#N/A</v>
      </c>
      <c r="C280" s="118" t="s">
        <v>107</v>
      </c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6"/>
    </row>
    <row r="281" spans="1:16" ht="16.5" customHeight="1" x14ac:dyDescent="0.25">
      <c r="A281" s="124" t="s">
        <v>167</v>
      </c>
      <c r="B281" s="118" t="e">
        <f>B280*(G267-$B$4)</f>
        <v>#N/A</v>
      </c>
      <c r="C281" s="118" t="s">
        <v>169</v>
      </c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6"/>
    </row>
    <row r="282" spans="1:16" ht="15.75" customHeight="1" x14ac:dyDescent="0.25">
      <c r="A282" s="109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1"/>
    </row>
    <row r="283" spans="1:16" ht="15.75" customHeight="1" x14ac:dyDescent="0.25">
      <c r="A283" s="343" t="s">
        <v>194</v>
      </c>
      <c r="B283" s="343"/>
      <c r="C283" s="343"/>
      <c r="D283" s="125" t="s">
        <v>222</v>
      </c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94"/>
    </row>
    <row r="284" spans="1:16" ht="15" customHeight="1" x14ac:dyDescent="0.25">
      <c r="A284" s="95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6"/>
    </row>
    <row r="285" spans="1:16" ht="15" customHeight="1" x14ac:dyDescent="0.25">
      <c r="A285" s="126" t="s">
        <v>195</v>
      </c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6"/>
    </row>
    <row r="286" spans="1:16" ht="15" customHeight="1" x14ac:dyDescent="0.25">
      <c r="A286" s="127" t="s">
        <v>196</v>
      </c>
      <c r="B286" s="121">
        <v>8</v>
      </c>
      <c r="C286" s="120" t="s">
        <v>197</v>
      </c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6"/>
    </row>
    <row r="287" spans="1:16" ht="15" customHeight="1" x14ac:dyDescent="0.25">
      <c r="A287" s="127" t="s">
        <v>198</v>
      </c>
      <c r="B287" s="121">
        <v>0.03</v>
      </c>
      <c r="C287" s="120" t="s">
        <v>199</v>
      </c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6"/>
    </row>
    <row r="288" spans="1:16" ht="15.75" customHeight="1" x14ac:dyDescent="0.25">
      <c r="A288" s="127" t="s">
        <v>200</v>
      </c>
      <c r="B288" s="121">
        <v>1</v>
      </c>
      <c r="C288" s="120" t="s">
        <v>201</v>
      </c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6"/>
    </row>
    <row r="289" spans="1:16" ht="16.5" customHeight="1" x14ac:dyDescent="0.25">
      <c r="A289" s="124" t="s">
        <v>202</v>
      </c>
      <c r="B289" s="118" t="e">
        <f>2*VLOOKUP(B237,'Gebouwgegevens Allacker'!$A$35:$F$46,6,0)*B286*B287*B288</f>
        <v>#N/A</v>
      </c>
      <c r="C289" s="118" t="s">
        <v>203</v>
      </c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6"/>
    </row>
    <row r="290" spans="1:16" ht="15.75" customHeight="1" x14ac:dyDescent="0.25">
      <c r="A290" s="95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6"/>
    </row>
    <row r="291" spans="1:16" ht="15" customHeight="1" x14ac:dyDescent="0.25">
      <c r="A291" s="126" t="s">
        <v>204</v>
      </c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6"/>
    </row>
    <row r="292" spans="1:16" ht="15.75" customHeight="1" x14ac:dyDescent="0.25">
      <c r="A292" s="95" t="s">
        <v>180</v>
      </c>
      <c r="B292" s="98" t="e">
        <f>VLOOKUP(B237,'Gebouwgegevens Allacker'!$A$35:$F$46,6,0)</f>
        <v>#N/A</v>
      </c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6"/>
    </row>
    <row r="293" spans="1:16" ht="16.5" customHeight="1" x14ac:dyDescent="0.25">
      <c r="A293" s="124" t="s">
        <v>205</v>
      </c>
      <c r="B293" s="128">
        <v>50</v>
      </c>
      <c r="C293" s="118" t="s">
        <v>203</v>
      </c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6"/>
    </row>
    <row r="294" spans="1:16" ht="15.75" customHeight="1" x14ac:dyDescent="0.25">
      <c r="A294" s="95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6"/>
    </row>
    <row r="295" spans="1:16" ht="15.75" customHeight="1" x14ac:dyDescent="0.25">
      <c r="A295" s="95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6"/>
    </row>
    <row r="296" spans="1:16" ht="16.5" customHeight="1" x14ac:dyDescent="0.25">
      <c r="A296" s="124" t="s">
        <v>207</v>
      </c>
      <c r="B296" s="118" t="e">
        <f>MAX(B289,B293)</f>
        <v>#N/A</v>
      </c>
      <c r="C296" s="118" t="s">
        <v>203</v>
      </c>
      <c r="D296" s="98"/>
      <c r="E296" s="98"/>
      <c r="F296" s="118" t="s">
        <v>208</v>
      </c>
      <c r="G296" s="118" t="e">
        <f>B296/VLOOKUP(B237,'Gebouwgegevens Allacker'!$A$35:$B$46,2,0)</f>
        <v>#N/A</v>
      </c>
      <c r="H296" s="98"/>
      <c r="I296" s="98"/>
      <c r="J296" s="98"/>
      <c r="K296" s="98"/>
      <c r="L296" s="98"/>
      <c r="M296" s="98"/>
      <c r="N296" s="98"/>
      <c r="O296" s="98"/>
      <c r="P296" s="96"/>
    </row>
    <row r="297" spans="1:16" ht="16.5" customHeight="1" x14ac:dyDescent="0.25">
      <c r="A297" s="95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6"/>
    </row>
    <row r="298" spans="1:16" ht="16.5" customHeight="1" x14ac:dyDescent="0.25">
      <c r="A298" s="124" t="s">
        <v>209</v>
      </c>
      <c r="B298" s="118" t="e">
        <f>0.34*B296</f>
        <v>#N/A</v>
      </c>
      <c r="C298" s="118" t="s">
        <v>107</v>
      </c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6"/>
    </row>
    <row r="299" spans="1:16" ht="16.5" customHeight="1" x14ac:dyDescent="0.25">
      <c r="A299" s="124" t="s">
        <v>167</v>
      </c>
      <c r="B299" s="118" t="e">
        <f>B298*('Gebouwgegevens Allacker'!E259-$B$4)</f>
        <v>#N/A</v>
      </c>
      <c r="C299" s="118" t="s">
        <v>169</v>
      </c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6"/>
    </row>
    <row r="300" spans="1:16" ht="15.75" customHeight="1" x14ac:dyDescent="0.25">
      <c r="A300" s="109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1"/>
    </row>
    <row r="301" spans="1:16" ht="15.75" customHeight="1" x14ac:dyDescent="0.25">
      <c r="A301" s="343" t="s">
        <v>210</v>
      </c>
      <c r="B301" s="343"/>
      <c r="C301" s="343"/>
      <c r="D301" s="343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6"/>
    </row>
    <row r="302" spans="1:16" ht="15" customHeight="1" x14ac:dyDescent="0.25">
      <c r="A302" s="95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6"/>
    </row>
    <row r="303" spans="1:16" ht="15" customHeight="1" x14ac:dyDescent="0.25">
      <c r="A303" s="127" t="s">
        <v>211</v>
      </c>
      <c r="B303" s="121">
        <v>90</v>
      </c>
      <c r="C303" s="58" t="s">
        <v>232</v>
      </c>
      <c r="D303" s="5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6"/>
    </row>
    <row r="304" spans="1:16" ht="15.75" customHeight="1" x14ac:dyDescent="0.25">
      <c r="A304" s="3" t="s">
        <v>113</v>
      </c>
      <c r="B304" s="58" t="e">
        <f>VLOOKUP(B237,'Gebouwgegevens Allacker'!$A$35:$F$46,6,0)</f>
        <v>#N/A</v>
      </c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6"/>
    </row>
    <row r="305" spans="1:16" ht="16.5" customHeight="1" x14ac:dyDescent="0.25">
      <c r="A305" s="124" t="s">
        <v>213</v>
      </c>
      <c r="B305" s="118" t="e">
        <f>B306/('Gebouwgegevens Allacker'!E259-'Verwarming Allacker'!$B$4)</f>
        <v>#N/A</v>
      </c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6"/>
    </row>
    <row r="306" spans="1:16" ht="16.5" customHeight="1" x14ac:dyDescent="0.25">
      <c r="A306" s="124" t="s">
        <v>167</v>
      </c>
      <c r="B306" s="118" t="e">
        <f>B303*B304</f>
        <v>#N/A</v>
      </c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6"/>
    </row>
    <row r="307" spans="1:16" ht="15.75" customHeight="1" x14ac:dyDescent="0.25">
      <c r="A307" s="95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6"/>
    </row>
    <row r="308" spans="1:16" ht="15.75" customHeight="1" x14ac:dyDescent="0.25">
      <c r="A308" s="95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6"/>
    </row>
    <row r="309" spans="1:16" ht="15.75" customHeight="1" x14ac:dyDescent="0.25">
      <c r="A309" s="129" t="s">
        <v>214</v>
      </c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1"/>
    </row>
    <row r="310" spans="1:16" ht="16.5" customHeight="1" x14ac:dyDescent="0.25">
      <c r="A310" s="124" t="s">
        <v>215</v>
      </c>
      <c r="B310" s="118" t="e">
        <f>SUM(B280,B298,B305)</f>
        <v>#N/A</v>
      </c>
      <c r="C310" s="118" t="s">
        <v>107</v>
      </c>
      <c r="D310" s="132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3"/>
    </row>
    <row r="311" spans="1:16" ht="16.5" customHeight="1" x14ac:dyDescent="0.25">
      <c r="A311" s="124" t="s">
        <v>167</v>
      </c>
      <c r="B311" s="118" t="e">
        <f>SUM(B281,B299,B306)</f>
        <v>#N/A</v>
      </c>
      <c r="C311" s="118" t="s">
        <v>169</v>
      </c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3"/>
    </row>
    <row r="312" spans="1:16" ht="16.5" customHeight="1" x14ac:dyDescent="0.25">
      <c r="A312" s="134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6"/>
    </row>
    <row r="313" spans="1:16" ht="15" customHeight="1" x14ac:dyDescent="0.25">
      <c r="A313" s="137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</row>
    <row r="314" spans="1:16" ht="15.75" customHeight="1" x14ac:dyDescent="0.25">
      <c r="A314" s="137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</row>
    <row r="315" spans="1:16" ht="15" customHeight="1" x14ac:dyDescent="0.25">
      <c r="A315" s="93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94"/>
    </row>
    <row r="316" spans="1:16" ht="17.25" customHeight="1" x14ac:dyDescent="0.3">
      <c r="A316" s="97" t="s">
        <v>166</v>
      </c>
      <c r="B316" s="92">
        <v>5</v>
      </c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6"/>
    </row>
    <row r="317" spans="1:16" ht="15.75" customHeight="1" x14ac:dyDescent="0.25">
      <c r="A317" s="343" t="s">
        <v>168</v>
      </c>
      <c r="B317" s="343"/>
      <c r="C317" s="343"/>
      <c r="D317" s="343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94"/>
    </row>
    <row r="318" spans="1:16" ht="15" customHeight="1" x14ac:dyDescent="0.25">
      <c r="A318" s="95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6"/>
    </row>
    <row r="319" spans="1:16" ht="15" customHeight="1" x14ac:dyDescent="0.25">
      <c r="A319" s="103" t="s">
        <v>170</v>
      </c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6"/>
    </row>
    <row r="320" spans="1:16" ht="15" customHeight="1" x14ac:dyDescent="0.25">
      <c r="A320" s="95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6"/>
    </row>
    <row r="321" spans="1:16" ht="15.75" customHeight="1" x14ac:dyDescent="0.25">
      <c r="A321" s="95"/>
      <c r="B321" s="104" t="s">
        <v>10</v>
      </c>
      <c r="C321" s="104" t="s">
        <v>171</v>
      </c>
      <c r="D321" s="104" t="s">
        <v>172</v>
      </c>
      <c r="E321" s="104" t="s">
        <v>173</v>
      </c>
      <c r="F321" s="104" t="s">
        <v>174</v>
      </c>
      <c r="G321" s="104" t="s">
        <v>16</v>
      </c>
      <c r="H321" s="105" t="s">
        <v>17</v>
      </c>
      <c r="I321" s="105" t="s">
        <v>175</v>
      </c>
      <c r="J321" s="98"/>
      <c r="K321" s="98"/>
      <c r="L321" s="98"/>
      <c r="M321" s="98"/>
      <c r="N321" s="98"/>
      <c r="O321" s="98"/>
      <c r="P321" s="96"/>
    </row>
    <row r="322" spans="1:16" ht="16.5" customHeight="1" x14ac:dyDescent="0.25">
      <c r="A322" s="95"/>
      <c r="B322" s="106" t="s">
        <v>84</v>
      </c>
      <c r="C322" s="107">
        <f>VLOOKUP(B322,'Gebouwgegevens Allacker'!$J$5:$Q$83,3,0)</f>
        <v>3</v>
      </c>
      <c r="D322" s="107" t="str">
        <f>VLOOKUP(B322,'Gebouwgegevens Allacker'!$J$5:$Q$83,4,0)</f>
        <v>Window</v>
      </c>
      <c r="E322" s="107">
        <f>VLOOKUP(B322,'Gebouwgegevens Allacker'!$J$5:$Q$83,5,0)</f>
        <v>0</v>
      </c>
      <c r="F322" s="107" t="str">
        <f>VLOOKUP(B322,'Gebouwgegevens Allacker'!$J$5:$Q$83,6,0)</f>
        <v>front</v>
      </c>
      <c r="G322" s="107">
        <f>VLOOKUP(B322,'Gebouwgegevens Allacker'!$J$5:$Q$83,7,0)</f>
        <v>5</v>
      </c>
      <c r="H322" s="108">
        <f>VLOOKUP(B322,'Gebouwgegevens Allacker'!$J$5:$Q$83,8,0)</f>
        <v>0</v>
      </c>
      <c r="I322" s="108">
        <v>1</v>
      </c>
      <c r="J322" s="98"/>
      <c r="K322" s="98"/>
      <c r="L322" s="98"/>
      <c r="M322" s="98"/>
      <c r="N322" s="98"/>
      <c r="O322" s="98"/>
      <c r="P322" s="96"/>
    </row>
    <row r="323" spans="1:16" ht="16.5" customHeight="1" x14ac:dyDescent="0.25">
      <c r="A323" s="95"/>
      <c r="B323" s="106" t="s">
        <v>87</v>
      </c>
      <c r="C323" s="107">
        <f>VLOOKUP(B323,'Gebouwgegevens Allacker'!$J$5:$Q$83,3,0)</f>
        <v>3</v>
      </c>
      <c r="D323" s="107" t="str">
        <f>VLOOKUP(B323,'Gebouwgegevens Allacker'!$J$5:$Q$83,4,0)</f>
        <v>Window</v>
      </c>
      <c r="E323" s="107">
        <f>VLOOKUP(B323,'Gebouwgegevens Allacker'!$J$5:$Q$83,5,0)</f>
        <v>2</v>
      </c>
      <c r="F323" s="107" t="str">
        <f>VLOOKUP(B323,'Gebouwgegevens Allacker'!$J$5:$Q$83,6,0)</f>
        <v>right</v>
      </c>
      <c r="G323" s="107">
        <f>VLOOKUP(B323,'Gebouwgegevens Allacker'!$J$5:$Q$83,7,0)</f>
        <v>5</v>
      </c>
      <c r="H323" s="108">
        <f>VLOOKUP(B323,'Gebouwgegevens Allacker'!$J$5:$Q$83,8,0)</f>
        <v>10</v>
      </c>
      <c r="I323" s="108">
        <v>1</v>
      </c>
      <c r="J323" s="98"/>
      <c r="K323" s="98"/>
      <c r="L323" s="98"/>
      <c r="M323" s="98"/>
      <c r="N323" s="98"/>
      <c r="O323" s="98"/>
      <c r="P323" s="96"/>
    </row>
    <row r="324" spans="1:16" ht="16.5" customHeight="1" x14ac:dyDescent="0.25">
      <c r="A324" s="95"/>
      <c r="B324" s="106" t="s">
        <v>89</v>
      </c>
      <c r="C324" s="107">
        <f>VLOOKUP(B324,'Gebouwgegevens Allacker'!$J$5:$Q$83,3,0)</f>
        <v>3</v>
      </c>
      <c r="D324" s="107" t="str">
        <f>VLOOKUP(B324,'Gebouwgegevens Allacker'!$J$5:$Q$83,4,0)</f>
        <v>Window</v>
      </c>
      <c r="E324" s="107">
        <f>VLOOKUP(B324,'Gebouwgegevens Allacker'!$J$5:$Q$83,5,0)</f>
        <v>0</v>
      </c>
      <c r="F324" s="107" t="str">
        <f>VLOOKUP(B324,'Gebouwgegevens Allacker'!$J$5:$Q$83,6,0)</f>
        <v>back</v>
      </c>
      <c r="G324" s="107">
        <f>VLOOKUP(B324,'Gebouwgegevens Allacker'!$J$5:$Q$83,7,0)</f>
        <v>5</v>
      </c>
      <c r="H324" s="108">
        <f>VLOOKUP(B324,'Gebouwgegevens Allacker'!$J$5:$Q$83,8,0)</f>
        <v>0</v>
      </c>
      <c r="I324" s="108">
        <v>1</v>
      </c>
      <c r="J324" s="98"/>
      <c r="K324" s="98"/>
      <c r="L324" s="98"/>
      <c r="M324" s="98"/>
      <c r="N324" s="98"/>
      <c r="O324" s="98"/>
      <c r="P324" s="96"/>
    </row>
    <row r="325" spans="1:16" ht="16.5" customHeight="1" x14ac:dyDescent="0.25">
      <c r="A325" s="95"/>
      <c r="B325" s="106" t="s">
        <v>92</v>
      </c>
      <c r="C325" s="107">
        <f>VLOOKUP(B325,'Gebouwgegevens Allacker'!$J$5:$Q$83,3,0)</f>
        <v>3</v>
      </c>
      <c r="D325" s="107" t="str">
        <f>VLOOKUP(B325,'Gebouwgegevens Allacker'!$J$5:$Q$83,4,0)</f>
        <v>Window</v>
      </c>
      <c r="E325" s="107">
        <f>VLOOKUP(B325,'Gebouwgegevens Allacker'!$J$5:$Q$83,5,0)</f>
        <v>0</v>
      </c>
      <c r="F325" s="107" t="str">
        <f>VLOOKUP(B325,'Gebouwgegevens Allacker'!$J$5:$Q$83,6,0)</f>
        <v>left</v>
      </c>
      <c r="G325" s="107">
        <f>VLOOKUP(B325,'Gebouwgegevens Allacker'!$J$5:$Q$83,7,0)</f>
        <v>5</v>
      </c>
      <c r="H325" s="108">
        <f>VLOOKUP(B325,'Gebouwgegevens Allacker'!$J$5:$Q$83,8,0)</f>
        <v>0</v>
      </c>
      <c r="I325" s="108">
        <v>1</v>
      </c>
      <c r="J325" s="98"/>
      <c r="K325" s="98"/>
      <c r="L325" s="98"/>
      <c r="M325" s="98"/>
      <c r="N325" s="98"/>
      <c r="O325" s="98"/>
      <c r="P325" s="96"/>
    </row>
    <row r="326" spans="1:16" ht="16.5" customHeight="1" x14ac:dyDescent="0.25">
      <c r="A326" s="95"/>
      <c r="B326" s="106"/>
      <c r="C326" s="107"/>
      <c r="D326" s="107"/>
      <c r="E326" s="107"/>
      <c r="F326" s="107"/>
      <c r="G326" s="107"/>
      <c r="H326" s="108"/>
      <c r="I326" s="108"/>
      <c r="J326" s="98"/>
      <c r="K326" s="98"/>
      <c r="L326" s="98"/>
      <c r="M326" s="98"/>
      <c r="N326" s="98"/>
      <c r="O326" s="98"/>
      <c r="P326" s="96"/>
    </row>
    <row r="327" spans="1:16" ht="16.5" customHeight="1" x14ac:dyDescent="0.25">
      <c r="A327" s="95"/>
      <c r="B327" s="106"/>
      <c r="C327" s="107"/>
      <c r="D327" s="107"/>
      <c r="E327" s="107"/>
      <c r="F327" s="107"/>
      <c r="G327" s="107"/>
      <c r="H327" s="108"/>
      <c r="I327" s="108"/>
      <c r="J327" s="98"/>
      <c r="K327" s="98"/>
      <c r="L327" s="98"/>
      <c r="M327" s="98"/>
      <c r="N327" s="98"/>
      <c r="O327" s="98"/>
      <c r="P327" s="96"/>
    </row>
    <row r="328" spans="1:16" ht="16.5" customHeight="1" x14ac:dyDescent="0.25">
      <c r="A328" s="95"/>
      <c r="B328" s="106"/>
      <c r="C328" s="107"/>
      <c r="D328" s="107"/>
      <c r="E328" s="107"/>
      <c r="F328" s="107"/>
      <c r="G328" s="107"/>
      <c r="H328" s="108"/>
      <c r="I328" s="108"/>
      <c r="J328" s="98"/>
      <c r="K328" s="98"/>
      <c r="L328" s="98"/>
      <c r="M328" s="98"/>
      <c r="N328" s="98"/>
      <c r="O328" s="98"/>
      <c r="P328" s="96"/>
    </row>
    <row r="329" spans="1:16" ht="16.5" customHeight="1" x14ac:dyDescent="0.25">
      <c r="A329" s="95"/>
      <c r="B329" s="106"/>
      <c r="C329" s="107"/>
      <c r="D329" s="107"/>
      <c r="E329" s="107"/>
      <c r="F329" s="107"/>
      <c r="G329" s="107"/>
      <c r="H329" s="108"/>
      <c r="I329" s="108"/>
      <c r="J329" s="98"/>
      <c r="K329" s="98"/>
      <c r="L329" s="98"/>
      <c r="M329" s="98"/>
      <c r="N329" s="98"/>
      <c r="O329" s="98"/>
      <c r="P329" s="96"/>
    </row>
    <row r="330" spans="1:16" ht="16.5" customHeight="1" x14ac:dyDescent="0.25">
      <c r="A330" s="95"/>
      <c r="B330" s="106"/>
      <c r="C330" s="107"/>
      <c r="D330" s="107"/>
      <c r="E330" s="107"/>
      <c r="F330" s="107"/>
      <c r="G330" s="107"/>
      <c r="H330" s="108"/>
      <c r="I330" s="108"/>
      <c r="J330" s="98"/>
      <c r="K330" s="98"/>
      <c r="L330" s="98"/>
      <c r="M330" s="98"/>
      <c r="N330" s="98"/>
      <c r="O330" s="98"/>
      <c r="P330" s="96"/>
    </row>
    <row r="331" spans="1:16" ht="16.5" customHeight="1" x14ac:dyDescent="0.25">
      <c r="A331" s="95"/>
      <c r="B331" s="106"/>
      <c r="C331" s="107"/>
      <c r="D331" s="107"/>
      <c r="E331" s="107"/>
      <c r="F331" s="107"/>
      <c r="G331" s="107"/>
      <c r="H331" s="108"/>
      <c r="I331" s="108"/>
      <c r="J331" s="98"/>
      <c r="K331" s="98"/>
      <c r="L331" s="98"/>
      <c r="M331" s="98"/>
      <c r="N331" s="98"/>
      <c r="O331" s="98"/>
      <c r="P331" s="96"/>
    </row>
    <row r="332" spans="1:16" ht="16.5" customHeight="1" x14ac:dyDescent="0.25">
      <c r="A332" s="95"/>
      <c r="B332" s="106"/>
      <c r="C332" s="107"/>
      <c r="D332" s="107"/>
      <c r="E332" s="107"/>
      <c r="F332" s="107"/>
      <c r="G332" s="107"/>
      <c r="H332" s="108"/>
      <c r="I332" s="108"/>
      <c r="J332" s="98"/>
      <c r="K332" s="98"/>
      <c r="L332" s="98"/>
      <c r="M332" s="98"/>
      <c r="N332" s="98"/>
      <c r="O332" s="98"/>
      <c r="P332" s="96"/>
    </row>
    <row r="333" spans="1:16" ht="16.5" customHeight="1" x14ac:dyDescent="0.25">
      <c r="A333" s="95"/>
      <c r="B333" s="106"/>
      <c r="C333" s="107"/>
      <c r="D333" s="107"/>
      <c r="E333" s="107"/>
      <c r="F333" s="107"/>
      <c r="G333" s="107"/>
      <c r="H333" s="108"/>
      <c r="I333" s="108"/>
      <c r="J333" s="98"/>
      <c r="K333" s="98"/>
      <c r="L333" s="98"/>
      <c r="M333" s="98"/>
      <c r="N333" s="98"/>
      <c r="O333" s="98"/>
      <c r="P333" s="96"/>
    </row>
    <row r="334" spans="1:16" ht="15.75" customHeight="1" x14ac:dyDescent="0.25">
      <c r="A334" s="95"/>
      <c r="B334" s="58"/>
      <c r="C334" s="58"/>
      <c r="D334" s="58"/>
      <c r="E334" s="58"/>
      <c r="F334" s="58"/>
      <c r="G334" s="114"/>
      <c r="H334" s="58"/>
      <c r="I334" s="58"/>
      <c r="J334" s="98"/>
      <c r="K334" s="98"/>
      <c r="L334" s="98"/>
      <c r="M334" s="98"/>
      <c r="N334" s="98"/>
      <c r="O334" s="98"/>
      <c r="P334" s="96"/>
    </row>
    <row r="335" spans="1:16" ht="15" customHeight="1" x14ac:dyDescent="0.25">
      <c r="A335" s="95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6"/>
    </row>
    <row r="336" spans="1:16" ht="15" customHeight="1" x14ac:dyDescent="0.25">
      <c r="A336" s="103" t="s">
        <v>177</v>
      </c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6"/>
    </row>
    <row r="337" spans="1:16" ht="15.75" customHeight="1" x14ac:dyDescent="0.25">
      <c r="A337" s="95"/>
      <c r="B337" s="58" t="s">
        <v>10</v>
      </c>
      <c r="C337" s="58" t="s">
        <v>178</v>
      </c>
      <c r="D337" s="58" t="s">
        <v>172</v>
      </c>
      <c r="E337" s="58" t="s">
        <v>179</v>
      </c>
      <c r="F337" s="58" t="s">
        <v>16</v>
      </c>
      <c r="G337" s="114" t="s">
        <v>17</v>
      </c>
      <c r="H337" s="114" t="s">
        <v>175</v>
      </c>
      <c r="I337" s="58" t="s">
        <v>180</v>
      </c>
      <c r="J337" s="58" t="s">
        <v>181</v>
      </c>
      <c r="K337" s="58" t="s">
        <v>182</v>
      </c>
      <c r="L337" s="115" t="s">
        <v>183</v>
      </c>
      <c r="M337" s="115" t="s">
        <v>184</v>
      </c>
      <c r="N337" s="115" t="s">
        <v>185</v>
      </c>
      <c r="O337" s="98"/>
      <c r="P337" s="96"/>
    </row>
    <row r="338" spans="1:16" ht="16.5" customHeight="1" x14ac:dyDescent="0.25">
      <c r="A338" s="95"/>
      <c r="B338" s="116"/>
      <c r="C338" s="117"/>
      <c r="D338" s="117"/>
      <c r="E338" s="117"/>
      <c r="F338" s="117"/>
      <c r="G338" s="118"/>
      <c r="H338" s="118"/>
      <c r="I338" s="117"/>
      <c r="J338" s="116"/>
      <c r="K338" s="116"/>
      <c r="L338" s="119"/>
      <c r="M338" s="119"/>
      <c r="N338" s="120"/>
      <c r="O338" s="98"/>
      <c r="P338" s="96"/>
    </row>
    <row r="339" spans="1:16" ht="16.5" customHeight="1" x14ac:dyDescent="0.25">
      <c r="A339" s="95"/>
      <c r="B339" s="116"/>
      <c r="C339" s="117"/>
      <c r="D339" s="117"/>
      <c r="E339" s="117"/>
      <c r="F339" s="117"/>
      <c r="G339" s="118"/>
      <c r="H339" s="118"/>
      <c r="I339" s="117"/>
      <c r="J339" s="116"/>
      <c r="K339" s="116"/>
      <c r="L339" s="119"/>
      <c r="M339" s="119"/>
      <c r="N339" s="120"/>
      <c r="O339" s="98"/>
      <c r="P339" s="96"/>
    </row>
    <row r="340" spans="1:16" ht="16.5" customHeight="1" x14ac:dyDescent="0.25">
      <c r="A340" s="95"/>
      <c r="B340" s="116"/>
      <c r="C340" s="117"/>
      <c r="D340" s="117"/>
      <c r="E340" s="117"/>
      <c r="F340" s="117"/>
      <c r="G340" s="118"/>
      <c r="H340" s="118"/>
      <c r="I340" s="117"/>
      <c r="J340" s="116"/>
      <c r="K340" s="116"/>
      <c r="L340" s="119"/>
      <c r="M340" s="119"/>
      <c r="N340" s="120"/>
      <c r="O340" s="98"/>
      <c r="P340" s="96"/>
    </row>
    <row r="341" spans="1:16" ht="16.5" customHeight="1" x14ac:dyDescent="0.25">
      <c r="A341" s="95"/>
      <c r="B341" s="116"/>
      <c r="C341" s="117"/>
      <c r="D341" s="117"/>
      <c r="E341" s="117"/>
      <c r="F341" s="117"/>
      <c r="G341" s="118"/>
      <c r="H341" s="118"/>
      <c r="I341" s="117"/>
      <c r="J341" s="116"/>
      <c r="K341" s="116"/>
      <c r="L341" s="119"/>
      <c r="M341" s="119"/>
      <c r="N341" s="120"/>
      <c r="O341" s="98"/>
      <c r="P341" s="96"/>
    </row>
    <row r="342" spans="1:16" ht="16.5" customHeight="1" x14ac:dyDescent="0.25">
      <c r="A342" s="138"/>
      <c r="B342" s="116"/>
      <c r="C342" s="117"/>
      <c r="D342" s="117"/>
      <c r="E342" s="117"/>
      <c r="F342" s="117"/>
      <c r="G342" s="118"/>
      <c r="H342" s="118"/>
      <c r="I342" s="117"/>
      <c r="J342" s="116"/>
      <c r="K342" s="116"/>
      <c r="L342" s="119"/>
      <c r="M342" s="119"/>
      <c r="N342" s="120"/>
      <c r="O342" s="98"/>
      <c r="P342" s="96"/>
    </row>
    <row r="343" spans="1:16" ht="15.75" customHeight="1" x14ac:dyDescent="0.25">
      <c r="A343" s="95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6"/>
    </row>
    <row r="344" spans="1:16" ht="15" customHeight="1" x14ac:dyDescent="0.25">
      <c r="A344" s="103" t="s">
        <v>186</v>
      </c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6"/>
    </row>
    <row r="345" spans="1:16" ht="15.75" customHeight="1" x14ac:dyDescent="0.25">
      <c r="A345" s="95"/>
      <c r="B345" s="58" t="s">
        <v>10</v>
      </c>
      <c r="C345" s="58" t="s">
        <v>187</v>
      </c>
      <c r="D345" s="58" t="s">
        <v>188</v>
      </c>
      <c r="E345" s="58" t="s">
        <v>135</v>
      </c>
      <c r="F345" s="58" t="s">
        <v>189</v>
      </c>
      <c r="G345" s="58" t="s">
        <v>190</v>
      </c>
      <c r="H345" s="58" t="s">
        <v>191</v>
      </c>
      <c r="I345" s="58" t="s">
        <v>16</v>
      </c>
      <c r="J345" s="114" t="s">
        <v>17</v>
      </c>
      <c r="K345" s="114" t="s">
        <v>175</v>
      </c>
      <c r="L345" s="98"/>
      <c r="M345" s="98"/>
      <c r="N345" s="98"/>
      <c r="O345" s="98"/>
      <c r="P345" s="96"/>
    </row>
    <row r="346" spans="1:16" ht="16.5" customHeight="1" x14ac:dyDescent="0.25">
      <c r="A346" s="95"/>
      <c r="B346" s="121" t="s">
        <v>228</v>
      </c>
      <c r="C346" s="122" t="e">
        <f>IF(VLOOKUP(B346,'Gebouwgegevens Allacker'!$J$5:$Q$83,2,0)=$B$316,VLOOKUP(B346,'Gebouwgegevens Allacker'!$J$5:$Q$83,2,0),VLOOKUP(B346,'Gebouwgegevens Allacker'!$J$5:$Q$83,3,0))</f>
        <v>#N/A</v>
      </c>
      <c r="D346" s="122" t="e">
        <f>IF(VLOOKUP(B346,'Gebouwgegevens Allacker'!$J$5:$Q$83,2,0)=$B$316,VLOOKUP(B346,'Gebouwgegevens Allacker'!$J$5:$Q$83,3,0),VLOOKUP(B346,'Gebouwgegevens Allacker'!$J$5:$Q$83,2,0))</f>
        <v>#N/A</v>
      </c>
      <c r="E346" s="122" t="e">
        <f>VLOOKUP(B346,'Gebouwgegevens Allacker'!$J$5:$Q$83,4,0)</f>
        <v>#N/A</v>
      </c>
      <c r="F346" s="122" t="e">
        <f>VLOOKUP(B346,'Gebouwgegevens Allacker'!$J$5:$Q$83,5,0)</f>
        <v>#N/A</v>
      </c>
      <c r="G346" s="122" t="e">
        <f>VLOOKUP('Verwarming Allacker'!C346,'Gebouwgegevens Allacker'!$A$35:$F$46,5,0)</f>
        <v>#N/A</v>
      </c>
      <c r="H346" s="122" t="e">
        <f>VLOOKUP('Verwarming Allacker'!D346,'Gebouwgegevens Allacker'!$A$35:$F$46,5,0)</f>
        <v>#N/A</v>
      </c>
      <c r="I346" s="122" t="e">
        <f>VLOOKUP(B346,'Gebouwgegevens Allacker'!$J$5:$Q$83,7,0)</f>
        <v>#N/A</v>
      </c>
      <c r="J346" s="118" t="e">
        <f>VLOOKUP(B346,'Gebouwgegevens Allacker'!$J$5:$Q$83,8,0)</f>
        <v>#N/A</v>
      </c>
      <c r="K346" s="118" t="e">
        <f>(G346-H346)/(G346-$B$4)</f>
        <v>#N/A</v>
      </c>
      <c r="L346" s="98"/>
      <c r="M346" s="98"/>
      <c r="N346" s="98"/>
      <c r="O346" s="98"/>
      <c r="P346" s="96"/>
    </row>
    <row r="347" spans="1:16" ht="16.5" customHeight="1" x14ac:dyDescent="0.25">
      <c r="A347" s="95"/>
      <c r="B347" s="121" t="s">
        <v>233</v>
      </c>
      <c r="C347" s="122" t="e">
        <f>IF(VLOOKUP(B347,'Gebouwgegevens Allacker'!$J$5:$Q$83,2,0)=$B$316,VLOOKUP(B347,'Gebouwgegevens Allacker'!$J$5:$Q$83,2,0),VLOOKUP(B347,'Gebouwgegevens Allacker'!$J$5:$Q$83,3,0))</f>
        <v>#N/A</v>
      </c>
      <c r="D347" s="122" t="e">
        <f>IF(VLOOKUP(B347,'Gebouwgegevens Allacker'!$J$5:$Q$83,2,0)=$B$316,VLOOKUP(B347,'Gebouwgegevens Allacker'!$J$5:$Q$83,3,0),VLOOKUP(B347,'Gebouwgegevens Allacker'!$J$5:$Q$83,2,0))</f>
        <v>#N/A</v>
      </c>
      <c r="E347" s="122" t="e">
        <f>VLOOKUP(B347,'Gebouwgegevens Allacker'!$J$5:$Q$83,4,0)</f>
        <v>#N/A</v>
      </c>
      <c r="F347" s="122" t="e">
        <f>VLOOKUP(B347,'Gebouwgegevens Allacker'!$J$5:$Q$83,5,0)</f>
        <v>#N/A</v>
      </c>
      <c r="G347" s="122" t="e">
        <f>VLOOKUP('Verwarming Allacker'!C347,'Gebouwgegevens Allacker'!$A$35:$F$46,5,0)</f>
        <v>#N/A</v>
      </c>
      <c r="H347" s="122" t="e">
        <f>VLOOKUP('Verwarming Allacker'!D347,'Gebouwgegevens Allacker'!$A$35:$F$46,5,0)</f>
        <v>#N/A</v>
      </c>
      <c r="I347" s="122" t="e">
        <f>VLOOKUP(B347,'Gebouwgegevens Allacker'!$J$5:$Q$83,7,0)</f>
        <v>#N/A</v>
      </c>
      <c r="J347" s="118" t="e">
        <f>VLOOKUP(B347,'Gebouwgegevens Allacker'!$J$5:$Q$83,8,0)</f>
        <v>#N/A</v>
      </c>
      <c r="K347" s="118" t="e">
        <f>(G347-H347)/(G347-$B$4)</f>
        <v>#N/A</v>
      </c>
      <c r="L347" s="98"/>
      <c r="M347" s="98"/>
      <c r="N347" s="98"/>
      <c r="O347" s="98"/>
      <c r="P347" s="96"/>
    </row>
    <row r="348" spans="1:16" ht="16.5" customHeight="1" x14ac:dyDescent="0.25">
      <c r="A348" s="95"/>
      <c r="B348" s="121" t="s">
        <v>234</v>
      </c>
      <c r="C348" s="122" t="e">
        <f>IF(VLOOKUP(B348,'Gebouwgegevens Allacker'!$J$5:$Q$83,2,0)=$B$316,VLOOKUP(B348,'Gebouwgegevens Allacker'!$J$5:$Q$83,2,0),VLOOKUP(B348,'Gebouwgegevens Allacker'!$J$5:$Q$83,3,0))</f>
        <v>#N/A</v>
      </c>
      <c r="D348" s="122" t="e">
        <f>IF(VLOOKUP(B348,'Gebouwgegevens Allacker'!$J$5:$Q$83,2,0)=$B$316,VLOOKUP(B348,'Gebouwgegevens Allacker'!$J$5:$Q$83,3,0),VLOOKUP(B348,'Gebouwgegevens Allacker'!$J$5:$Q$83,2,0))</f>
        <v>#N/A</v>
      </c>
      <c r="E348" s="122" t="e">
        <f>VLOOKUP(B348,'Gebouwgegevens Allacker'!$J$5:$Q$83,4,0)</f>
        <v>#N/A</v>
      </c>
      <c r="F348" s="122" t="e">
        <f>VLOOKUP(B348,'Gebouwgegevens Allacker'!$J$5:$Q$83,5,0)</f>
        <v>#N/A</v>
      </c>
      <c r="G348" s="122" t="e">
        <f>VLOOKUP('Verwarming Allacker'!C348,'Gebouwgegevens Allacker'!$A$35:$F$46,5,0)</f>
        <v>#N/A</v>
      </c>
      <c r="H348" s="122" t="e">
        <f>VLOOKUP('Verwarming Allacker'!D348,'Gebouwgegevens Allacker'!$A$35:$F$46,5,0)</f>
        <v>#N/A</v>
      </c>
      <c r="I348" s="122" t="e">
        <f>VLOOKUP(B348,'Gebouwgegevens Allacker'!$J$5:$Q$83,7,0)</f>
        <v>#N/A</v>
      </c>
      <c r="J348" s="118" t="e">
        <f>VLOOKUP(B348,'Gebouwgegevens Allacker'!$J$5:$Q$83,8,0)</f>
        <v>#N/A</v>
      </c>
      <c r="K348" s="118" t="e">
        <f>(G348-H348)/(G348-$B$4)</f>
        <v>#N/A</v>
      </c>
      <c r="L348" s="98"/>
      <c r="M348" s="98"/>
      <c r="N348" s="98"/>
      <c r="O348" s="98"/>
      <c r="P348" s="96"/>
    </row>
    <row r="349" spans="1:16" ht="16.5" customHeight="1" x14ac:dyDescent="0.25">
      <c r="A349" s="95"/>
      <c r="B349" s="92" t="s">
        <v>235</v>
      </c>
      <c r="C349" s="122" t="e">
        <f>IF(VLOOKUP(B349,'Gebouwgegevens Allacker'!$J$5:$Q$83,2,0)=$B$316,VLOOKUP(B349,'Gebouwgegevens Allacker'!$J$5:$Q$83,2,0),VLOOKUP(B349,'Gebouwgegevens Allacker'!$J$5:$Q$83,3,0))</f>
        <v>#N/A</v>
      </c>
      <c r="D349" s="122" t="e">
        <f>IF(VLOOKUP(B349,'Gebouwgegevens Allacker'!$J$5:$Q$83,2,0)=$B$316,VLOOKUP(B349,'Gebouwgegevens Allacker'!$J$5:$Q$83,3,0),VLOOKUP(B349,'Gebouwgegevens Allacker'!$J$5:$Q$83,2,0))</f>
        <v>#N/A</v>
      </c>
      <c r="E349" s="122" t="e">
        <f>VLOOKUP(B349,'Gebouwgegevens Allacker'!$J$5:$Q$83,4,0)</f>
        <v>#N/A</v>
      </c>
      <c r="F349" s="122" t="e">
        <f>VLOOKUP(B349,'Gebouwgegevens Allacker'!$J$5:$Q$83,5,0)</f>
        <v>#N/A</v>
      </c>
      <c r="G349" s="122" t="e">
        <f>VLOOKUP('Verwarming Allacker'!C349,'Gebouwgegevens Allacker'!$A$35:$F$46,5,0)</f>
        <v>#N/A</v>
      </c>
      <c r="H349" s="122" t="e">
        <f>VLOOKUP('Verwarming Allacker'!D349,'Gebouwgegevens Allacker'!$A$35:$F$46,5,0)</f>
        <v>#N/A</v>
      </c>
      <c r="I349" s="122" t="e">
        <f>VLOOKUP(B349,'Gebouwgegevens Allacker'!$J$5:$Q$83,7,0)</f>
        <v>#N/A</v>
      </c>
      <c r="J349" s="118" t="e">
        <f>VLOOKUP(B349,'Gebouwgegevens Allacker'!$J$5:$Q$83,8,0)</f>
        <v>#N/A</v>
      </c>
      <c r="K349" s="118" t="e">
        <f>(G349-H349)/(G349-$B$4)</f>
        <v>#N/A</v>
      </c>
      <c r="L349" s="98"/>
      <c r="M349" s="98"/>
      <c r="N349" s="98"/>
      <c r="O349" s="98"/>
      <c r="P349" s="96"/>
    </row>
    <row r="350" spans="1:16" ht="16.5" customHeight="1" x14ac:dyDescent="0.25">
      <c r="A350" s="95"/>
      <c r="B350" s="123" t="s">
        <v>236</v>
      </c>
      <c r="C350" s="122" t="e">
        <f>IF(VLOOKUP(B350,'Gebouwgegevens Allacker'!$J$5:$Q$83,2,0)=$B$316,VLOOKUP(B350,'Gebouwgegevens Allacker'!$J$5:$Q$83,2,0),VLOOKUP(B350,'Gebouwgegevens Allacker'!$J$5:$Q$83,3,0))</f>
        <v>#N/A</v>
      </c>
      <c r="D350" s="122" t="e">
        <f>IF(VLOOKUP(B350,'Gebouwgegevens Allacker'!$J$5:$Q$83,2,0)=$B$316,VLOOKUP(B350,'Gebouwgegevens Allacker'!$J$5:$Q$83,3,0),VLOOKUP(B350,'Gebouwgegevens Allacker'!$J$5:$Q$83,2,0))</f>
        <v>#N/A</v>
      </c>
      <c r="E350" s="122" t="e">
        <f>VLOOKUP(B350,'Gebouwgegevens Allacker'!$J$5:$Q$83,4,0)</f>
        <v>#N/A</v>
      </c>
      <c r="F350" s="122" t="e">
        <f>VLOOKUP(B350,'Gebouwgegevens Allacker'!$J$5:$Q$83,5,0)</f>
        <v>#N/A</v>
      </c>
      <c r="G350" s="122" t="e">
        <f>VLOOKUP('Verwarming Allacker'!C350,'Gebouwgegevens Allacker'!$A$35:$F$46,5,0)</f>
        <v>#N/A</v>
      </c>
      <c r="H350" s="122" t="e">
        <f>VLOOKUP('Verwarming Allacker'!D350,'Gebouwgegevens Allacker'!$A$35:$F$46,5,0)</f>
        <v>#N/A</v>
      </c>
      <c r="I350" s="122" t="e">
        <f>VLOOKUP(B350,'Gebouwgegevens Allacker'!$J$5:$Q$83,7,0)</f>
        <v>#N/A</v>
      </c>
      <c r="J350" s="118" t="e">
        <f>VLOOKUP(B350,'Gebouwgegevens Allacker'!$J$5:$Q$83,8,0)</f>
        <v>#N/A</v>
      </c>
      <c r="K350" s="118" t="e">
        <f>(G350-H350)/(G350-$B$4)</f>
        <v>#N/A</v>
      </c>
      <c r="L350" s="98"/>
      <c r="M350" s="98"/>
      <c r="N350" s="98"/>
      <c r="O350" s="98"/>
      <c r="P350" s="96"/>
    </row>
    <row r="351" spans="1:16" ht="16.5" customHeight="1" x14ac:dyDescent="0.25">
      <c r="A351" s="95"/>
      <c r="B351" s="123"/>
      <c r="C351" s="139"/>
      <c r="D351" s="122"/>
      <c r="E351" s="122"/>
      <c r="F351" s="122"/>
      <c r="G351" s="122"/>
      <c r="H351" s="122"/>
      <c r="I351" s="122"/>
      <c r="J351" s="118"/>
      <c r="K351" s="118"/>
      <c r="L351" s="98"/>
      <c r="M351" s="98"/>
      <c r="N351" s="98"/>
      <c r="O351" s="98"/>
      <c r="P351" s="96"/>
    </row>
    <row r="352" spans="1:16" ht="16.5" customHeight="1" x14ac:dyDescent="0.25">
      <c r="A352" s="95"/>
      <c r="B352" s="123"/>
      <c r="C352" s="139"/>
      <c r="D352" s="122"/>
      <c r="E352" s="122"/>
      <c r="F352" s="122"/>
      <c r="G352" s="122"/>
      <c r="H352" s="122"/>
      <c r="I352" s="122"/>
      <c r="J352" s="118"/>
      <c r="K352" s="118"/>
      <c r="L352" s="98"/>
      <c r="M352" s="98"/>
      <c r="N352" s="98"/>
      <c r="O352" s="98"/>
      <c r="P352" s="96"/>
    </row>
    <row r="353" spans="1:16" ht="16.5" customHeight="1" x14ac:dyDescent="0.25">
      <c r="A353" s="95"/>
      <c r="B353" s="123"/>
      <c r="C353" s="139"/>
      <c r="D353" s="122"/>
      <c r="E353" s="122"/>
      <c r="F353" s="122"/>
      <c r="G353" s="122"/>
      <c r="H353" s="122"/>
      <c r="I353" s="122"/>
      <c r="J353" s="118"/>
      <c r="K353" s="118"/>
      <c r="L353" s="98"/>
      <c r="M353" s="98"/>
      <c r="N353" s="98"/>
      <c r="O353" s="98"/>
      <c r="P353" s="96"/>
    </row>
    <row r="354" spans="1:16" ht="16.5" customHeight="1" x14ac:dyDescent="0.25">
      <c r="A354" s="95"/>
      <c r="B354" s="123"/>
      <c r="C354" s="139"/>
      <c r="D354" s="122"/>
      <c r="E354" s="122"/>
      <c r="F354" s="122"/>
      <c r="G354" s="122"/>
      <c r="H354" s="122"/>
      <c r="I354" s="122"/>
      <c r="J354" s="118"/>
      <c r="K354" s="118"/>
      <c r="L354" s="98"/>
      <c r="M354" s="98"/>
      <c r="N354" s="98"/>
      <c r="O354" s="98"/>
      <c r="P354" s="96"/>
    </row>
    <row r="355" spans="1:16" ht="16.5" customHeight="1" x14ac:dyDescent="0.25">
      <c r="A355" s="95"/>
      <c r="B355" s="123"/>
      <c r="C355" s="139"/>
      <c r="D355" s="122"/>
      <c r="E355" s="122"/>
      <c r="F355" s="122"/>
      <c r="G355" s="122"/>
      <c r="H355" s="122"/>
      <c r="I355" s="122"/>
      <c r="J355" s="118"/>
      <c r="K355" s="118"/>
      <c r="L355" s="98"/>
      <c r="M355" s="98"/>
      <c r="N355" s="98"/>
      <c r="O355" s="98"/>
      <c r="P355" s="96"/>
    </row>
    <row r="356" spans="1:16" ht="15.75" customHeight="1" x14ac:dyDescent="0.25">
      <c r="A356" s="95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8"/>
      <c r="M356" s="98"/>
      <c r="N356" s="98"/>
      <c r="O356" s="98"/>
      <c r="P356" s="96"/>
    </row>
    <row r="357" spans="1:16" ht="15" customHeight="1" x14ac:dyDescent="0.25">
      <c r="A357" s="95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6"/>
    </row>
    <row r="358" spans="1:16" ht="15.75" customHeight="1" x14ac:dyDescent="0.25">
      <c r="A358" s="103" t="s">
        <v>192</v>
      </c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6"/>
    </row>
    <row r="359" spans="1:16" ht="16.5" customHeight="1" x14ac:dyDescent="0.25">
      <c r="A359" s="124" t="s">
        <v>193</v>
      </c>
      <c r="B359" s="118" t="e">
        <f>SUMPRODUCT(H322:H333,I322:I333)+SUMPRODUCT(G338:G342,H338:H342)+SUMPRODUCT(J346:J355,K346:K355)</f>
        <v>#N/A</v>
      </c>
      <c r="C359" s="118" t="s">
        <v>107</v>
      </c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6"/>
    </row>
    <row r="360" spans="1:16" ht="16.5" customHeight="1" x14ac:dyDescent="0.25">
      <c r="A360" s="124" t="s">
        <v>167</v>
      </c>
      <c r="B360" s="118" t="e">
        <f>B359*(G346-$B$4)</f>
        <v>#N/A</v>
      </c>
      <c r="C360" s="118" t="s">
        <v>169</v>
      </c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6"/>
    </row>
    <row r="361" spans="1:16" ht="15.75" customHeight="1" x14ac:dyDescent="0.25">
      <c r="A361" s="109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1"/>
    </row>
    <row r="362" spans="1:16" ht="15.75" customHeight="1" x14ac:dyDescent="0.25">
      <c r="A362" s="343" t="s">
        <v>194</v>
      </c>
      <c r="B362" s="343"/>
      <c r="C362" s="343"/>
      <c r="D362" s="125" t="s">
        <v>222</v>
      </c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94"/>
    </row>
    <row r="363" spans="1:16" ht="15" customHeight="1" x14ac:dyDescent="0.25">
      <c r="A363" s="95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6"/>
    </row>
    <row r="364" spans="1:16" ht="15" customHeight="1" x14ac:dyDescent="0.25">
      <c r="A364" s="126" t="s">
        <v>195</v>
      </c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6"/>
    </row>
    <row r="365" spans="1:16" ht="15" customHeight="1" x14ac:dyDescent="0.25">
      <c r="A365" s="127" t="s">
        <v>196</v>
      </c>
      <c r="B365" s="121">
        <v>8</v>
      </c>
      <c r="C365" s="120" t="s">
        <v>197</v>
      </c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6"/>
    </row>
    <row r="366" spans="1:16" ht="15" customHeight="1" x14ac:dyDescent="0.25">
      <c r="A366" s="127" t="s">
        <v>198</v>
      </c>
      <c r="B366" s="121">
        <v>0.03</v>
      </c>
      <c r="C366" s="120" t="s">
        <v>199</v>
      </c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6"/>
    </row>
    <row r="367" spans="1:16" ht="15.75" customHeight="1" x14ac:dyDescent="0.25">
      <c r="A367" s="127" t="s">
        <v>200</v>
      </c>
      <c r="B367" s="121">
        <v>1</v>
      </c>
      <c r="C367" s="120" t="s">
        <v>201</v>
      </c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6"/>
    </row>
    <row r="368" spans="1:16" ht="16.5" customHeight="1" x14ac:dyDescent="0.25">
      <c r="A368" s="124" t="s">
        <v>202</v>
      </c>
      <c r="B368" s="118" t="e">
        <f>2*VLOOKUP(B316,'Gebouwgegevens Allacker'!$A$35:$F$46,6,0)*B365*B366*B367</f>
        <v>#N/A</v>
      </c>
      <c r="C368" s="118" t="s">
        <v>203</v>
      </c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6"/>
    </row>
    <row r="369" spans="1:16" ht="15.75" customHeight="1" x14ac:dyDescent="0.25">
      <c r="A369" s="95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6"/>
    </row>
    <row r="370" spans="1:16" ht="15" customHeight="1" x14ac:dyDescent="0.25">
      <c r="A370" s="126" t="s">
        <v>204</v>
      </c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6"/>
    </row>
    <row r="371" spans="1:16" ht="15.75" customHeight="1" x14ac:dyDescent="0.25">
      <c r="A371" s="95" t="s">
        <v>180</v>
      </c>
      <c r="B371" s="98" t="e">
        <f>VLOOKUP(B316,'Gebouwgegevens Allacker'!$A$35:$F$46,6,0)</f>
        <v>#N/A</v>
      </c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6"/>
    </row>
    <row r="372" spans="1:16" ht="16.5" customHeight="1" x14ac:dyDescent="0.25">
      <c r="A372" s="124" t="s">
        <v>205</v>
      </c>
      <c r="B372" s="128" t="e">
        <f>B371*3.6</f>
        <v>#N/A</v>
      </c>
      <c r="C372" s="118" t="s">
        <v>203</v>
      </c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6"/>
    </row>
    <row r="373" spans="1:16" ht="15.75" customHeight="1" x14ac:dyDescent="0.25">
      <c r="A373" s="95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6"/>
    </row>
    <row r="374" spans="1:16" ht="15.75" customHeight="1" x14ac:dyDescent="0.25">
      <c r="A374" s="95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6"/>
    </row>
    <row r="375" spans="1:16" ht="16.5" customHeight="1" x14ac:dyDescent="0.25">
      <c r="A375" s="124" t="s">
        <v>207</v>
      </c>
      <c r="B375" s="118" t="e">
        <f>MAX(B368,B372)</f>
        <v>#N/A</v>
      </c>
      <c r="C375" s="118" t="s">
        <v>203</v>
      </c>
      <c r="D375" s="98"/>
      <c r="E375" s="98"/>
      <c r="F375" s="118" t="s">
        <v>208</v>
      </c>
      <c r="G375" s="118" t="e">
        <f>B375/VLOOKUP(B316,'Gebouwgegevens Allacker'!$A$35:$B$46,2,0)</f>
        <v>#N/A</v>
      </c>
      <c r="H375" s="98"/>
      <c r="I375" s="98"/>
      <c r="J375" s="98"/>
      <c r="K375" s="98"/>
      <c r="L375" s="98"/>
      <c r="M375" s="98"/>
      <c r="N375" s="98"/>
      <c r="O375" s="98"/>
      <c r="P375" s="96"/>
    </row>
    <row r="376" spans="1:16" ht="16.5" customHeight="1" x14ac:dyDescent="0.25">
      <c r="A376" s="138"/>
      <c r="B376" s="58"/>
      <c r="C376" s="5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6"/>
    </row>
    <row r="377" spans="1:16" ht="16.5" customHeight="1" x14ac:dyDescent="0.25">
      <c r="A377" s="124" t="s">
        <v>209</v>
      </c>
      <c r="B377" s="118" t="e">
        <f>0.34*B375</f>
        <v>#N/A</v>
      </c>
      <c r="C377" s="118" t="s">
        <v>107</v>
      </c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6"/>
    </row>
    <row r="378" spans="1:16" ht="16.5" customHeight="1" x14ac:dyDescent="0.25">
      <c r="A378" s="124" t="s">
        <v>167</v>
      </c>
      <c r="B378" s="118" t="e">
        <f>B377*('Gebouwgegevens Allacker'!E338-$B$4)</f>
        <v>#N/A</v>
      </c>
      <c r="C378" s="118" t="s">
        <v>169</v>
      </c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6"/>
    </row>
    <row r="379" spans="1:16" ht="15.75" customHeight="1" x14ac:dyDescent="0.25">
      <c r="A379" s="140"/>
      <c r="B379" s="141"/>
      <c r="C379" s="141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1"/>
    </row>
    <row r="380" spans="1:16" ht="15.75" customHeight="1" x14ac:dyDescent="0.25">
      <c r="A380" s="343" t="s">
        <v>210</v>
      </c>
      <c r="B380" s="343"/>
      <c r="C380" s="343"/>
      <c r="D380" s="343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6"/>
    </row>
    <row r="381" spans="1:16" ht="15" customHeight="1" x14ac:dyDescent="0.25">
      <c r="A381" s="95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6"/>
    </row>
    <row r="382" spans="1:16" ht="15" customHeight="1" x14ac:dyDescent="0.25">
      <c r="A382" s="127" t="s">
        <v>211</v>
      </c>
      <c r="B382" s="121">
        <v>22</v>
      </c>
      <c r="C382" s="58" t="s">
        <v>232</v>
      </c>
      <c r="D382" s="5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6"/>
    </row>
    <row r="383" spans="1:16" ht="15.75" customHeight="1" x14ac:dyDescent="0.25">
      <c r="A383" s="3" t="s">
        <v>113</v>
      </c>
      <c r="B383" s="58" t="e">
        <f>VLOOKUP(B316,'Gebouwgegevens Allacker'!$A$35:$F$46,6,0)</f>
        <v>#N/A</v>
      </c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6"/>
    </row>
    <row r="384" spans="1:16" ht="16.5" customHeight="1" x14ac:dyDescent="0.25">
      <c r="A384" s="124" t="s">
        <v>213</v>
      </c>
      <c r="B384" s="118" t="e">
        <f>B385/('Gebouwgegevens Allacker'!E338-'Verwarming Allacker'!$B$4)</f>
        <v>#N/A</v>
      </c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6"/>
    </row>
    <row r="385" spans="1:16" ht="16.5" customHeight="1" x14ac:dyDescent="0.25">
      <c r="A385" s="124" t="s">
        <v>167</v>
      </c>
      <c r="B385" s="118" t="e">
        <f>B382*B383</f>
        <v>#N/A</v>
      </c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6"/>
    </row>
    <row r="386" spans="1:16" ht="15.75" customHeight="1" x14ac:dyDescent="0.25">
      <c r="A386" s="95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6"/>
    </row>
    <row r="387" spans="1:16" ht="15.75" customHeight="1" x14ac:dyDescent="0.25">
      <c r="A387" s="95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6"/>
    </row>
    <row r="388" spans="1:16" ht="15.75" customHeight="1" x14ac:dyDescent="0.25">
      <c r="A388" s="129" t="s">
        <v>214</v>
      </c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1"/>
    </row>
    <row r="389" spans="1:16" ht="16.5" customHeight="1" x14ac:dyDescent="0.25">
      <c r="A389" s="124" t="s">
        <v>215</v>
      </c>
      <c r="B389" s="118" t="e">
        <f>SUM(B359,B377,B384)</f>
        <v>#N/A</v>
      </c>
      <c r="C389" s="118" t="s">
        <v>107</v>
      </c>
      <c r="D389" s="132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  <c r="O389" s="132"/>
      <c r="P389" s="133"/>
    </row>
    <row r="390" spans="1:16" ht="16.5" customHeight="1" x14ac:dyDescent="0.25">
      <c r="A390" s="124" t="s">
        <v>167</v>
      </c>
      <c r="B390" s="118" t="e">
        <f>SUM(B360,B378,B385)</f>
        <v>#N/A</v>
      </c>
      <c r="C390" s="118" t="s">
        <v>169</v>
      </c>
      <c r="D390" s="132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  <c r="O390" s="132"/>
      <c r="P390" s="133"/>
    </row>
    <row r="391" spans="1:16" ht="16.5" customHeight="1" x14ac:dyDescent="0.25">
      <c r="A391" s="134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6"/>
    </row>
    <row r="392" spans="1:16" ht="15.75" customHeight="1" x14ac:dyDescent="0.25">
      <c r="A392" s="137"/>
      <c r="B392" s="137"/>
      <c r="C392" s="137"/>
      <c r="D392" s="137"/>
      <c r="E392" s="137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</row>
    <row r="393" spans="1:16" ht="15" customHeight="1" x14ac:dyDescent="0.25">
      <c r="A393" s="93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94"/>
    </row>
    <row r="394" spans="1:16" ht="17.25" customHeight="1" x14ac:dyDescent="0.3">
      <c r="A394" s="97" t="s">
        <v>166</v>
      </c>
      <c r="B394" s="92">
        <v>6</v>
      </c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6"/>
    </row>
    <row r="395" spans="1:16" ht="15.75" customHeight="1" x14ac:dyDescent="0.25">
      <c r="A395" s="343" t="s">
        <v>168</v>
      </c>
      <c r="B395" s="343"/>
      <c r="C395" s="343"/>
      <c r="D395" s="343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94"/>
    </row>
    <row r="396" spans="1:16" ht="15" customHeight="1" x14ac:dyDescent="0.25">
      <c r="A396" s="95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6"/>
    </row>
    <row r="397" spans="1:16" ht="15" customHeight="1" x14ac:dyDescent="0.25">
      <c r="A397" s="103" t="s">
        <v>170</v>
      </c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6"/>
    </row>
    <row r="398" spans="1:16" ht="15" customHeight="1" x14ac:dyDescent="0.25">
      <c r="A398" s="95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6"/>
    </row>
    <row r="399" spans="1:16" ht="15.75" customHeight="1" x14ac:dyDescent="0.25">
      <c r="A399" s="95"/>
      <c r="B399" s="104" t="s">
        <v>10</v>
      </c>
      <c r="C399" s="104" t="s">
        <v>171</v>
      </c>
      <c r="D399" s="104" t="s">
        <v>172</v>
      </c>
      <c r="E399" s="104" t="s">
        <v>173</v>
      </c>
      <c r="F399" s="104" t="s">
        <v>174</v>
      </c>
      <c r="G399" s="104" t="s">
        <v>16</v>
      </c>
      <c r="H399" s="105" t="s">
        <v>17</v>
      </c>
      <c r="I399" s="105" t="s">
        <v>175</v>
      </c>
      <c r="J399" s="98"/>
      <c r="K399" s="98"/>
      <c r="L399" s="98"/>
      <c r="M399" s="98"/>
      <c r="N399" s="98"/>
      <c r="O399" s="98"/>
      <c r="P399" s="96"/>
    </row>
    <row r="400" spans="1:16" ht="16.5" customHeight="1" x14ac:dyDescent="0.25">
      <c r="A400" s="95"/>
      <c r="B400" s="106" t="s">
        <v>96</v>
      </c>
      <c r="C400" s="107">
        <f>VLOOKUP(B400,'Gebouwgegevens Allacker'!$J$5:$Q$83,3,0)</f>
        <v>3</v>
      </c>
      <c r="D400" s="107" t="str">
        <f>VLOOKUP(B400,'Gebouwgegevens Allacker'!$J$5:$Q$83,4,0)</f>
        <v>Roof</v>
      </c>
      <c r="E400" s="107">
        <f>VLOOKUP(B400,'Gebouwgegevens Allacker'!$J$5:$Q$83,5,0)</f>
        <v>99.627515556697489</v>
      </c>
      <c r="F400" s="107" t="str">
        <f>VLOOKUP(B400,'Gebouwgegevens Allacker'!$J$5:$Q$83,6,0)</f>
        <v>front/back</v>
      </c>
      <c r="G400" s="107">
        <f>VLOOKUP(B400,'Gebouwgegevens Allacker'!$J$5:$Q$83,7,0)</f>
        <v>1.6975498473547073</v>
      </c>
      <c r="H400" s="108">
        <f>VLOOKUP(B400,'Gebouwgegevens Allacker'!$J$5:$Q$83,8,0)</f>
        <v>169.12267382560054</v>
      </c>
      <c r="I400" s="108">
        <v>1</v>
      </c>
      <c r="J400" s="98"/>
      <c r="K400" s="98"/>
      <c r="L400" s="98"/>
      <c r="M400" s="98"/>
      <c r="N400" s="98"/>
      <c r="O400" s="98"/>
      <c r="P400" s="96"/>
    </row>
    <row r="401" spans="1:16" ht="16.5" customHeight="1" x14ac:dyDescent="0.25">
      <c r="A401" s="95"/>
      <c r="B401" s="106" t="s">
        <v>98</v>
      </c>
      <c r="C401" s="107">
        <f>VLOOKUP(B401,'Gebouwgegevens Allacker'!$J$5:$Q$83,3,0)</f>
        <v>3</v>
      </c>
      <c r="D401" s="107" t="str">
        <f>VLOOKUP(B401,'Gebouwgegevens Allacker'!$J$5:$Q$83,4,0)</f>
        <v>Floor internal</v>
      </c>
      <c r="E401" s="107">
        <f>VLOOKUP(B401,'Gebouwgegevens Allacker'!$J$5:$Q$83,5,0)</f>
        <v>76.183999999999997</v>
      </c>
      <c r="F401" s="107">
        <f>VLOOKUP(B401,'Gebouwgegevens Allacker'!$J$5:$Q$83,6,0)</f>
        <v>0</v>
      </c>
      <c r="G401" s="107">
        <f>VLOOKUP(B401,'Gebouwgegevens Allacker'!$J$5:$Q$83,7,0)</f>
        <v>2.0895522388059704</v>
      </c>
      <c r="H401" s="108">
        <f>VLOOKUP(B401,'Gebouwgegevens Allacker'!$J$5:$Q$83,8,0)</f>
        <v>159.19044776119404</v>
      </c>
      <c r="I401" s="108">
        <v>1</v>
      </c>
      <c r="J401" s="98"/>
      <c r="K401" s="98"/>
      <c r="L401" s="98"/>
      <c r="M401" s="98"/>
      <c r="N401" s="98"/>
      <c r="O401" s="98"/>
      <c r="P401" s="96"/>
    </row>
    <row r="402" spans="1:16" ht="16.5" customHeight="1" x14ac:dyDescent="0.25">
      <c r="A402" s="95"/>
      <c r="B402" s="106" t="s">
        <v>101</v>
      </c>
      <c r="C402" s="107">
        <f>VLOOKUP(B402,'Gebouwgegevens Allacker'!$J$5:$Q$83,3,0)</f>
        <v>2</v>
      </c>
      <c r="D402" s="107" t="str">
        <f>VLOOKUP(B402,'Gebouwgegevens Allacker'!$J$5:$Q$83,4,0)</f>
        <v>Wall internal</v>
      </c>
      <c r="E402" s="107">
        <f>VLOOKUP(B402,'Gebouwgegevens Allacker'!$J$5:$Q$83,5,0)</f>
        <v>140.84</v>
      </c>
      <c r="F402" s="107">
        <f>VLOOKUP(B402,'Gebouwgegevens Allacker'!$J$5:$Q$83,6,0)</f>
        <v>0</v>
      </c>
      <c r="G402" s="107">
        <f>VLOOKUP(B402,'Gebouwgegevens Allacker'!$J$5:$Q$83,7,0)</f>
        <v>1.9926199261992623</v>
      </c>
      <c r="H402" s="108">
        <f>VLOOKUP(B402,'Gebouwgegevens Allacker'!$J$5:$Q$83,8,0)</f>
        <v>280.64059040590411</v>
      </c>
      <c r="I402" s="108">
        <v>1</v>
      </c>
      <c r="J402" s="98"/>
      <c r="K402" s="98"/>
      <c r="L402" s="98"/>
      <c r="M402" s="98"/>
      <c r="N402" s="98"/>
      <c r="O402" s="98"/>
      <c r="P402" s="96"/>
    </row>
    <row r="403" spans="1:16" ht="16.5" customHeight="1" x14ac:dyDescent="0.25">
      <c r="A403" s="95"/>
      <c r="B403" s="106"/>
      <c r="C403" s="107"/>
      <c r="D403" s="107"/>
      <c r="E403" s="107"/>
      <c r="F403" s="107"/>
      <c r="G403" s="107"/>
      <c r="H403" s="108"/>
      <c r="I403" s="108"/>
      <c r="J403" s="98"/>
      <c r="K403" s="98"/>
      <c r="L403" s="98"/>
      <c r="M403" s="98"/>
      <c r="N403" s="98"/>
      <c r="O403" s="98"/>
      <c r="P403" s="96"/>
    </row>
    <row r="404" spans="1:16" ht="16.5" customHeight="1" x14ac:dyDescent="0.25">
      <c r="A404" s="95"/>
      <c r="B404" s="106"/>
      <c r="C404" s="107"/>
      <c r="D404" s="107"/>
      <c r="E404" s="107"/>
      <c r="F404" s="107"/>
      <c r="G404" s="107"/>
      <c r="H404" s="108"/>
      <c r="I404" s="108"/>
      <c r="J404" s="98"/>
      <c r="K404" s="98"/>
      <c r="L404" s="98"/>
      <c r="M404" s="98"/>
      <c r="N404" s="98"/>
      <c r="O404" s="98"/>
      <c r="P404" s="96"/>
    </row>
    <row r="405" spans="1:16" ht="16.5" customHeight="1" x14ac:dyDescent="0.25">
      <c r="A405" s="95"/>
      <c r="B405" s="106"/>
      <c r="C405" s="107"/>
      <c r="D405" s="107"/>
      <c r="E405" s="107"/>
      <c r="F405" s="107"/>
      <c r="G405" s="107"/>
      <c r="H405" s="108"/>
      <c r="I405" s="108"/>
      <c r="J405" s="98"/>
      <c r="K405" s="98"/>
      <c r="L405" s="98"/>
      <c r="M405" s="98"/>
      <c r="N405" s="98"/>
      <c r="O405" s="98"/>
      <c r="P405" s="96"/>
    </row>
    <row r="406" spans="1:16" ht="16.5" customHeight="1" x14ac:dyDescent="0.25">
      <c r="A406" s="95"/>
      <c r="B406" s="106"/>
      <c r="C406" s="107"/>
      <c r="D406" s="107"/>
      <c r="E406" s="107"/>
      <c r="F406" s="107"/>
      <c r="G406" s="107"/>
      <c r="H406" s="108"/>
      <c r="I406" s="108"/>
      <c r="J406" s="98"/>
      <c r="K406" s="98"/>
      <c r="L406" s="98"/>
      <c r="M406" s="98"/>
      <c r="N406" s="98"/>
      <c r="O406" s="98"/>
      <c r="P406" s="96"/>
    </row>
    <row r="407" spans="1:16" ht="16.5" customHeight="1" x14ac:dyDescent="0.25">
      <c r="A407" s="95"/>
      <c r="B407" s="106"/>
      <c r="C407" s="107"/>
      <c r="D407" s="107"/>
      <c r="E407" s="107"/>
      <c r="F407" s="107"/>
      <c r="G407" s="107"/>
      <c r="H407" s="108"/>
      <c r="I407" s="108"/>
      <c r="J407" s="98"/>
      <c r="K407" s="98"/>
      <c r="L407" s="98"/>
      <c r="M407" s="98"/>
      <c r="N407" s="98"/>
      <c r="O407" s="98"/>
      <c r="P407" s="96"/>
    </row>
    <row r="408" spans="1:16" ht="16.5" customHeight="1" x14ac:dyDescent="0.25">
      <c r="A408" s="95"/>
      <c r="B408" s="106"/>
      <c r="C408" s="107"/>
      <c r="D408" s="107"/>
      <c r="E408" s="107"/>
      <c r="F408" s="107"/>
      <c r="G408" s="107"/>
      <c r="H408" s="108"/>
      <c r="I408" s="108"/>
      <c r="J408" s="98"/>
      <c r="K408" s="98"/>
      <c r="L408" s="98"/>
      <c r="M408" s="98"/>
      <c r="N408" s="98"/>
      <c r="O408" s="98"/>
      <c r="P408" s="96"/>
    </row>
    <row r="409" spans="1:16" ht="16.5" customHeight="1" x14ac:dyDescent="0.25">
      <c r="A409" s="95"/>
      <c r="B409" s="106"/>
      <c r="C409" s="107"/>
      <c r="D409" s="107"/>
      <c r="E409" s="107"/>
      <c r="F409" s="107"/>
      <c r="G409" s="107"/>
      <c r="H409" s="108"/>
      <c r="I409" s="108"/>
      <c r="J409" s="98"/>
      <c r="K409" s="98"/>
      <c r="L409" s="98"/>
      <c r="M409" s="98"/>
      <c r="N409" s="98"/>
      <c r="O409" s="98"/>
      <c r="P409" s="96"/>
    </row>
    <row r="410" spans="1:16" ht="16.5" customHeight="1" x14ac:dyDescent="0.25">
      <c r="A410" s="95"/>
      <c r="B410" s="106"/>
      <c r="C410" s="107"/>
      <c r="D410" s="107"/>
      <c r="E410" s="107"/>
      <c r="F410" s="107"/>
      <c r="G410" s="107"/>
      <c r="H410" s="108"/>
      <c r="I410" s="108"/>
      <c r="J410" s="98"/>
      <c r="K410" s="98"/>
      <c r="L410" s="98"/>
      <c r="M410" s="98"/>
      <c r="N410" s="98"/>
      <c r="O410" s="98"/>
      <c r="P410" s="96"/>
    </row>
    <row r="411" spans="1:16" ht="16.5" customHeight="1" x14ac:dyDescent="0.25">
      <c r="A411" s="95"/>
      <c r="B411" s="106"/>
      <c r="C411" s="107"/>
      <c r="D411" s="107"/>
      <c r="E411" s="107"/>
      <c r="F411" s="107"/>
      <c r="G411" s="107"/>
      <c r="H411" s="108"/>
      <c r="I411" s="108"/>
      <c r="J411" s="98"/>
      <c r="K411" s="98"/>
      <c r="L411" s="98"/>
      <c r="M411" s="98"/>
      <c r="N411" s="98"/>
      <c r="O411" s="98"/>
      <c r="P411" s="96"/>
    </row>
    <row r="412" spans="1:16" ht="15.75" customHeight="1" x14ac:dyDescent="0.25">
      <c r="A412" s="95"/>
      <c r="B412" s="58"/>
      <c r="C412" s="58"/>
      <c r="D412" s="58"/>
      <c r="E412" s="58"/>
      <c r="F412" s="58"/>
      <c r="G412" s="114"/>
      <c r="H412" s="58"/>
      <c r="I412" s="58"/>
      <c r="J412" s="98"/>
      <c r="K412" s="98"/>
      <c r="L412" s="98"/>
      <c r="M412" s="98"/>
      <c r="N412" s="98"/>
      <c r="O412" s="98"/>
      <c r="P412" s="96"/>
    </row>
    <row r="413" spans="1:16" ht="15" customHeight="1" x14ac:dyDescent="0.25">
      <c r="A413" s="95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6"/>
    </row>
    <row r="414" spans="1:16" ht="15" customHeight="1" x14ac:dyDescent="0.25">
      <c r="A414" s="103" t="s">
        <v>177</v>
      </c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6"/>
    </row>
    <row r="415" spans="1:16" ht="15.75" customHeight="1" x14ac:dyDescent="0.25">
      <c r="A415" s="95"/>
      <c r="B415" s="58" t="s">
        <v>10</v>
      </c>
      <c r="C415" s="58" t="s">
        <v>178</v>
      </c>
      <c r="D415" s="58" t="s">
        <v>172</v>
      </c>
      <c r="E415" s="58" t="s">
        <v>179</v>
      </c>
      <c r="F415" s="58" t="s">
        <v>16</v>
      </c>
      <c r="G415" s="114" t="s">
        <v>17</v>
      </c>
      <c r="H415" s="114" t="s">
        <v>175</v>
      </c>
      <c r="I415" s="58" t="s">
        <v>180</v>
      </c>
      <c r="J415" s="58" t="s">
        <v>181</v>
      </c>
      <c r="K415" s="58" t="s">
        <v>182</v>
      </c>
      <c r="L415" s="115" t="s">
        <v>183</v>
      </c>
      <c r="M415" s="115" t="s">
        <v>184</v>
      </c>
      <c r="N415" s="115" t="s">
        <v>185</v>
      </c>
      <c r="O415" s="98"/>
      <c r="P415" s="96"/>
    </row>
    <row r="416" spans="1:16" ht="16.5" customHeight="1" x14ac:dyDescent="0.25">
      <c r="A416" s="95"/>
      <c r="B416" s="116"/>
      <c r="C416" s="117"/>
      <c r="D416" s="117"/>
      <c r="E416" s="117"/>
      <c r="F416" s="117"/>
      <c r="G416" s="118"/>
      <c r="H416" s="118"/>
      <c r="I416" s="117"/>
      <c r="J416" s="116"/>
      <c r="K416" s="116"/>
      <c r="L416" s="119"/>
      <c r="M416" s="119"/>
      <c r="N416" s="120"/>
      <c r="O416" s="98"/>
      <c r="P416" s="96"/>
    </row>
    <row r="417" spans="1:16" ht="16.5" customHeight="1" x14ac:dyDescent="0.25">
      <c r="A417" s="95"/>
      <c r="B417" s="116"/>
      <c r="C417" s="117"/>
      <c r="D417" s="117"/>
      <c r="E417" s="117"/>
      <c r="F417" s="117"/>
      <c r="G417" s="118"/>
      <c r="H417" s="118"/>
      <c r="I417" s="117"/>
      <c r="J417" s="116"/>
      <c r="K417" s="116"/>
      <c r="L417" s="119"/>
      <c r="M417" s="119"/>
      <c r="N417" s="120"/>
      <c r="O417" s="98"/>
      <c r="P417" s="96"/>
    </row>
    <row r="418" spans="1:16" ht="16.5" customHeight="1" x14ac:dyDescent="0.25">
      <c r="A418" s="95"/>
      <c r="B418" s="116"/>
      <c r="C418" s="117"/>
      <c r="D418" s="117"/>
      <c r="E418" s="117"/>
      <c r="F418" s="117"/>
      <c r="G418" s="118"/>
      <c r="H418" s="118"/>
      <c r="I418" s="117"/>
      <c r="J418" s="116"/>
      <c r="K418" s="116"/>
      <c r="L418" s="119"/>
      <c r="M418" s="119"/>
      <c r="N418" s="120"/>
      <c r="O418" s="98"/>
      <c r="P418" s="96"/>
    </row>
    <row r="419" spans="1:16" ht="16.5" customHeight="1" x14ac:dyDescent="0.25">
      <c r="A419" s="95"/>
      <c r="B419" s="116"/>
      <c r="C419" s="117"/>
      <c r="D419" s="117"/>
      <c r="E419" s="117"/>
      <c r="F419" s="117"/>
      <c r="G419" s="118"/>
      <c r="H419" s="118"/>
      <c r="I419" s="117"/>
      <c r="J419" s="116"/>
      <c r="K419" s="116"/>
      <c r="L419" s="119"/>
      <c r="M419" s="119"/>
      <c r="N419" s="120"/>
      <c r="O419" s="98"/>
      <c r="P419" s="96"/>
    </row>
    <row r="420" spans="1:16" ht="16.5" customHeight="1" x14ac:dyDescent="0.25">
      <c r="A420" s="138"/>
      <c r="B420" s="116"/>
      <c r="C420" s="117"/>
      <c r="D420" s="117"/>
      <c r="E420" s="117"/>
      <c r="F420" s="117"/>
      <c r="G420" s="118"/>
      <c r="H420" s="118"/>
      <c r="I420" s="117"/>
      <c r="J420" s="116"/>
      <c r="K420" s="116"/>
      <c r="L420" s="119"/>
      <c r="M420" s="119"/>
      <c r="N420" s="120"/>
      <c r="O420" s="98"/>
      <c r="P420" s="96"/>
    </row>
    <row r="421" spans="1:16" ht="15.75" customHeight="1" x14ac:dyDescent="0.25">
      <c r="A421" s="95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6"/>
    </row>
    <row r="422" spans="1:16" ht="15" customHeight="1" x14ac:dyDescent="0.25">
      <c r="A422" s="103" t="s">
        <v>186</v>
      </c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6"/>
    </row>
    <row r="423" spans="1:16" ht="15.75" customHeight="1" x14ac:dyDescent="0.25">
      <c r="A423" s="95"/>
      <c r="B423" s="58" t="s">
        <v>10</v>
      </c>
      <c r="C423" s="58" t="s">
        <v>187</v>
      </c>
      <c r="D423" s="58" t="s">
        <v>188</v>
      </c>
      <c r="E423" s="58" t="s">
        <v>135</v>
      </c>
      <c r="F423" s="58" t="s">
        <v>189</v>
      </c>
      <c r="G423" s="58" t="s">
        <v>190</v>
      </c>
      <c r="H423" s="58" t="s">
        <v>191</v>
      </c>
      <c r="I423" s="58" t="s">
        <v>16</v>
      </c>
      <c r="J423" s="114" t="s">
        <v>17</v>
      </c>
      <c r="K423" s="114" t="s">
        <v>175</v>
      </c>
      <c r="L423" s="98"/>
      <c r="M423" s="98"/>
      <c r="N423" s="98"/>
      <c r="O423" s="98"/>
      <c r="P423" s="96"/>
    </row>
    <row r="424" spans="1:16" ht="16.5" customHeight="1" x14ac:dyDescent="0.25">
      <c r="A424" s="95"/>
      <c r="B424" s="116" t="s">
        <v>233</v>
      </c>
      <c r="C424" s="122" t="e">
        <f>IF(VLOOKUP(B424,'Gebouwgegevens Allacker'!$J$5:$Q$83,2,0)=$B$394,VLOOKUP(B424,'Gebouwgegevens Allacker'!$J$5:$Q$83,2,0),VLOOKUP(B424,'Gebouwgegevens Allacker'!$J$5:$Q$83,3,0))</f>
        <v>#N/A</v>
      </c>
      <c r="D424" s="122" t="e">
        <f>IF(VLOOKUP(B424,'Gebouwgegevens Allacker'!$J$5:$Q$83,2,0)=$B$394,VLOOKUP(B424,'Gebouwgegevens Allacker'!$J$5:$Q$83,3,0),VLOOKUP(B424,'Gebouwgegevens Allacker'!$J$5:$Q$83,2,0))</f>
        <v>#N/A</v>
      </c>
      <c r="E424" s="122" t="e">
        <f>VLOOKUP(B424,'Gebouwgegevens Allacker'!$J$5:$Q$83,4,0)</f>
        <v>#N/A</v>
      </c>
      <c r="F424" s="122" t="e">
        <f>VLOOKUP(B424,'Gebouwgegevens Allacker'!$J$5:$Q$83,5,0)</f>
        <v>#N/A</v>
      </c>
      <c r="G424" s="122" t="e">
        <f>VLOOKUP('Verwarming Allacker'!C424,'Gebouwgegevens Allacker'!$A$35:$F$46,5,0)</f>
        <v>#N/A</v>
      </c>
      <c r="H424" s="122" t="e">
        <f>VLOOKUP('Verwarming Allacker'!D424,'Gebouwgegevens Allacker'!$A$35:$F$46,5,0)</f>
        <v>#N/A</v>
      </c>
      <c r="I424" s="122" t="e">
        <f>VLOOKUP(B424,'Gebouwgegevens Allacker'!$J$5:$Q$83,7,0)</f>
        <v>#N/A</v>
      </c>
      <c r="J424" s="118" t="e">
        <f>VLOOKUP(B424,'Gebouwgegevens Allacker'!$J$5:$Q$83,8,0)</f>
        <v>#N/A</v>
      </c>
      <c r="K424" s="118" t="e">
        <f>(G424-H424)/(G424-$B$4)</f>
        <v>#N/A</v>
      </c>
      <c r="L424" s="98"/>
      <c r="M424" s="98"/>
      <c r="N424" s="98"/>
      <c r="O424" s="98"/>
      <c r="P424" s="96"/>
    </row>
    <row r="425" spans="1:16" ht="16.5" customHeight="1" x14ac:dyDescent="0.25">
      <c r="A425" s="95"/>
      <c r="B425" s="116" t="s">
        <v>237</v>
      </c>
      <c r="C425" s="122" t="e">
        <f>IF(VLOOKUP(B425,'Gebouwgegevens Allacker'!$J$5:$Q$83,2,0)=$B$394,VLOOKUP(B425,'Gebouwgegevens Allacker'!$J$5:$Q$83,2,0),VLOOKUP(B425,'Gebouwgegevens Allacker'!$J$5:$Q$83,3,0))</f>
        <v>#N/A</v>
      </c>
      <c r="D425" s="122" t="e">
        <f>IF(VLOOKUP(B425,'Gebouwgegevens Allacker'!$J$5:$Q$83,2,0)=$B$394,VLOOKUP(B425,'Gebouwgegevens Allacker'!$J$5:$Q$83,3,0),VLOOKUP(B425,'Gebouwgegevens Allacker'!$J$5:$Q$83,2,0))</f>
        <v>#N/A</v>
      </c>
      <c r="E425" s="122" t="e">
        <f>VLOOKUP(B425,'Gebouwgegevens Allacker'!$J$5:$Q$83,4,0)</f>
        <v>#N/A</v>
      </c>
      <c r="F425" s="122" t="e">
        <f>VLOOKUP(B425,'Gebouwgegevens Allacker'!$J$5:$Q$83,5,0)</f>
        <v>#N/A</v>
      </c>
      <c r="G425" s="122" t="e">
        <f>VLOOKUP('Verwarming Allacker'!C425,'Gebouwgegevens Allacker'!$A$35:$F$46,5,0)</f>
        <v>#N/A</v>
      </c>
      <c r="H425" s="122" t="e">
        <f>VLOOKUP('Verwarming Allacker'!D425,'Gebouwgegevens Allacker'!$A$35:$F$46,5,0)</f>
        <v>#N/A</v>
      </c>
      <c r="I425" s="122" t="e">
        <f>VLOOKUP(B425,'Gebouwgegevens Allacker'!$J$5:$Q$83,7,0)</f>
        <v>#N/A</v>
      </c>
      <c r="J425" s="118" t="e">
        <f>VLOOKUP(B425,'Gebouwgegevens Allacker'!$J$5:$Q$83,8,0)</f>
        <v>#N/A</v>
      </c>
      <c r="K425" s="118" t="e">
        <f>(G425-H425)/(G425-$B$4)</f>
        <v>#N/A</v>
      </c>
      <c r="L425" s="98"/>
      <c r="M425" s="98"/>
      <c r="N425" s="98"/>
      <c r="O425" s="98"/>
      <c r="P425" s="96"/>
    </row>
    <row r="426" spans="1:16" ht="16.5" customHeight="1" x14ac:dyDescent="0.25">
      <c r="A426" s="95"/>
      <c r="B426" s="116" t="s">
        <v>238</v>
      </c>
      <c r="C426" s="122" t="e">
        <f>IF(VLOOKUP(B426,'Gebouwgegevens Allacker'!$J$5:$Q$83,2,0)=$B$394,VLOOKUP(B426,'Gebouwgegevens Allacker'!$J$5:$Q$83,2,0),VLOOKUP(B426,'Gebouwgegevens Allacker'!$J$5:$Q$83,3,0))</f>
        <v>#N/A</v>
      </c>
      <c r="D426" s="122" t="e">
        <f>IF(VLOOKUP(B426,'Gebouwgegevens Allacker'!$J$5:$Q$83,2,0)=$B$394,VLOOKUP(B426,'Gebouwgegevens Allacker'!$J$5:$Q$83,3,0),VLOOKUP(B426,'Gebouwgegevens Allacker'!$J$5:$Q$83,2,0))</f>
        <v>#N/A</v>
      </c>
      <c r="E426" s="122" t="e">
        <f>VLOOKUP(B426,'Gebouwgegevens Allacker'!$J$5:$Q$83,4,0)</f>
        <v>#N/A</v>
      </c>
      <c r="F426" s="122" t="e">
        <f>VLOOKUP(B426,'Gebouwgegevens Allacker'!$J$5:$Q$83,5,0)</f>
        <v>#N/A</v>
      </c>
      <c r="G426" s="122" t="e">
        <f>VLOOKUP('Verwarming Allacker'!C426,'Gebouwgegevens Allacker'!$A$35:$F$46,5,0)</f>
        <v>#N/A</v>
      </c>
      <c r="H426" s="122" t="e">
        <f>VLOOKUP('Verwarming Allacker'!D426,'Gebouwgegevens Allacker'!$A$35:$F$46,5,0)</f>
        <v>#N/A</v>
      </c>
      <c r="I426" s="122" t="e">
        <f>VLOOKUP(B426,'Gebouwgegevens Allacker'!$J$5:$Q$83,7,0)</f>
        <v>#N/A</v>
      </c>
      <c r="J426" s="118" t="e">
        <f>VLOOKUP(B426,'Gebouwgegevens Allacker'!$J$5:$Q$83,8,0)</f>
        <v>#N/A</v>
      </c>
      <c r="K426" s="118" t="e">
        <f>(G426-H426)/(G426-$B$4)</f>
        <v>#N/A</v>
      </c>
      <c r="L426" s="98"/>
      <c r="M426" s="98"/>
      <c r="N426" s="98"/>
      <c r="O426" s="98"/>
      <c r="P426" s="96"/>
    </row>
    <row r="427" spans="1:16" ht="16.5" customHeight="1" x14ac:dyDescent="0.25">
      <c r="A427" s="95"/>
      <c r="B427" s="116" t="s">
        <v>239</v>
      </c>
      <c r="C427" s="122" t="e">
        <f>IF(VLOOKUP(B427,'Gebouwgegevens Allacker'!$J$5:$Q$83,2,0)=$B$394,VLOOKUP(B427,'Gebouwgegevens Allacker'!$J$5:$Q$83,2,0),VLOOKUP(B427,'Gebouwgegevens Allacker'!$J$5:$Q$83,3,0))</f>
        <v>#N/A</v>
      </c>
      <c r="D427" s="122" t="e">
        <f>IF(VLOOKUP(B427,'Gebouwgegevens Allacker'!$J$5:$Q$83,2,0)=$B$394,VLOOKUP(B427,'Gebouwgegevens Allacker'!$J$5:$Q$83,3,0),VLOOKUP(B427,'Gebouwgegevens Allacker'!$J$5:$Q$83,2,0))</f>
        <v>#N/A</v>
      </c>
      <c r="E427" s="122" t="e">
        <f>VLOOKUP(B427,'Gebouwgegevens Allacker'!$J$5:$Q$83,4,0)</f>
        <v>#N/A</v>
      </c>
      <c r="F427" s="122" t="e">
        <f>VLOOKUP(B427,'Gebouwgegevens Allacker'!$J$5:$Q$83,5,0)</f>
        <v>#N/A</v>
      </c>
      <c r="G427" s="122" t="e">
        <f>VLOOKUP('Verwarming Allacker'!C427,'Gebouwgegevens Allacker'!$A$35:$F$46,5,0)</f>
        <v>#N/A</v>
      </c>
      <c r="H427" s="122" t="e">
        <f>VLOOKUP('Verwarming Allacker'!D427,'Gebouwgegevens Allacker'!$A$35:$F$46,5,0)</f>
        <v>#N/A</v>
      </c>
      <c r="I427" s="122" t="e">
        <f>VLOOKUP(B427,'Gebouwgegevens Allacker'!$J$5:$Q$83,7,0)</f>
        <v>#N/A</v>
      </c>
      <c r="J427" s="118" t="e">
        <f>VLOOKUP(B427,'Gebouwgegevens Allacker'!$J$5:$Q$83,8,0)</f>
        <v>#N/A</v>
      </c>
      <c r="K427" s="118" t="e">
        <f>(G427-H427)/(G427-$B$4)</f>
        <v>#N/A</v>
      </c>
      <c r="L427" s="98"/>
      <c r="M427" s="98"/>
      <c r="N427" s="98"/>
      <c r="O427" s="98"/>
      <c r="P427" s="96"/>
    </row>
    <row r="428" spans="1:16" ht="16.5" customHeight="1" x14ac:dyDescent="0.25">
      <c r="A428" s="95"/>
      <c r="B428" s="145" t="s">
        <v>240</v>
      </c>
      <c r="C428" s="122" t="e">
        <f>IF(VLOOKUP(B428,'Gebouwgegevens Allacker'!$J$5:$Q$83,2,0)=$B$394,VLOOKUP(B428,'Gebouwgegevens Allacker'!$J$5:$Q$83,2,0),VLOOKUP(B428,'Gebouwgegevens Allacker'!$J$5:$Q$83,3,0))</f>
        <v>#N/A</v>
      </c>
      <c r="D428" s="122" t="e">
        <f>IF(VLOOKUP(B428,'Gebouwgegevens Allacker'!$J$5:$Q$83,2,0)=$B$394,VLOOKUP(B428,'Gebouwgegevens Allacker'!$J$5:$Q$83,3,0),VLOOKUP(B428,'Gebouwgegevens Allacker'!$J$5:$Q$83,2,0))</f>
        <v>#N/A</v>
      </c>
      <c r="E428" s="122" t="e">
        <f>VLOOKUP(B428,'Gebouwgegevens Allacker'!$J$5:$Q$83,4,0)</f>
        <v>#N/A</v>
      </c>
      <c r="F428" s="122" t="e">
        <f>VLOOKUP(B428,'Gebouwgegevens Allacker'!$J$5:$Q$83,5,0)</f>
        <v>#N/A</v>
      </c>
      <c r="G428" s="122" t="e">
        <f>VLOOKUP('Verwarming Allacker'!C428,'Gebouwgegevens Allacker'!$A$35:$F$46,5,0)</f>
        <v>#N/A</v>
      </c>
      <c r="H428" s="122" t="e">
        <f>VLOOKUP('Verwarming Allacker'!D428,'Gebouwgegevens Allacker'!$A$35:$F$46,5,0)</f>
        <v>#N/A</v>
      </c>
      <c r="I428" s="122" t="e">
        <f>VLOOKUP(B428,'Gebouwgegevens Allacker'!$J$5:$Q$83,7,0)</f>
        <v>#N/A</v>
      </c>
      <c r="J428" s="118" t="e">
        <f>VLOOKUP(B428,'Gebouwgegevens Allacker'!$J$5:$Q$83,8,0)</f>
        <v>#N/A</v>
      </c>
      <c r="K428" s="118" t="e">
        <f>(G428-H428)/(G428-$B$4)</f>
        <v>#N/A</v>
      </c>
      <c r="L428" s="98"/>
      <c r="M428" s="98"/>
      <c r="N428" s="98"/>
      <c r="O428" s="98"/>
      <c r="P428" s="96"/>
    </row>
    <row r="429" spans="1:16" ht="16.5" customHeight="1" x14ac:dyDescent="0.25">
      <c r="A429" s="95"/>
      <c r="B429" s="123"/>
      <c r="C429" s="139"/>
      <c r="D429" s="122"/>
      <c r="E429" s="122"/>
      <c r="F429" s="122"/>
      <c r="G429" s="122"/>
      <c r="H429" s="122"/>
      <c r="I429" s="122"/>
      <c r="J429" s="118"/>
      <c r="K429" s="118"/>
      <c r="L429" s="98"/>
      <c r="M429" s="98"/>
      <c r="N429" s="98"/>
      <c r="O429" s="98"/>
      <c r="P429" s="96"/>
    </row>
    <row r="430" spans="1:16" ht="16.5" customHeight="1" x14ac:dyDescent="0.25">
      <c r="A430" s="95"/>
      <c r="B430" s="123"/>
      <c r="C430" s="139"/>
      <c r="D430" s="122"/>
      <c r="E430" s="122"/>
      <c r="F430" s="122"/>
      <c r="G430" s="122"/>
      <c r="H430" s="122"/>
      <c r="I430" s="122"/>
      <c r="J430" s="118"/>
      <c r="K430" s="118"/>
      <c r="L430" s="98"/>
      <c r="M430" s="98"/>
      <c r="N430" s="98"/>
      <c r="O430" s="98"/>
      <c r="P430" s="96"/>
    </row>
    <row r="431" spans="1:16" ht="16.5" customHeight="1" x14ac:dyDescent="0.25">
      <c r="A431" s="95"/>
      <c r="B431" s="123"/>
      <c r="C431" s="139"/>
      <c r="D431" s="122"/>
      <c r="E431" s="122"/>
      <c r="F431" s="122"/>
      <c r="G431" s="122"/>
      <c r="H431" s="122"/>
      <c r="I431" s="122"/>
      <c r="J431" s="118"/>
      <c r="K431" s="118"/>
      <c r="L431" s="98"/>
      <c r="M431" s="98"/>
      <c r="N431" s="98"/>
      <c r="O431" s="98"/>
      <c r="P431" s="96"/>
    </row>
    <row r="432" spans="1:16" ht="16.5" customHeight="1" x14ac:dyDescent="0.25">
      <c r="A432" s="95"/>
      <c r="B432" s="123"/>
      <c r="C432" s="139"/>
      <c r="D432" s="122"/>
      <c r="E432" s="122"/>
      <c r="F432" s="122"/>
      <c r="G432" s="122"/>
      <c r="H432" s="122"/>
      <c r="I432" s="122"/>
      <c r="J432" s="118"/>
      <c r="K432" s="118"/>
      <c r="L432" s="98"/>
      <c r="M432" s="98"/>
      <c r="N432" s="98"/>
      <c r="O432" s="98"/>
      <c r="P432" s="96"/>
    </row>
    <row r="433" spans="1:16" ht="16.5" customHeight="1" x14ac:dyDescent="0.25">
      <c r="A433" s="95"/>
      <c r="B433" s="123"/>
      <c r="C433" s="139"/>
      <c r="D433" s="122"/>
      <c r="E433" s="122"/>
      <c r="F433" s="122"/>
      <c r="G433" s="122"/>
      <c r="H433" s="122"/>
      <c r="I433" s="122"/>
      <c r="J433" s="118"/>
      <c r="K433" s="118"/>
      <c r="L433" s="98"/>
      <c r="M433" s="98"/>
      <c r="N433" s="98"/>
      <c r="O433" s="98"/>
      <c r="P433" s="96"/>
    </row>
    <row r="434" spans="1:16" ht="15.75" customHeight="1" x14ac:dyDescent="0.25">
      <c r="A434" s="95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8"/>
      <c r="M434" s="98"/>
      <c r="N434" s="98"/>
      <c r="O434" s="98"/>
      <c r="P434" s="96"/>
    </row>
    <row r="435" spans="1:16" ht="15" customHeight="1" x14ac:dyDescent="0.25">
      <c r="A435" s="95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6"/>
    </row>
    <row r="436" spans="1:16" ht="15.75" customHeight="1" x14ac:dyDescent="0.25">
      <c r="A436" s="103" t="s">
        <v>192</v>
      </c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6"/>
    </row>
    <row r="437" spans="1:16" ht="16.5" customHeight="1" x14ac:dyDescent="0.25">
      <c r="A437" s="124" t="s">
        <v>193</v>
      </c>
      <c r="B437" s="118" t="e">
        <f>SUMPRODUCT(H400:H411,I400:I411)+SUMPRODUCT(G416:G420,H416:H420)+SUMPRODUCT(J424:J433,K424:K433)</f>
        <v>#N/A</v>
      </c>
      <c r="C437" s="118" t="s">
        <v>107</v>
      </c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6"/>
    </row>
    <row r="438" spans="1:16" ht="16.5" customHeight="1" x14ac:dyDescent="0.25">
      <c r="A438" s="124" t="s">
        <v>167</v>
      </c>
      <c r="B438" s="118" t="e">
        <f>B437*(G424-$B$4)</f>
        <v>#N/A</v>
      </c>
      <c r="C438" s="118" t="s">
        <v>169</v>
      </c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6"/>
    </row>
    <row r="439" spans="1:16" ht="15.75" customHeight="1" x14ac:dyDescent="0.25">
      <c r="A439" s="109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1"/>
    </row>
    <row r="440" spans="1:16" ht="15.75" customHeight="1" x14ac:dyDescent="0.25">
      <c r="A440" s="343" t="s">
        <v>194</v>
      </c>
      <c r="B440" s="343"/>
      <c r="C440" s="343"/>
      <c r="D440" s="125" t="s">
        <v>222</v>
      </c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94"/>
    </row>
    <row r="441" spans="1:16" ht="15" customHeight="1" x14ac:dyDescent="0.25">
      <c r="A441" s="95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6"/>
    </row>
    <row r="442" spans="1:16" ht="15" customHeight="1" x14ac:dyDescent="0.25">
      <c r="A442" s="126" t="s">
        <v>195</v>
      </c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6"/>
    </row>
    <row r="443" spans="1:16" ht="15" customHeight="1" x14ac:dyDescent="0.25">
      <c r="A443" s="127" t="s">
        <v>196</v>
      </c>
      <c r="B443" s="121">
        <v>8</v>
      </c>
      <c r="C443" s="120" t="s">
        <v>197</v>
      </c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6"/>
    </row>
    <row r="444" spans="1:16" ht="15" customHeight="1" x14ac:dyDescent="0.25">
      <c r="A444" s="127" t="s">
        <v>198</v>
      </c>
      <c r="B444" s="121">
        <v>0.03</v>
      </c>
      <c r="C444" s="120" t="s">
        <v>199</v>
      </c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6"/>
    </row>
    <row r="445" spans="1:16" ht="15.75" customHeight="1" x14ac:dyDescent="0.25">
      <c r="A445" s="127" t="s">
        <v>200</v>
      </c>
      <c r="B445" s="121">
        <v>1</v>
      </c>
      <c r="C445" s="120" t="s">
        <v>201</v>
      </c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6"/>
    </row>
    <row r="446" spans="1:16" ht="16.5" customHeight="1" x14ac:dyDescent="0.25">
      <c r="A446" s="124" t="s">
        <v>202</v>
      </c>
      <c r="B446" s="118" t="e">
        <f>2*VLOOKUP(B394,'Gebouwgegevens Allacker'!$A$35:$F$46,6,0)*B443*B444*B445</f>
        <v>#N/A</v>
      </c>
      <c r="C446" s="118" t="s">
        <v>203</v>
      </c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6"/>
    </row>
    <row r="447" spans="1:16" ht="15.75" customHeight="1" x14ac:dyDescent="0.25">
      <c r="A447" s="95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6"/>
    </row>
    <row r="448" spans="1:16" ht="15" customHeight="1" x14ac:dyDescent="0.25">
      <c r="A448" s="126" t="s">
        <v>204</v>
      </c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6"/>
    </row>
    <row r="449" spans="1:16" ht="15.75" customHeight="1" x14ac:dyDescent="0.25">
      <c r="A449" s="95" t="s">
        <v>180</v>
      </c>
      <c r="B449" s="98" t="e">
        <f>VLOOKUP(B394,'Gebouwgegevens Allacker'!$A$35:$F$46,6,0)</f>
        <v>#N/A</v>
      </c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6"/>
    </row>
    <row r="450" spans="1:16" ht="16.5" customHeight="1" x14ac:dyDescent="0.25">
      <c r="A450" s="124" t="s">
        <v>205</v>
      </c>
      <c r="B450" s="128" t="e">
        <f>B449*3.6</f>
        <v>#N/A</v>
      </c>
      <c r="C450" s="118" t="s">
        <v>203</v>
      </c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6"/>
    </row>
    <row r="451" spans="1:16" ht="15.75" customHeight="1" x14ac:dyDescent="0.25">
      <c r="A451" s="138"/>
      <c r="B451" s="58"/>
      <c r="C451" s="5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6"/>
    </row>
    <row r="452" spans="1:16" ht="15.75" customHeight="1" x14ac:dyDescent="0.25">
      <c r="A452" s="138"/>
      <c r="B452" s="58"/>
      <c r="C452" s="5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6"/>
    </row>
    <row r="453" spans="1:16" ht="16.5" customHeight="1" x14ac:dyDescent="0.25">
      <c r="A453" s="124" t="s">
        <v>207</v>
      </c>
      <c r="B453" s="118" t="e">
        <f>MAX(B446,B450)</f>
        <v>#N/A</v>
      </c>
      <c r="C453" s="118" t="s">
        <v>203</v>
      </c>
      <c r="D453" s="98"/>
      <c r="E453" s="98"/>
      <c r="F453" s="118" t="s">
        <v>208</v>
      </c>
      <c r="G453" s="118" t="e">
        <f>B453/VLOOKUP(B394,'Gebouwgegevens Allacker'!$A$35:$B$46,2,0)</f>
        <v>#N/A</v>
      </c>
      <c r="H453" s="98"/>
      <c r="I453" s="98"/>
      <c r="J453" s="98"/>
      <c r="K453" s="98"/>
      <c r="L453" s="98"/>
      <c r="M453" s="98"/>
      <c r="N453" s="98"/>
      <c r="O453" s="98"/>
      <c r="P453" s="96"/>
    </row>
    <row r="454" spans="1:16" ht="16.5" customHeight="1" x14ac:dyDescent="0.25">
      <c r="A454" s="138"/>
      <c r="B454" s="58"/>
      <c r="C454" s="5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6"/>
    </row>
    <row r="455" spans="1:16" ht="16.5" customHeight="1" x14ac:dyDescent="0.25">
      <c r="A455" s="124" t="s">
        <v>209</v>
      </c>
      <c r="B455" s="118" t="e">
        <f>0.34*B453</f>
        <v>#N/A</v>
      </c>
      <c r="C455" s="118" t="s">
        <v>107</v>
      </c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6"/>
    </row>
    <row r="456" spans="1:16" ht="16.5" customHeight="1" x14ac:dyDescent="0.25">
      <c r="A456" s="124" t="s">
        <v>167</v>
      </c>
      <c r="B456" s="118" t="e">
        <f>B455*('Gebouwgegevens Allacker'!E416-$B$4)</f>
        <v>#N/A</v>
      </c>
      <c r="C456" s="118" t="s">
        <v>169</v>
      </c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6"/>
    </row>
    <row r="457" spans="1:16" ht="15.75" customHeight="1" x14ac:dyDescent="0.25">
      <c r="A457" s="140"/>
      <c r="B457" s="141"/>
      <c r="C457" s="141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1"/>
    </row>
    <row r="458" spans="1:16" ht="15.75" customHeight="1" x14ac:dyDescent="0.25">
      <c r="A458" s="343" t="s">
        <v>210</v>
      </c>
      <c r="B458" s="343"/>
      <c r="C458" s="343"/>
      <c r="D458" s="343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6"/>
    </row>
    <row r="459" spans="1:16" ht="15" customHeight="1" x14ac:dyDescent="0.25">
      <c r="A459" s="95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6"/>
    </row>
    <row r="460" spans="1:16" ht="15" customHeight="1" x14ac:dyDescent="0.25">
      <c r="A460" s="127" t="s">
        <v>211</v>
      </c>
      <c r="B460" s="121">
        <v>22</v>
      </c>
      <c r="C460" s="58" t="s">
        <v>232</v>
      </c>
      <c r="D460" s="5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6"/>
    </row>
    <row r="461" spans="1:16" ht="15.75" customHeight="1" x14ac:dyDescent="0.25">
      <c r="A461" s="3" t="s">
        <v>113</v>
      </c>
      <c r="B461" s="58" t="e">
        <f>VLOOKUP(B394,'Gebouwgegevens Allacker'!$A$35:$F$46,6,0)</f>
        <v>#N/A</v>
      </c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6"/>
    </row>
    <row r="462" spans="1:16" ht="16.5" customHeight="1" x14ac:dyDescent="0.25">
      <c r="A462" s="124" t="s">
        <v>213</v>
      </c>
      <c r="B462" s="118" t="e">
        <f>B463/('Gebouwgegevens Allacker'!E416-'Verwarming Allacker'!$B$4)</f>
        <v>#N/A</v>
      </c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6"/>
    </row>
    <row r="463" spans="1:16" ht="16.5" customHeight="1" x14ac:dyDescent="0.25">
      <c r="A463" s="124" t="s">
        <v>167</v>
      </c>
      <c r="B463" s="118" t="e">
        <f>B460*B461</f>
        <v>#N/A</v>
      </c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6"/>
    </row>
    <row r="464" spans="1:16" ht="15.75" customHeight="1" x14ac:dyDescent="0.25">
      <c r="A464" s="95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6"/>
    </row>
    <row r="465" spans="1:16" ht="15.75" customHeight="1" x14ac:dyDescent="0.25">
      <c r="A465" s="95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6"/>
    </row>
    <row r="466" spans="1:16" ht="15.75" customHeight="1" x14ac:dyDescent="0.25">
      <c r="A466" s="129" t="s">
        <v>214</v>
      </c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1"/>
    </row>
    <row r="467" spans="1:16" ht="16.5" customHeight="1" x14ac:dyDescent="0.25">
      <c r="A467" s="124" t="s">
        <v>215</v>
      </c>
      <c r="B467" s="118" t="e">
        <f>SUM(B437,B455,B462)</f>
        <v>#N/A</v>
      </c>
      <c r="C467" s="118" t="s">
        <v>107</v>
      </c>
      <c r="D467" s="132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  <c r="O467" s="132"/>
      <c r="P467" s="133"/>
    </row>
    <row r="468" spans="1:16" ht="16.5" customHeight="1" x14ac:dyDescent="0.25">
      <c r="A468" s="124" t="s">
        <v>167</v>
      </c>
      <c r="B468" s="118" t="e">
        <f>SUM(B438,B456,B463)</f>
        <v>#N/A</v>
      </c>
      <c r="C468" s="118" t="s">
        <v>169</v>
      </c>
      <c r="D468" s="132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  <c r="O468" s="132"/>
      <c r="P468" s="133"/>
    </row>
    <row r="469" spans="1:16" ht="16.5" customHeight="1" x14ac:dyDescent="0.25">
      <c r="A469" s="134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6"/>
    </row>
    <row r="470" spans="1:16" ht="15.75" customHeight="1" x14ac:dyDescent="0.25">
      <c r="A470" s="137"/>
      <c r="B470" s="137"/>
      <c r="C470" s="137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</row>
    <row r="471" spans="1:16" ht="15" customHeight="1" x14ac:dyDescent="0.25">
      <c r="A471" s="93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94"/>
    </row>
    <row r="472" spans="1:16" ht="17.25" customHeight="1" x14ac:dyDescent="0.3">
      <c r="A472" s="97" t="s">
        <v>166</v>
      </c>
      <c r="B472" s="92">
        <v>7</v>
      </c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6"/>
    </row>
    <row r="473" spans="1:16" ht="15.75" customHeight="1" x14ac:dyDescent="0.25">
      <c r="A473" s="343" t="s">
        <v>168</v>
      </c>
      <c r="B473" s="343"/>
      <c r="C473" s="343"/>
      <c r="D473" s="343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94"/>
    </row>
    <row r="474" spans="1:16" ht="15" customHeight="1" x14ac:dyDescent="0.25">
      <c r="A474" s="95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6"/>
    </row>
    <row r="475" spans="1:16" ht="15" customHeight="1" x14ac:dyDescent="0.25">
      <c r="A475" s="103" t="s">
        <v>170</v>
      </c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6"/>
    </row>
    <row r="476" spans="1:16" ht="15" customHeight="1" x14ac:dyDescent="0.25">
      <c r="A476" s="95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6"/>
    </row>
    <row r="477" spans="1:16" ht="15.75" customHeight="1" x14ac:dyDescent="0.25">
      <c r="A477" s="95"/>
      <c r="B477" s="104" t="s">
        <v>10</v>
      </c>
      <c r="C477" s="104" t="s">
        <v>171</v>
      </c>
      <c r="D477" s="104" t="s">
        <v>172</v>
      </c>
      <c r="E477" s="104" t="s">
        <v>173</v>
      </c>
      <c r="F477" s="104" t="s">
        <v>174</v>
      </c>
      <c r="G477" s="104" t="s">
        <v>16</v>
      </c>
      <c r="H477" s="105" t="s">
        <v>17</v>
      </c>
      <c r="I477" s="105" t="s">
        <v>175</v>
      </c>
      <c r="J477" s="98"/>
      <c r="K477" s="98"/>
      <c r="L477" s="98"/>
      <c r="M477" s="98"/>
      <c r="N477" s="98"/>
      <c r="O477" s="98"/>
      <c r="P477" s="96"/>
    </row>
    <row r="478" spans="1:16" ht="16.5" customHeight="1" x14ac:dyDescent="0.25">
      <c r="A478" s="95"/>
      <c r="B478" s="106" t="s">
        <v>102</v>
      </c>
      <c r="C478" s="107">
        <f>VLOOKUP(B478,'Gebouwgegevens Allacker'!$J$5:$Q$83,3,0)</f>
        <v>2</v>
      </c>
      <c r="D478" s="107" t="str">
        <f>VLOOKUP(B478,'Gebouwgegevens Allacker'!$J$5:$Q$83,4,0)</f>
        <v>Wall internal</v>
      </c>
      <c r="E478" s="107">
        <f>VLOOKUP(B478,'Gebouwgegevens Allacker'!$J$5:$Q$83,5,0)</f>
        <v>14.24</v>
      </c>
      <c r="F478" s="107">
        <f>VLOOKUP(B478,'Gebouwgegevens Allacker'!$J$5:$Q$83,6,0)</f>
        <v>0</v>
      </c>
      <c r="G478" s="107">
        <f>VLOOKUP(B478,'Gebouwgegevens Allacker'!$J$5:$Q$83,7,0)</f>
        <v>1.9926199261992623</v>
      </c>
      <c r="H478" s="108">
        <f>VLOOKUP(B478,'Gebouwgegevens Allacker'!$J$5:$Q$83,8,0)</f>
        <v>28.374907749077497</v>
      </c>
      <c r="I478" s="108">
        <v>1</v>
      </c>
      <c r="J478" s="98"/>
      <c r="K478" s="98"/>
      <c r="L478" s="98"/>
      <c r="M478" s="98"/>
      <c r="N478" s="98"/>
      <c r="O478" s="98"/>
      <c r="P478" s="96"/>
    </row>
    <row r="479" spans="1:16" ht="16.5" customHeight="1" x14ac:dyDescent="0.25">
      <c r="A479" s="95"/>
      <c r="B479" s="106" t="s">
        <v>102</v>
      </c>
      <c r="C479" s="107">
        <f>VLOOKUP(B479,'Gebouwgegevens Allacker'!$J$5:$Q$83,3,0)</f>
        <v>2</v>
      </c>
      <c r="D479" s="107" t="str">
        <f>VLOOKUP(B479,'Gebouwgegevens Allacker'!$J$5:$Q$83,4,0)</f>
        <v>Wall internal</v>
      </c>
      <c r="E479" s="107">
        <f>VLOOKUP(B479,'Gebouwgegevens Allacker'!$J$5:$Q$83,5,0)</f>
        <v>14.24</v>
      </c>
      <c r="F479" s="107">
        <f>VLOOKUP(B479,'Gebouwgegevens Allacker'!$J$5:$Q$83,6,0)</f>
        <v>0</v>
      </c>
      <c r="G479" s="107">
        <f>VLOOKUP(B479,'Gebouwgegevens Allacker'!$J$5:$Q$83,7,0)</f>
        <v>1.9926199261992623</v>
      </c>
      <c r="H479" s="108">
        <f>VLOOKUP(B479,'Gebouwgegevens Allacker'!$J$5:$Q$83,8,0)</f>
        <v>28.374907749077497</v>
      </c>
      <c r="I479" s="108">
        <v>1</v>
      </c>
      <c r="J479" s="98"/>
      <c r="K479" s="98"/>
      <c r="L479" s="98"/>
      <c r="M479" s="98"/>
      <c r="N479" s="98"/>
      <c r="O479" s="98"/>
      <c r="P479" s="96"/>
    </row>
    <row r="480" spans="1:16" ht="16.5" customHeight="1" x14ac:dyDescent="0.25">
      <c r="A480" s="95"/>
      <c r="B480" s="106" t="s">
        <v>241</v>
      </c>
      <c r="C480" s="107" t="e">
        <f>VLOOKUP(B480,'Gebouwgegevens Allacker'!$J$5:$Q$83,3,0)</f>
        <v>#N/A</v>
      </c>
      <c r="D480" s="107" t="e">
        <f>VLOOKUP(B480,'Gebouwgegevens Allacker'!$J$5:$Q$83,4,0)</f>
        <v>#N/A</v>
      </c>
      <c r="E480" s="107" t="e">
        <f>VLOOKUP(B480,'Gebouwgegevens Allacker'!$J$5:$Q$83,5,0)</f>
        <v>#N/A</v>
      </c>
      <c r="F480" s="107" t="e">
        <f>VLOOKUP(B480,'Gebouwgegevens Allacker'!$J$5:$Q$83,6,0)</f>
        <v>#N/A</v>
      </c>
      <c r="G480" s="107" t="e">
        <f>VLOOKUP(B480,'Gebouwgegevens Allacker'!$J$5:$Q$83,7,0)</f>
        <v>#N/A</v>
      </c>
      <c r="H480" s="108" t="e">
        <f>VLOOKUP(B480,'Gebouwgegevens Allacker'!$J$5:$Q$83,8,0)</f>
        <v>#N/A</v>
      </c>
      <c r="I480" s="108">
        <v>1</v>
      </c>
      <c r="J480" s="98"/>
      <c r="K480" s="98"/>
      <c r="L480" s="98"/>
      <c r="M480" s="98"/>
      <c r="N480" s="98"/>
      <c r="O480" s="98"/>
      <c r="P480" s="96"/>
    </row>
    <row r="481" spans="1:16" ht="16.5" customHeight="1" x14ac:dyDescent="0.25">
      <c r="A481" s="95"/>
      <c r="B481" s="106" t="s">
        <v>242</v>
      </c>
      <c r="C481" s="107" t="e">
        <f>VLOOKUP(B481,'Gebouwgegevens Allacker'!$J$5:$Q$83,3,0)</f>
        <v>#N/A</v>
      </c>
      <c r="D481" s="107" t="e">
        <f>VLOOKUP(B481,'Gebouwgegevens Allacker'!$J$5:$Q$83,4,0)</f>
        <v>#N/A</v>
      </c>
      <c r="E481" s="107" t="e">
        <f>VLOOKUP(B481,'Gebouwgegevens Allacker'!$J$5:$Q$83,5,0)</f>
        <v>#N/A</v>
      </c>
      <c r="F481" s="107" t="e">
        <f>VLOOKUP(B481,'Gebouwgegevens Allacker'!$J$5:$Q$83,6,0)</f>
        <v>#N/A</v>
      </c>
      <c r="G481" s="107" t="e">
        <f>VLOOKUP(B481,'Gebouwgegevens Allacker'!$J$5:$Q$83,7,0)</f>
        <v>#N/A</v>
      </c>
      <c r="H481" s="108" t="e">
        <f>VLOOKUP(B481,'Gebouwgegevens Allacker'!$J$5:$Q$83,8,0)</f>
        <v>#N/A</v>
      </c>
      <c r="I481" s="108">
        <v>1</v>
      </c>
      <c r="J481" s="98"/>
      <c r="K481" s="98"/>
      <c r="L481" s="98"/>
      <c r="M481" s="98"/>
      <c r="N481" s="98"/>
      <c r="O481" s="98"/>
      <c r="P481" s="96"/>
    </row>
    <row r="482" spans="1:16" ht="16.5" customHeight="1" x14ac:dyDescent="0.25">
      <c r="A482" s="95"/>
      <c r="B482" s="106" t="s">
        <v>243</v>
      </c>
      <c r="C482" s="107" t="e">
        <f>VLOOKUP(B482,'Gebouwgegevens Allacker'!$J$5:$Q$83,3,0)</f>
        <v>#N/A</v>
      </c>
      <c r="D482" s="107" t="e">
        <f>VLOOKUP(B482,'Gebouwgegevens Allacker'!$J$5:$Q$83,4,0)</f>
        <v>#N/A</v>
      </c>
      <c r="E482" s="107" t="e">
        <f>VLOOKUP(B482,'Gebouwgegevens Allacker'!$J$5:$Q$83,5,0)</f>
        <v>#N/A</v>
      </c>
      <c r="F482" s="107" t="e">
        <f>VLOOKUP(B482,'Gebouwgegevens Allacker'!$J$5:$Q$83,6,0)</f>
        <v>#N/A</v>
      </c>
      <c r="G482" s="107" t="e">
        <f>VLOOKUP(B482,'Gebouwgegevens Allacker'!$J$5:$Q$83,7,0)</f>
        <v>#N/A</v>
      </c>
      <c r="H482" s="108" t="e">
        <f>VLOOKUP(B482,'Gebouwgegevens Allacker'!$J$5:$Q$83,8,0)</f>
        <v>#N/A</v>
      </c>
      <c r="I482" s="108">
        <v>1</v>
      </c>
      <c r="J482" s="98"/>
      <c r="K482" s="98"/>
      <c r="L482" s="98"/>
      <c r="M482" s="98"/>
      <c r="N482" s="98"/>
      <c r="O482" s="98"/>
      <c r="P482" s="96"/>
    </row>
    <row r="483" spans="1:16" ht="16.5" customHeight="1" x14ac:dyDescent="0.25">
      <c r="A483" s="95"/>
      <c r="B483" s="106" t="s">
        <v>244</v>
      </c>
      <c r="C483" s="107" t="e">
        <f>VLOOKUP(B483,'Gebouwgegevens Allacker'!$J$5:$Q$83,3,0)</f>
        <v>#N/A</v>
      </c>
      <c r="D483" s="107" t="e">
        <f>VLOOKUP(B483,'Gebouwgegevens Allacker'!$J$5:$Q$83,4,0)</f>
        <v>#N/A</v>
      </c>
      <c r="E483" s="107" t="e">
        <f>VLOOKUP(B483,'Gebouwgegevens Allacker'!$J$5:$Q$83,5,0)</f>
        <v>#N/A</v>
      </c>
      <c r="F483" s="107" t="e">
        <f>VLOOKUP(B483,'Gebouwgegevens Allacker'!$J$5:$Q$83,6,0)</f>
        <v>#N/A</v>
      </c>
      <c r="G483" s="107" t="e">
        <f>VLOOKUP(B483,'Gebouwgegevens Allacker'!$J$5:$Q$83,7,0)</f>
        <v>#N/A</v>
      </c>
      <c r="H483" s="108" t="e">
        <f>VLOOKUP(B483,'Gebouwgegevens Allacker'!$J$5:$Q$83,8,0)</f>
        <v>#N/A</v>
      </c>
      <c r="I483" s="108">
        <v>1</v>
      </c>
      <c r="J483" s="98"/>
      <c r="K483" s="98"/>
      <c r="L483" s="98"/>
      <c r="M483" s="98"/>
      <c r="N483" s="98"/>
      <c r="O483" s="98"/>
      <c r="P483" s="96"/>
    </row>
    <row r="484" spans="1:16" ht="16.5" customHeight="1" x14ac:dyDescent="0.25">
      <c r="A484" s="95"/>
      <c r="B484" s="106"/>
      <c r="C484" s="107"/>
      <c r="D484" s="107"/>
      <c r="E484" s="107"/>
      <c r="F484" s="107"/>
      <c r="G484" s="107"/>
      <c r="H484" s="108"/>
      <c r="I484" s="108"/>
      <c r="J484" s="98"/>
      <c r="K484" s="98"/>
      <c r="L484" s="98"/>
      <c r="M484" s="98"/>
      <c r="N484" s="98"/>
      <c r="O484" s="98"/>
      <c r="P484" s="96"/>
    </row>
    <row r="485" spans="1:16" ht="16.5" customHeight="1" x14ac:dyDescent="0.25">
      <c r="A485" s="95"/>
      <c r="B485" s="106"/>
      <c r="C485" s="107"/>
      <c r="D485" s="107"/>
      <c r="E485" s="107"/>
      <c r="F485" s="107"/>
      <c r="G485" s="107"/>
      <c r="H485" s="108"/>
      <c r="I485" s="108"/>
      <c r="J485" s="98"/>
      <c r="K485" s="98"/>
      <c r="L485" s="98"/>
      <c r="M485" s="98"/>
      <c r="N485" s="98"/>
      <c r="O485" s="98"/>
      <c r="P485" s="96"/>
    </row>
    <row r="486" spans="1:16" ht="16.5" customHeight="1" x14ac:dyDescent="0.25">
      <c r="A486" s="95"/>
      <c r="B486" s="106"/>
      <c r="C486" s="107"/>
      <c r="D486" s="107"/>
      <c r="E486" s="107"/>
      <c r="F486" s="107"/>
      <c r="G486" s="107"/>
      <c r="H486" s="108"/>
      <c r="I486" s="108"/>
      <c r="J486" s="98"/>
      <c r="K486" s="98"/>
      <c r="L486" s="98"/>
      <c r="M486" s="98"/>
      <c r="N486" s="98"/>
      <c r="O486" s="98"/>
      <c r="P486" s="96"/>
    </row>
    <row r="487" spans="1:16" ht="16.5" customHeight="1" x14ac:dyDescent="0.25">
      <c r="A487" s="95"/>
      <c r="B487" s="106"/>
      <c r="C487" s="107"/>
      <c r="D487" s="107"/>
      <c r="E487" s="107"/>
      <c r="F487" s="107"/>
      <c r="G487" s="107"/>
      <c r="H487" s="108"/>
      <c r="I487" s="108"/>
      <c r="J487" s="98"/>
      <c r="K487" s="98"/>
      <c r="L487" s="98"/>
      <c r="M487" s="98"/>
      <c r="N487" s="98"/>
      <c r="O487" s="98"/>
      <c r="P487" s="96"/>
    </row>
    <row r="488" spans="1:16" ht="16.5" customHeight="1" x14ac:dyDescent="0.25">
      <c r="A488" s="95"/>
      <c r="B488" s="106"/>
      <c r="C488" s="107"/>
      <c r="D488" s="107"/>
      <c r="E488" s="107"/>
      <c r="F488" s="107"/>
      <c r="G488" s="107"/>
      <c r="H488" s="108"/>
      <c r="I488" s="108"/>
      <c r="J488" s="98"/>
      <c r="K488" s="98"/>
      <c r="L488" s="98"/>
      <c r="M488" s="98"/>
      <c r="N488" s="98"/>
      <c r="O488" s="98"/>
      <c r="P488" s="96"/>
    </row>
    <row r="489" spans="1:16" ht="16.5" customHeight="1" x14ac:dyDescent="0.25">
      <c r="A489" s="95"/>
      <c r="B489" s="106"/>
      <c r="C489" s="107"/>
      <c r="D489" s="107"/>
      <c r="E489" s="107"/>
      <c r="F489" s="107"/>
      <c r="G489" s="107"/>
      <c r="H489" s="108"/>
      <c r="I489" s="108"/>
      <c r="J489" s="98"/>
      <c r="K489" s="98"/>
      <c r="L489" s="98"/>
      <c r="M489" s="98"/>
      <c r="N489" s="98"/>
      <c r="O489" s="98"/>
      <c r="P489" s="96"/>
    </row>
    <row r="490" spans="1:16" ht="15.75" customHeight="1" x14ac:dyDescent="0.25">
      <c r="A490" s="95"/>
      <c r="B490" s="58"/>
      <c r="C490" s="58"/>
      <c r="D490" s="58"/>
      <c r="E490" s="58"/>
      <c r="F490" s="58"/>
      <c r="G490" s="114"/>
      <c r="H490" s="58"/>
      <c r="I490" s="58"/>
      <c r="J490" s="98"/>
      <c r="K490" s="98"/>
      <c r="L490" s="98"/>
      <c r="M490" s="98"/>
      <c r="N490" s="98"/>
      <c r="O490" s="98"/>
      <c r="P490" s="96"/>
    </row>
    <row r="491" spans="1:16" ht="15" customHeight="1" x14ac:dyDescent="0.25">
      <c r="A491" s="95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6"/>
    </row>
    <row r="492" spans="1:16" ht="15" customHeight="1" x14ac:dyDescent="0.25">
      <c r="A492" s="103" t="s">
        <v>177</v>
      </c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6"/>
    </row>
    <row r="493" spans="1:16" ht="15.75" customHeight="1" x14ac:dyDescent="0.25">
      <c r="A493" s="95"/>
      <c r="B493" s="58" t="s">
        <v>10</v>
      </c>
      <c r="C493" s="58" t="s">
        <v>178</v>
      </c>
      <c r="D493" s="58" t="s">
        <v>172</v>
      </c>
      <c r="E493" s="58" t="s">
        <v>179</v>
      </c>
      <c r="F493" s="58" t="s">
        <v>16</v>
      </c>
      <c r="G493" s="114" t="s">
        <v>17</v>
      </c>
      <c r="H493" s="114" t="s">
        <v>175</v>
      </c>
      <c r="I493" s="58" t="s">
        <v>180</v>
      </c>
      <c r="J493" s="58" t="s">
        <v>181</v>
      </c>
      <c r="K493" s="58" t="s">
        <v>182</v>
      </c>
      <c r="L493" s="115" t="s">
        <v>183</v>
      </c>
      <c r="M493" s="115" t="s">
        <v>184</v>
      </c>
      <c r="N493" s="115" t="s">
        <v>185</v>
      </c>
      <c r="O493" s="98"/>
      <c r="P493" s="96"/>
    </row>
    <row r="494" spans="1:16" ht="16.5" customHeight="1" x14ac:dyDescent="0.25">
      <c r="A494" s="95"/>
      <c r="B494" s="116"/>
      <c r="C494" s="117"/>
      <c r="D494" s="117"/>
      <c r="E494" s="117"/>
      <c r="F494" s="117"/>
      <c r="G494" s="118"/>
      <c r="H494" s="118"/>
      <c r="I494" s="117"/>
      <c r="J494" s="116"/>
      <c r="K494" s="116"/>
      <c r="L494" s="119"/>
      <c r="M494" s="119"/>
      <c r="N494" s="120"/>
      <c r="O494" s="98"/>
      <c r="P494" s="96"/>
    </row>
    <row r="495" spans="1:16" ht="16.5" customHeight="1" x14ac:dyDescent="0.25">
      <c r="A495" s="95"/>
      <c r="B495" s="116"/>
      <c r="C495" s="117"/>
      <c r="D495" s="117"/>
      <c r="E495" s="117"/>
      <c r="F495" s="117"/>
      <c r="G495" s="118"/>
      <c r="H495" s="118"/>
      <c r="I495" s="117"/>
      <c r="J495" s="116"/>
      <c r="K495" s="116"/>
      <c r="L495" s="119"/>
      <c r="M495" s="119"/>
      <c r="N495" s="120"/>
      <c r="O495" s="98"/>
      <c r="P495" s="96"/>
    </row>
    <row r="496" spans="1:16" ht="16.5" customHeight="1" x14ac:dyDescent="0.25">
      <c r="A496" s="95"/>
      <c r="B496" s="116"/>
      <c r="C496" s="117"/>
      <c r="D496" s="117"/>
      <c r="E496" s="117"/>
      <c r="F496" s="117"/>
      <c r="G496" s="118"/>
      <c r="H496" s="118"/>
      <c r="I496" s="117"/>
      <c r="J496" s="116"/>
      <c r="K496" s="116"/>
      <c r="L496" s="119"/>
      <c r="M496" s="119"/>
      <c r="N496" s="120"/>
      <c r="O496" s="98"/>
      <c r="P496" s="96"/>
    </row>
    <row r="497" spans="1:16" ht="16.5" customHeight="1" x14ac:dyDescent="0.25">
      <c r="A497" s="95"/>
      <c r="B497" s="116"/>
      <c r="C497" s="117"/>
      <c r="D497" s="117"/>
      <c r="E497" s="117"/>
      <c r="F497" s="117"/>
      <c r="G497" s="118"/>
      <c r="H497" s="118"/>
      <c r="I497" s="117"/>
      <c r="J497" s="116"/>
      <c r="K497" s="116"/>
      <c r="L497" s="119"/>
      <c r="M497" s="119"/>
      <c r="N497" s="120"/>
      <c r="O497" s="98"/>
      <c r="P497" s="96"/>
    </row>
    <row r="498" spans="1:16" ht="16.5" customHeight="1" x14ac:dyDescent="0.25">
      <c r="A498" s="138"/>
      <c r="B498" s="116"/>
      <c r="C498" s="117"/>
      <c r="D498" s="117"/>
      <c r="E498" s="117"/>
      <c r="F498" s="117"/>
      <c r="G498" s="118"/>
      <c r="H498" s="118"/>
      <c r="I498" s="117"/>
      <c r="J498" s="116"/>
      <c r="K498" s="116"/>
      <c r="L498" s="119"/>
      <c r="M498" s="119"/>
      <c r="N498" s="120"/>
      <c r="O498" s="98"/>
      <c r="P498" s="96"/>
    </row>
    <row r="499" spans="1:16" ht="15.75" customHeight="1" x14ac:dyDescent="0.25">
      <c r="A499" s="95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6"/>
    </row>
    <row r="500" spans="1:16" ht="15" customHeight="1" x14ac:dyDescent="0.25">
      <c r="A500" s="103" t="s">
        <v>186</v>
      </c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6"/>
    </row>
    <row r="501" spans="1:16" ht="15.75" customHeight="1" x14ac:dyDescent="0.25">
      <c r="A501" s="95"/>
      <c r="B501" s="58" t="s">
        <v>10</v>
      </c>
      <c r="C501" s="58" t="s">
        <v>187</v>
      </c>
      <c r="D501" s="58" t="s">
        <v>188</v>
      </c>
      <c r="E501" s="58" t="s">
        <v>135</v>
      </c>
      <c r="F501" s="58" t="s">
        <v>189</v>
      </c>
      <c r="G501" s="58" t="s">
        <v>190</v>
      </c>
      <c r="H501" s="58" t="s">
        <v>191</v>
      </c>
      <c r="I501" s="58" t="s">
        <v>16</v>
      </c>
      <c r="J501" s="114" t="s">
        <v>17</v>
      </c>
      <c r="K501" s="114" t="s">
        <v>175</v>
      </c>
      <c r="L501" s="98"/>
      <c r="M501" s="98"/>
      <c r="N501" s="98"/>
      <c r="O501" s="98"/>
      <c r="P501" s="96"/>
    </row>
    <row r="502" spans="1:16" ht="16.5" customHeight="1" x14ac:dyDescent="0.25">
      <c r="A502" s="95"/>
      <c r="B502" s="116" t="s">
        <v>237</v>
      </c>
      <c r="C502" s="122" t="e">
        <f>IF(VLOOKUP(B502,'Gebouwgegevens Allacker'!$J$5:$Q$83,2,0)=$B$472,VLOOKUP(B502,'Gebouwgegevens Allacker'!$J$5:$Q$83,2,0),VLOOKUP(B502,'Gebouwgegevens Allacker'!$J$5:$Q$83,3,0))</f>
        <v>#N/A</v>
      </c>
      <c r="D502" s="122" t="e">
        <f>IF(VLOOKUP(B502,'Gebouwgegevens Allacker'!$J$5:$Q$83,2,0)=$B$472,VLOOKUP(B502,'Gebouwgegevens Allacker'!$J$5:$Q$83,3,0),VLOOKUP(B502,'Gebouwgegevens Allacker'!$J$5:$Q$83,2,0))</f>
        <v>#N/A</v>
      </c>
      <c r="E502" s="122" t="e">
        <f>VLOOKUP(B502,'Gebouwgegevens Allacker'!$J$5:$Q$83,4,0)</f>
        <v>#N/A</v>
      </c>
      <c r="F502" s="122" t="e">
        <f>VLOOKUP(B502,'Gebouwgegevens Allacker'!$J$5:$Q$83,5,0)</f>
        <v>#N/A</v>
      </c>
      <c r="G502" s="122" t="e">
        <f>VLOOKUP('Verwarming Allacker'!C502,'Gebouwgegevens Allacker'!$A$35:$F$46,5,0)</f>
        <v>#N/A</v>
      </c>
      <c r="H502" s="122" t="e">
        <f>VLOOKUP('Verwarming Allacker'!D502,'Gebouwgegevens Allacker'!$A$35:$F$46,5,0)</f>
        <v>#N/A</v>
      </c>
      <c r="I502" s="122" t="e">
        <f>VLOOKUP(B502,'Gebouwgegevens Allacker'!$J$5:$Q$83,7,0)</f>
        <v>#N/A</v>
      </c>
      <c r="J502" s="118" t="e">
        <f>VLOOKUP(B502,'Gebouwgegevens Allacker'!$J$5:$Q$83,8,0)</f>
        <v>#N/A</v>
      </c>
      <c r="K502" s="118" t="e">
        <f>(G502-H502)/(G502-$B$4)</f>
        <v>#N/A</v>
      </c>
      <c r="L502" s="98"/>
      <c r="M502" s="98"/>
      <c r="N502" s="98"/>
      <c r="O502" s="98"/>
      <c r="P502" s="96"/>
    </row>
    <row r="503" spans="1:16" ht="16.5" customHeight="1" x14ac:dyDescent="0.25">
      <c r="A503" s="95"/>
      <c r="B503" s="116" t="s">
        <v>221</v>
      </c>
      <c r="C503" s="122" t="e">
        <f>IF(VLOOKUP(B503,'Gebouwgegevens Allacker'!$J$5:$Q$83,2,0)=$B$472,VLOOKUP(B503,'Gebouwgegevens Allacker'!$J$5:$Q$83,2,0),VLOOKUP(B503,'Gebouwgegevens Allacker'!$J$5:$Q$83,3,0))</f>
        <v>#N/A</v>
      </c>
      <c r="D503" s="122" t="e">
        <f>IF(VLOOKUP(B503,'Gebouwgegevens Allacker'!$J$5:$Q$83,2,0)=$B$472,VLOOKUP(B503,'Gebouwgegevens Allacker'!$J$5:$Q$83,3,0),VLOOKUP(B503,'Gebouwgegevens Allacker'!$J$5:$Q$83,2,0))</f>
        <v>#N/A</v>
      </c>
      <c r="E503" s="122" t="e">
        <f>VLOOKUP(B503,'Gebouwgegevens Allacker'!$J$5:$Q$83,4,0)</f>
        <v>#N/A</v>
      </c>
      <c r="F503" s="122" t="e">
        <f>VLOOKUP(B503,'Gebouwgegevens Allacker'!$J$5:$Q$83,5,0)</f>
        <v>#N/A</v>
      </c>
      <c r="G503" s="122" t="e">
        <f>VLOOKUP('Verwarming Allacker'!C503,'Gebouwgegevens Allacker'!$A$35:$F$46,5,0)</f>
        <v>#N/A</v>
      </c>
      <c r="H503" s="122" t="e">
        <f>VLOOKUP('Verwarming Allacker'!D503,'Gebouwgegevens Allacker'!$A$35:$F$46,5,0)</f>
        <v>#N/A</v>
      </c>
      <c r="I503" s="122" t="e">
        <f>VLOOKUP(B503,'Gebouwgegevens Allacker'!$J$5:$Q$83,7,0)</f>
        <v>#N/A</v>
      </c>
      <c r="J503" s="118" t="e">
        <f>VLOOKUP(B503,'Gebouwgegevens Allacker'!$J$5:$Q$83,8,0)</f>
        <v>#N/A</v>
      </c>
      <c r="K503" s="118" t="e">
        <f>(G503-H503)/(G503-$B$4)</f>
        <v>#N/A</v>
      </c>
      <c r="L503" s="98"/>
      <c r="M503" s="98"/>
      <c r="N503" s="98"/>
      <c r="O503" s="98"/>
      <c r="P503" s="96"/>
    </row>
    <row r="504" spans="1:16" ht="16.5" customHeight="1" x14ac:dyDescent="0.25">
      <c r="A504" s="95"/>
      <c r="B504" s="116" t="s">
        <v>245</v>
      </c>
      <c r="C504" s="122" t="e">
        <f>IF(VLOOKUP(B504,'Gebouwgegevens Allacker'!$J$5:$Q$83,2,0)=$B$472,VLOOKUP(B504,'Gebouwgegevens Allacker'!$J$5:$Q$83,2,0),VLOOKUP(B504,'Gebouwgegevens Allacker'!$J$5:$Q$83,3,0))</f>
        <v>#N/A</v>
      </c>
      <c r="D504" s="122" t="e">
        <f>IF(VLOOKUP(B504,'Gebouwgegevens Allacker'!$J$5:$Q$83,2,0)=$B$472,VLOOKUP(B504,'Gebouwgegevens Allacker'!$J$5:$Q$83,3,0),VLOOKUP(B504,'Gebouwgegevens Allacker'!$J$5:$Q$83,2,0))</f>
        <v>#N/A</v>
      </c>
      <c r="E504" s="122" t="e">
        <f>VLOOKUP(B504,'Gebouwgegevens Allacker'!$J$5:$Q$83,4,0)</f>
        <v>#N/A</v>
      </c>
      <c r="F504" s="122" t="e">
        <f>VLOOKUP(B504,'Gebouwgegevens Allacker'!$J$5:$Q$83,5,0)</f>
        <v>#N/A</v>
      </c>
      <c r="G504" s="122" t="e">
        <f>VLOOKUP('Verwarming Allacker'!C504,'Gebouwgegevens Allacker'!$A$35:$F$46,5,0)</f>
        <v>#N/A</v>
      </c>
      <c r="H504" s="122" t="e">
        <f>VLOOKUP('Verwarming Allacker'!D504,'Gebouwgegevens Allacker'!$A$35:$F$46,5,0)</f>
        <v>#N/A</v>
      </c>
      <c r="I504" s="122" t="e">
        <f>VLOOKUP(B504,'Gebouwgegevens Allacker'!$J$5:$Q$83,7,0)</f>
        <v>#N/A</v>
      </c>
      <c r="J504" s="118" t="e">
        <f>VLOOKUP(B504,'Gebouwgegevens Allacker'!$J$5:$Q$83,8,0)</f>
        <v>#N/A</v>
      </c>
      <c r="K504" s="118" t="e">
        <f>(G504-H504)/(G504-$B$4)</f>
        <v>#N/A</v>
      </c>
      <c r="L504" s="98"/>
      <c r="M504" s="98"/>
      <c r="N504" s="98"/>
      <c r="O504" s="98"/>
      <c r="P504" s="96"/>
    </row>
    <row r="505" spans="1:16" ht="16.5" customHeight="1" x14ac:dyDescent="0.25">
      <c r="A505" s="95"/>
      <c r="B505" s="116"/>
      <c r="C505" s="122"/>
      <c r="D505" s="122"/>
      <c r="E505" s="122"/>
      <c r="F505" s="122"/>
      <c r="G505" s="122"/>
      <c r="H505" s="122"/>
      <c r="I505" s="122"/>
      <c r="J505" s="118"/>
      <c r="K505" s="118"/>
      <c r="L505" s="98"/>
      <c r="M505" s="98"/>
      <c r="N505" s="98"/>
      <c r="O505" s="98"/>
      <c r="P505" s="96"/>
    </row>
    <row r="506" spans="1:16" ht="16.5" customHeight="1" x14ac:dyDescent="0.25">
      <c r="A506" s="95"/>
      <c r="B506" s="145"/>
      <c r="C506" s="122"/>
      <c r="D506" s="122"/>
      <c r="E506" s="122"/>
      <c r="F506" s="122"/>
      <c r="G506" s="122"/>
      <c r="H506" s="122"/>
      <c r="I506" s="122"/>
      <c r="J506" s="118"/>
      <c r="K506" s="118"/>
      <c r="L506" s="98"/>
      <c r="M506" s="98"/>
      <c r="N506" s="98"/>
      <c r="O506" s="98"/>
      <c r="P506" s="96"/>
    </row>
    <row r="507" spans="1:16" ht="16.5" customHeight="1" x14ac:dyDescent="0.25">
      <c r="A507" s="95"/>
      <c r="B507" s="123"/>
      <c r="C507" s="139"/>
      <c r="D507" s="122"/>
      <c r="E507" s="122"/>
      <c r="F507" s="122"/>
      <c r="G507" s="122"/>
      <c r="H507" s="122"/>
      <c r="I507" s="122"/>
      <c r="J507" s="118"/>
      <c r="K507" s="118"/>
      <c r="L507" s="98"/>
      <c r="M507" s="98"/>
      <c r="N507" s="98"/>
      <c r="O507" s="98"/>
      <c r="P507" s="96"/>
    </row>
    <row r="508" spans="1:16" ht="16.5" customHeight="1" x14ac:dyDescent="0.25">
      <c r="A508" s="95"/>
      <c r="B508" s="123"/>
      <c r="C508" s="139"/>
      <c r="D508" s="122"/>
      <c r="E508" s="122"/>
      <c r="F508" s="122"/>
      <c r="G508" s="122"/>
      <c r="H508" s="122"/>
      <c r="I508" s="122"/>
      <c r="J508" s="118"/>
      <c r="K508" s="118"/>
      <c r="L508" s="98"/>
      <c r="M508" s="98"/>
      <c r="N508" s="98"/>
      <c r="O508" s="98"/>
      <c r="P508" s="96"/>
    </row>
    <row r="509" spans="1:16" ht="16.5" customHeight="1" x14ac:dyDescent="0.25">
      <c r="A509" s="95"/>
      <c r="B509" s="123"/>
      <c r="C509" s="139"/>
      <c r="D509" s="122"/>
      <c r="E509" s="122"/>
      <c r="F509" s="122"/>
      <c r="G509" s="122"/>
      <c r="H509" s="122"/>
      <c r="I509" s="122"/>
      <c r="J509" s="118"/>
      <c r="K509" s="118"/>
      <c r="L509" s="98"/>
      <c r="M509" s="98"/>
      <c r="N509" s="98"/>
      <c r="O509" s="98"/>
      <c r="P509" s="96"/>
    </row>
    <row r="510" spans="1:16" ht="16.5" customHeight="1" x14ac:dyDescent="0.25">
      <c r="A510" s="95"/>
      <c r="B510" s="123"/>
      <c r="C510" s="139"/>
      <c r="D510" s="122"/>
      <c r="E510" s="122"/>
      <c r="F510" s="122"/>
      <c r="G510" s="122"/>
      <c r="H510" s="122"/>
      <c r="I510" s="122"/>
      <c r="J510" s="118"/>
      <c r="K510" s="118"/>
      <c r="L510" s="98"/>
      <c r="M510" s="98"/>
      <c r="N510" s="98"/>
      <c r="O510" s="98"/>
      <c r="P510" s="96"/>
    </row>
    <row r="511" spans="1:16" ht="16.5" customHeight="1" x14ac:dyDescent="0.25">
      <c r="A511" s="95"/>
      <c r="B511" s="123"/>
      <c r="C511" s="139"/>
      <c r="D511" s="122"/>
      <c r="E511" s="122"/>
      <c r="F511" s="122"/>
      <c r="G511" s="122"/>
      <c r="H511" s="122"/>
      <c r="I511" s="122"/>
      <c r="J511" s="118"/>
      <c r="K511" s="118"/>
      <c r="L511" s="98"/>
      <c r="M511" s="98"/>
      <c r="N511" s="98"/>
      <c r="O511" s="98"/>
      <c r="P511" s="96"/>
    </row>
    <row r="512" spans="1:16" ht="15.75" customHeight="1" x14ac:dyDescent="0.25">
      <c r="A512" s="95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8"/>
      <c r="M512" s="98"/>
      <c r="N512" s="98"/>
      <c r="O512" s="98"/>
      <c r="P512" s="96"/>
    </row>
    <row r="513" spans="1:16" ht="15" customHeight="1" x14ac:dyDescent="0.25">
      <c r="A513" s="95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6"/>
    </row>
    <row r="514" spans="1:16" ht="15.75" customHeight="1" x14ac:dyDescent="0.25">
      <c r="A514" s="103" t="s">
        <v>192</v>
      </c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6"/>
    </row>
    <row r="515" spans="1:16" ht="16.5" customHeight="1" x14ac:dyDescent="0.25">
      <c r="A515" s="124" t="s">
        <v>193</v>
      </c>
      <c r="B515" s="118" t="e">
        <f>SUMPRODUCT(H478:H489,I478:I489)+SUMPRODUCT(G494:G498,H494:H498)+SUMPRODUCT(J502:J511,K502:K511)</f>
        <v>#N/A</v>
      </c>
      <c r="C515" s="118" t="s">
        <v>107</v>
      </c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6"/>
    </row>
    <row r="516" spans="1:16" ht="16.5" customHeight="1" x14ac:dyDescent="0.25">
      <c r="A516" s="124" t="s">
        <v>167</v>
      </c>
      <c r="B516" s="118" t="e">
        <f>B515*(G502-$B$4)</f>
        <v>#N/A</v>
      </c>
      <c r="C516" s="118" t="s">
        <v>169</v>
      </c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6"/>
    </row>
    <row r="517" spans="1:16" ht="15.75" customHeight="1" x14ac:dyDescent="0.25">
      <c r="A517" s="109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1"/>
    </row>
    <row r="518" spans="1:16" ht="15.75" customHeight="1" x14ac:dyDescent="0.25">
      <c r="A518" s="343" t="s">
        <v>194</v>
      </c>
      <c r="B518" s="343"/>
      <c r="C518" s="343"/>
      <c r="D518" s="125" t="s">
        <v>222</v>
      </c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94"/>
    </row>
    <row r="519" spans="1:16" ht="15" customHeight="1" x14ac:dyDescent="0.25">
      <c r="A519" s="95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6"/>
    </row>
    <row r="520" spans="1:16" ht="15" customHeight="1" x14ac:dyDescent="0.25">
      <c r="A520" s="126" t="s">
        <v>195</v>
      </c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6"/>
    </row>
    <row r="521" spans="1:16" ht="15" customHeight="1" x14ac:dyDescent="0.25">
      <c r="A521" s="127" t="s">
        <v>196</v>
      </c>
      <c r="B521" s="121">
        <v>8</v>
      </c>
      <c r="C521" s="120" t="s">
        <v>197</v>
      </c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6"/>
    </row>
    <row r="522" spans="1:16" ht="15" customHeight="1" x14ac:dyDescent="0.25">
      <c r="A522" s="127" t="s">
        <v>198</v>
      </c>
      <c r="B522" s="121">
        <v>0.03</v>
      </c>
      <c r="C522" s="120" t="s">
        <v>199</v>
      </c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6"/>
    </row>
    <row r="523" spans="1:16" ht="15.75" customHeight="1" x14ac:dyDescent="0.25">
      <c r="A523" s="127" t="s">
        <v>200</v>
      </c>
      <c r="B523" s="121">
        <v>1</v>
      </c>
      <c r="C523" s="120" t="s">
        <v>201</v>
      </c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6"/>
    </row>
    <row r="524" spans="1:16" ht="16.5" customHeight="1" x14ac:dyDescent="0.25">
      <c r="A524" s="124" t="s">
        <v>202</v>
      </c>
      <c r="B524" s="118" t="e">
        <f>2*VLOOKUP(B472,'Gebouwgegevens Allacker'!$A$35:$F$46,6,0)*B521*B522*B523</f>
        <v>#N/A</v>
      </c>
      <c r="C524" s="118" t="s">
        <v>203</v>
      </c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6"/>
    </row>
    <row r="525" spans="1:16" ht="15.75" customHeight="1" x14ac:dyDescent="0.25">
      <c r="A525" s="138"/>
      <c r="B525" s="58"/>
      <c r="C525" s="5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6"/>
    </row>
    <row r="526" spans="1:16" ht="15" customHeight="1" x14ac:dyDescent="0.25">
      <c r="A526" s="146" t="s">
        <v>204</v>
      </c>
      <c r="B526" s="58"/>
      <c r="C526" s="5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6"/>
    </row>
    <row r="527" spans="1:16" ht="15.75" customHeight="1" x14ac:dyDescent="0.25">
      <c r="A527" s="138" t="s">
        <v>180</v>
      </c>
      <c r="B527" s="58" t="e">
        <f>VLOOKUP(B472,'Gebouwgegevens Allacker'!$A$35:$F$46,6,0)</f>
        <v>#N/A</v>
      </c>
      <c r="C527" s="5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6"/>
    </row>
    <row r="528" spans="1:16" ht="16.5" customHeight="1" x14ac:dyDescent="0.25">
      <c r="A528" s="124" t="s">
        <v>205</v>
      </c>
      <c r="B528" s="128" t="e">
        <f>B527*3.6</f>
        <v>#N/A</v>
      </c>
      <c r="C528" s="118" t="s">
        <v>203</v>
      </c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6"/>
    </row>
    <row r="529" spans="1:16" ht="15.75" customHeight="1" x14ac:dyDescent="0.25">
      <c r="A529" s="138"/>
      <c r="B529" s="58"/>
      <c r="C529" s="5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6"/>
    </row>
    <row r="530" spans="1:16" ht="15.75" customHeight="1" x14ac:dyDescent="0.25">
      <c r="A530" s="138"/>
      <c r="B530" s="58"/>
      <c r="C530" s="5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6"/>
    </row>
    <row r="531" spans="1:16" ht="16.5" customHeight="1" x14ac:dyDescent="0.25">
      <c r="A531" s="124" t="s">
        <v>207</v>
      </c>
      <c r="B531" s="118" t="e">
        <f>MAX(B524,B528)</f>
        <v>#N/A</v>
      </c>
      <c r="C531" s="118" t="s">
        <v>203</v>
      </c>
      <c r="D531" s="98"/>
      <c r="E531" s="98"/>
      <c r="F531" s="118" t="s">
        <v>208</v>
      </c>
      <c r="G531" s="118" t="e">
        <f>B531/VLOOKUP(B472,'Gebouwgegevens Allacker'!$A$35:$B$46,2,0)</f>
        <v>#N/A</v>
      </c>
      <c r="H531" s="98"/>
      <c r="I531" s="98"/>
      <c r="J531" s="98"/>
      <c r="K531" s="98"/>
      <c r="L531" s="98"/>
      <c r="M531" s="98"/>
      <c r="N531" s="98"/>
      <c r="O531" s="98"/>
      <c r="P531" s="96"/>
    </row>
    <row r="532" spans="1:16" ht="16.5" customHeight="1" x14ac:dyDescent="0.25">
      <c r="A532" s="138"/>
      <c r="B532" s="58"/>
      <c r="C532" s="5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6"/>
    </row>
    <row r="533" spans="1:16" ht="16.5" customHeight="1" x14ac:dyDescent="0.25">
      <c r="A533" s="124" t="s">
        <v>209</v>
      </c>
      <c r="B533" s="118" t="e">
        <f>0.34*B531</f>
        <v>#N/A</v>
      </c>
      <c r="C533" s="118" t="s">
        <v>107</v>
      </c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6"/>
    </row>
    <row r="534" spans="1:16" ht="16.5" customHeight="1" x14ac:dyDescent="0.25">
      <c r="A534" s="124" t="s">
        <v>167</v>
      </c>
      <c r="B534" s="118" t="e">
        <f>B533*('Gebouwgegevens Allacker'!E494-$B$4)</f>
        <v>#N/A</v>
      </c>
      <c r="C534" s="118" t="s">
        <v>169</v>
      </c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6"/>
    </row>
    <row r="535" spans="1:16" ht="15.75" customHeight="1" x14ac:dyDescent="0.25">
      <c r="A535" s="140"/>
      <c r="B535" s="141"/>
      <c r="C535" s="141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1"/>
    </row>
    <row r="536" spans="1:16" ht="15.75" customHeight="1" x14ac:dyDescent="0.25">
      <c r="A536" s="343" t="s">
        <v>210</v>
      </c>
      <c r="B536" s="343"/>
      <c r="C536" s="343"/>
      <c r="D536" s="343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6"/>
    </row>
    <row r="537" spans="1:16" ht="15" customHeight="1" x14ac:dyDescent="0.25">
      <c r="A537" s="95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6"/>
    </row>
    <row r="538" spans="1:16" ht="15" customHeight="1" x14ac:dyDescent="0.25">
      <c r="A538" s="127" t="s">
        <v>211</v>
      </c>
      <c r="B538" s="121">
        <v>22</v>
      </c>
      <c r="C538" s="58" t="s">
        <v>232</v>
      </c>
      <c r="D538" s="5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6"/>
    </row>
    <row r="539" spans="1:16" ht="15.75" customHeight="1" x14ac:dyDescent="0.25">
      <c r="A539" s="91" t="s">
        <v>113</v>
      </c>
      <c r="B539" s="98" t="e">
        <f>VLOOKUP(B472,'Gebouwgegevens Allacker'!$A$35:$F$46,6,0)</f>
        <v>#N/A</v>
      </c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6"/>
    </row>
    <row r="540" spans="1:16" ht="16.5" customHeight="1" x14ac:dyDescent="0.25">
      <c r="A540" s="124" t="s">
        <v>213</v>
      </c>
      <c r="B540" s="118" t="e">
        <f>B541/('Gebouwgegevens Allacker'!E494-'Verwarming Allacker'!$B$4)</f>
        <v>#N/A</v>
      </c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6"/>
    </row>
    <row r="541" spans="1:16" ht="16.5" customHeight="1" x14ac:dyDescent="0.25">
      <c r="A541" s="124" t="s">
        <v>167</v>
      </c>
      <c r="B541" s="118" t="e">
        <f>B538*B539</f>
        <v>#N/A</v>
      </c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6"/>
    </row>
    <row r="542" spans="1:16" ht="15.75" customHeight="1" x14ac:dyDescent="0.25">
      <c r="A542" s="95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6"/>
    </row>
    <row r="543" spans="1:16" ht="15.75" customHeight="1" x14ac:dyDescent="0.25">
      <c r="A543" s="95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6"/>
    </row>
    <row r="544" spans="1:16" ht="15.75" customHeight="1" x14ac:dyDescent="0.25">
      <c r="A544" s="129" t="s">
        <v>214</v>
      </c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1"/>
    </row>
    <row r="545" spans="1:16" ht="16.5" customHeight="1" x14ac:dyDescent="0.25">
      <c r="A545" s="124" t="s">
        <v>215</v>
      </c>
      <c r="B545" s="118" t="e">
        <f>SUM(B515,B533,B540)</f>
        <v>#N/A</v>
      </c>
      <c r="C545" s="118" t="s">
        <v>107</v>
      </c>
      <c r="D545" s="132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  <c r="O545" s="132"/>
      <c r="P545" s="133"/>
    </row>
    <row r="546" spans="1:16" ht="16.5" customHeight="1" x14ac:dyDescent="0.25">
      <c r="A546" s="124" t="s">
        <v>167</v>
      </c>
      <c r="B546" s="118" t="e">
        <f>SUM(B516,B534,B541)</f>
        <v>#N/A</v>
      </c>
      <c r="C546" s="118" t="s">
        <v>169</v>
      </c>
      <c r="D546" s="132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  <c r="O546" s="132"/>
      <c r="P546" s="133"/>
    </row>
    <row r="547" spans="1:16" ht="16.5" customHeight="1" x14ac:dyDescent="0.25">
      <c r="A547" s="134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6"/>
    </row>
    <row r="548" spans="1:16" ht="15" customHeight="1" x14ac:dyDescent="0.25">
      <c r="A548" s="137"/>
      <c r="B548" s="137"/>
      <c r="C548" s="137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</row>
    <row r="549" spans="1:16" ht="15.75" customHeight="1" x14ac:dyDescent="0.25">
      <c r="A549" s="137"/>
      <c r="B549" s="137"/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</row>
    <row r="550" spans="1:16" ht="15" customHeight="1" x14ac:dyDescent="0.25">
      <c r="A550" s="93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94"/>
    </row>
    <row r="551" spans="1:16" ht="17.25" customHeight="1" x14ac:dyDescent="0.3">
      <c r="A551" s="97" t="s">
        <v>166</v>
      </c>
      <c r="B551" s="92">
        <v>8</v>
      </c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6"/>
    </row>
    <row r="552" spans="1:16" ht="15.75" customHeight="1" x14ac:dyDescent="0.25">
      <c r="A552" s="343" t="s">
        <v>168</v>
      </c>
      <c r="B552" s="343"/>
      <c r="C552" s="343"/>
      <c r="D552" s="343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94"/>
    </row>
    <row r="553" spans="1:16" ht="15" customHeight="1" x14ac:dyDescent="0.25">
      <c r="A553" s="95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6"/>
    </row>
    <row r="554" spans="1:16" ht="15" customHeight="1" x14ac:dyDescent="0.25">
      <c r="A554" s="103" t="s">
        <v>170</v>
      </c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6"/>
    </row>
    <row r="555" spans="1:16" ht="15" customHeight="1" x14ac:dyDescent="0.25">
      <c r="A555" s="95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6"/>
    </row>
    <row r="556" spans="1:16" ht="15.75" customHeight="1" x14ac:dyDescent="0.25">
      <c r="A556" s="95"/>
      <c r="B556" s="104" t="s">
        <v>10</v>
      </c>
      <c r="C556" s="104" t="s">
        <v>171</v>
      </c>
      <c r="D556" s="104" t="s">
        <v>172</v>
      </c>
      <c r="E556" s="104" t="s">
        <v>173</v>
      </c>
      <c r="F556" s="104" t="s">
        <v>174</v>
      </c>
      <c r="G556" s="104" t="s">
        <v>16</v>
      </c>
      <c r="H556" s="105" t="s">
        <v>17</v>
      </c>
      <c r="I556" s="105" t="s">
        <v>175</v>
      </c>
      <c r="J556" s="98"/>
      <c r="K556" s="98"/>
      <c r="L556" s="98"/>
      <c r="M556" s="98"/>
      <c r="N556" s="98"/>
      <c r="O556" s="98"/>
      <c r="P556" s="96"/>
    </row>
    <row r="557" spans="1:16" ht="16.5" customHeight="1" x14ac:dyDescent="0.25">
      <c r="A557" s="95"/>
      <c r="B557" s="106" t="s">
        <v>246</v>
      </c>
      <c r="C557" s="107" t="e">
        <f>VLOOKUP(B557,'Gebouwgegevens Allacker'!$J$5:$Q$83,3,0)</f>
        <v>#N/A</v>
      </c>
      <c r="D557" s="107" t="e">
        <f>VLOOKUP(B557,'Gebouwgegevens Allacker'!$J$5:$Q$83,4,0)</f>
        <v>#N/A</v>
      </c>
      <c r="E557" s="107" t="e">
        <f>VLOOKUP(B557,'Gebouwgegevens Allacker'!$J$5:$Q$83,5,0)</f>
        <v>#N/A</v>
      </c>
      <c r="F557" s="107" t="e">
        <f>VLOOKUP(B557,'Gebouwgegevens Allacker'!$J$5:$Q$83,6,0)</f>
        <v>#N/A</v>
      </c>
      <c r="G557" s="107" t="e">
        <f>VLOOKUP(B557,'Gebouwgegevens Allacker'!$J$5:$Q$83,7,0)</f>
        <v>#N/A</v>
      </c>
      <c r="H557" s="108" t="e">
        <f>VLOOKUP(B557,'Gebouwgegevens Allacker'!$J$5:$Q$83,8,0)</f>
        <v>#N/A</v>
      </c>
      <c r="I557" s="108">
        <v>1</v>
      </c>
      <c r="J557" s="98"/>
      <c r="K557" s="98"/>
      <c r="L557" s="98"/>
      <c r="M557" s="98"/>
      <c r="N557" s="98"/>
      <c r="O557" s="98"/>
      <c r="P557" s="96"/>
    </row>
    <row r="558" spans="1:16" ht="16.5" customHeight="1" x14ac:dyDescent="0.25">
      <c r="A558" s="95"/>
      <c r="B558" s="106" t="s">
        <v>247</v>
      </c>
      <c r="C558" s="107" t="e">
        <f>VLOOKUP(B558,'Gebouwgegevens Allacker'!$J$5:$Q$83,3,0)</f>
        <v>#N/A</v>
      </c>
      <c r="D558" s="107" t="e">
        <f>VLOOKUP(B558,'Gebouwgegevens Allacker'!$J$5:$Q$83,4,0)</f>
        <v>#N/A</v>
      </c>
      <c r="E558" s="107" t="e">
        <f>VLOOKUP(B558,'Gebouwgegevens Allacker'!$J$5:$Q$83,5,0)</f>
        <v>#N/A</v>
      </c>
      <c r="F558" s="107" t="e">
        <f>VLOOKUP(B558,'Gebouwgegevens Allacker'!$J$5:$Q$83,6,0)</f>
        <v>#N/A</v>
      </c>
      <c r="G558" s="107" t="e">
        <f>VLOOKUP(B558,'Gebouwgegevens Allacker'!$J$5:$Q$83,7,0)</f>
        <v>#N/A</v>
      </c>
      <c r="H558" s="108" t="e">
        <f>VLOOKUP(B558,'Gebouwgegevens Allacker'!$J$5:$Q$83,8,0)</f>
        <v>#N/A</v>
      </c>
      <c r="I558" s="108">
        <v>1</v>
      </c>
      <c r="J558" s="98"/>
      <c r="K558" s="98"/>
      <c r="L558" s="98"/>
      <c r="M558" s="98"/>
      <c r="N558" s="98"/>
      <c r="O558" s="98"/>
      <c r="P558" s="96"/>
    </row>
    <row r="559" spans="1:16" ht="16.5" customHeight="1" x14ac:dyDescent="0.25">
      <c r="A559" s="95"/>
      <c r="B559" s="106" t="s">
        <v>248</v>
      </c>
      <c r="C559" s="107" t="e">
        <f>VLOOKUP(B559,'Gebouwgegevens Allacker'!$J$5:$Q$83,3,0)</f>
        <v>#N/A</v>
      </c>
      <c r="D559" s="107" t="e">
        <f>VLOOKUP(B559,'Gebouwgegevens Allacker'!$J$5:$Q$83,4,0)</f>
        <v>#N/A</v>
      </c>
      <c r="E559" s="107" t="e">
        <f>VLOOKUP(B559,'Gebouwgegevens Allacker'!$J$5:$Q$83,5,0)</f>
        <v>#N/A</v>
      </c>
      <c r="F559" s="107" t="e">
        <f>VLOOKUP(B559,'Gebouwgegevens Allacker'!$J$5:$Q$83,6,0)</f>
        <v>#N/A</v>
      </c>
      <c r="G559" s="107" t="e">
        <f>VLOOKUP(B559,'Gebouwgegevens Allacker'!$J$5:$Q$83,7,0)</f>
        <v>#N/A</v>
      </c>
      <c r="H559" s="108" t="e">
        <f>VLOOKUP(B559,'Gebouwgegevens Allacker'!$J$5:$Q$83,8,0)</f>
        <v>#N/A</v>
      </c>
      <c r="I559" s="108">
        <v>1</v>
      </c>
      <c r="J559" s="98"/>
      <c r="K559" s="98"/>
      <c r="L559" s="98"/>
      <c r="M559" s="98"/>
      <c r="N559" s="98"/>
      <c r="O559" s="98"/>
      <c r="P559" s="96"/>
    </row>
    <row r="560" spans="1:16" ht="16.5" customHeight="1" x14ac:dyDescent="0.25">
      <c r="A560" s="95"/>
      <c r="B560" s="106"/>
      <c r="C560" s="107"/>
      <c r="D560" s="107"/>
      <c r="E560" s="107"/>
      <c r="F560" s="107"/>
      <c r="G560" s="107"/>
      <c r="H560" s="108"/>
      <c r="I560" s="108"/>
      <c r="J560" s="98"/>
      <c r="K560" s="98"/>
      <c r="L560" s="98"/>
      <c r="M560" s="98"/>
      <c r="N560" s="98"/>
      <c r="O560" s="98"/>
      <c r="P560" s="96"/>
    </row>
    <row r="561" spans="1:16" ht="16.5" customHeight="1" x14ac:dyDescent="0.25">
      <c r="A561" s="95"/>
      <c r="B561" s="106"/>
      <c r="C561" s="107"/>
      <c r="D561" s="107"/>
      <c r="E561" s="107"/>
      <c r="F561" s="107"/>
      <c r="G561" s="107"/>
      <c r="H561" s="108"/>
      <c r="I561" s="108"/>
      <c r="J561" s="98"/>
      <c r="K561" s="98"/>
      <c r="L561" s="98"/>
      <c r="M561" s="98"/>
      <c r="N561" s="98"/>
      <c r="O561" s="98"/>
      <c r="P561" s="96"/>
    </row>
    <row r="562" spans="1:16" ht="16.5" customHeight="1" x14ac:dyDescent="0.25">
      <c r="A562" s="95"/>
      <c r="B562" s="106"/>
      <c r="C562" s="107"/>
      <c r="D562" s="107"/>
      <c r="E562" s="107"/>
      <c r="F562" s="107"/>
      <c r="G562" s="107"/>
      <c r="H562" s="108"/>
      <c r="I562" s="108"/>
      <c r="J562" s="98"/>
      <c r="K562" s="98"/>
      <c r="L562" s="98"/>
      <c r="M562" s="98"/>
      <c r="N562" s="98"/>
      <c r="O562" s="98"/>
      <c r="P562" s="96"/>
    </row>
    <row r="563" spans="1:16" ht="16.5" customHeight="1" x14ac:dyDescent="0.25">
      <c r="A563" s="95"/>
      <c r="B563" s="106"/>
      <c r="C563" s="107"/>
      <c r="D563" s="107"/>
      <c r="E563" s="107"/>
      <c r="F563" s="107"/>
      <c r="G563" s="107"/>
      <c r="H563" s="108"/>
      <c r="I563" s="108"/>
      <c r="J563" s="98"/>
      <c r="K563" s="98"/>
      <c r="L563" s="98"/>
      <c r="M563" s="98"/>
      <c r="N563" s="98"/>
      <c r="O563" s="98"/>
      <c r="P563" s="96"/>
    </row>
    <row r="564" spans="1:16" ht="16.5" customHeight="1" x14ac:dyDescent="0.25">
      <c r="A564" s="95"/>
      <c r="B564" s="106"/>
      <c r="C564" s="107"/>
      <c r="D564" s="107"/>
      <c r="E564" s="107"/>
      <c r="F564" s="107"/>
      <c r="G564" s="107"/>
      <c r="H564" s="108"/>
      <c r="I564" s="108"/>
      <c r="J564" s="98"/>
      <c r="K564" s="98"/>
      <c r="L564" s="98"/>
      <c r="M564" s="98"/>
      <c r="N564" s="98"/>
      <c r="O564" s="98"/>
      <c r="P564" s="96"/>
    </row>
    <row r="565" spans="1:16" ht="16.5" customHeight="1" x14ac:dyDescent="0.25">
      <c r="A565" s="95"/>
      <c r="B565" s="106"/>
      <c r="C565" s="107"/>
      <c r="D565" s="107"/>
      <c r="E565" s="107"/>
      <c r="F565" s="107"/>
      <c r="G565" s="107"/>
      <c r="H565" s="108"/>
      <c r="I565" s="108"/>
      <c r="J565" s="98"/>
      <c r="K565" s="98"/>
      <c r="L565" s="98"/>
      <c r="M565" s="98"/>
      <c r="N565" s="98"/>
      <c r="O565" s="98"/>
      <c r="P565" s="96"/>
    </row>
    <row r="566" spans="1:16" ht="16.5" customHeight="1" x14ac:dyDescent="0.25">
      <c r="A566" s="95"/>
      <c r="B566" s="106"/>
      <c r="C566" s="107"/>
      <c r="D566" s="107"/>
      <c r="E566" s="107"/>
      <c r="F566" s="107"/>
      <c r="G566" s="107"/>
      <c r="H566" s="108"/>
      <c r="I566" s="108"/>
      <c r="J566" s="98"/>
      <c r="K566" s="98"/>
      <c r="L566" s="98"/>
      <c r="M566" s="98"/>
      <c r="N566" s="98"/>
      <c r="O566" s="98"/>
      <c r="P566" s="96"/>
    </row>
    <row r="567" spans="1:16" ht="16.5" customHeight="1" x14ac:dyDescent="0.25">
      <c r="A567" s="95"/>
      <c r="B567" s="106"/>
      <c r="C567" s="107"/>
      <c r="D567" s="107"/>
      <c r="E567" s="107"/>
      <c r="F567" s="107"/>
      <c r="G567" s="107"/>
      <c r="H567" s="108"/>
      <c r="I567" s="108"/>
      <c r="J567" s="98"/>
      <c r="K567" s="98"/>
      <c r="L567" s="98"/>
      <c r="M567" s="98"/>
      <c r="N567" s="98"/>
      <c r="O567" s="98"/>
      <c r="P567" s="96"/>
    </row>
    <row r="568" spans="1:16" ht="16.5" customHeight="1" x14ac:dyDescent="0.25">
      <c r="A568" s="95"/>
      <c r="B568" s="106"/>
      <c r="C568" s="107"/>
      <c r="D568" s="107"/>
      <c r="E568" s="107"/>
      <c r="F568" s="107"/>
      <c r="G568" s="107"/>
      <c r="H568" s="108"/>
      <c r="I568" s="108"/>
      <c r="J568" s="98"/>
      <c r="K568" s="98"/>
      <c r="L568" s="98"/>
      <c r="M568" s="98"/>
      <c r="N568" s="98"/>
      <c r="O568" s="98"/>
      <c r="P568" s="96"/>
    </row>
    <row r="569" spans="1:16" ht="15.75" customHeight="1" x14ac:dyDescent="0.25">
      <c r="A569" s="95"/>
      <c r="B569" s="58"/>
      <c r="C569" s="58"/>
      <c r="D569" s="58"/>
      <c r="E569" s="58"/>
      <c r="F569" s="58"/>
      <c r="G569" s="114"/>
      <c r="H569" s="58"/>
      <c r="I569" s="58"/>
      <c r="J569" s="98"/>
      <c r="K569" s="98"/>
      <c r="L569" s="98"/>
      <c r="M569" s="98"/>
      <c r="N569" s="98"/>
      <c r="O569" s="98"/>
      <c r="P569" s="96"/>
    </row>
    <row r="570" spans="1:16" ht="15" customHeight="1" x14ac:dyDescent="0.25">
      <c r="A570" s="95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6"/>
    </row>
    <row r="571" spans="1:16" ht="15" customHeight="1" x14ac:dyDescent="0.25">
      <c r="A571" s="103" t="s">
        <v>177</v>
      </c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6"/>
    </row>
    <row r="572" spans="1:16" ht="15.75" customHeight="1" x14ac:dyDescent="0.25">
      <c r="A572" s="95"/>
      <c r="B572" s="58" t="s">
        <v>10</v>
      </c>
      <c r="C572" s="58" t="s">
        <v>178</v>
      </c>
      <c r="D572" s="58" t="s">
        <v>172</v>
      </c>
      <c r="E572" s="58" t="s">
        <v>179</v>
      </c>
      <c r="F572" s="58" t="s">
        <v>16</v>
      </c>
      <c r="G572" s="114" t="s">
        <v>17</v>
      </c>
      <c r="H572" s="114" t="s">
        <v>175</v>
      </c>
      <c r="I572" s="58" t="s">
        <v>180</v>
      </c>
      <c r="J572" s="58" t="s">
        <v>181</v>
      </c>
      <c r="K572" s="58" t="s">
        <v>182</v>
      </c>
      <c r="L572" s="115" t="s">
        <v>183</v>
      </c>
      <c r="M572" s="115" t="s">
        <v>184</v>
      </c>
      <c r="N572" s="115" t="s">
        <v>185</v>
      </c>
      <c r="O572" s="98"/>
      <c r="P572" s="96"/>
    </row>
    <row r="573" spans="1:16" ht="16.5" customHeight="1" x14ac:dyDescent="0.25">
      <c r="A573" s="95"/>
      <c r="B573" s="116" t="s">
        <v>249</v>
      </c>
      <c r="C573" s="117" t="e">
        <f>VLOOKUP(B573,'Gebouwgegevens Allacker'!$J$5:$Q$83,3,0)</f>
        <v>#N/A</v>
      </c>
      <c r="D573" s="117" t="e">
        <f>VLOOKUP(B573,'Gebouwgegevens Allacker'!$J$5:$Q$83,4,0)</f>
        <v>#N/A</v>
      </c>
      <c r="E573" s="117" t="e">
        <f>VLOOKUP(B573,'Gebouwgegevens Allacker'!$J$5:$Q$83,5,0)</f>
        <v>#N/A</v>
      </c>
      <c r="F573" s="117" t="e">
        <f>VLOOKUP(B573,'Gebouwgegevens Allacker'!$J$5:$Q$83,7,0)</f>
        <v>#N/A</v>
      </c>
      <c r="G573" s="118" t="e">
        <f>VLOOKUP(B573,'Gebouwgegevens Allacker'!$J$5:$Q$83,8,0)</f>
        <v>#N/A</v>
      </c>
      <c r="H573" s="118" t="e">
        <f>N573/F573</f>
        <v>#N/A</v>
      </c>
      <c r="I573" s="117" t="e">
        <f>VLOOKUP(C573,'Gebouwgegevens Allacker'!$A$35:$F$46,6,0)</f>
        <v>#N/A</v>
      </c>
      <c r="J573" s="116">
        <v>6.11</v>
      </c>
      <c r="K573" s="116">
        <v>0.33</v>
      </c>
      <c r="L573" s="119" t="e">
        <f>I573/(0.5*J573)</f>
        <v>#N/A</v>
      </c>
      <c r="M573" s="119" t="e">
        <f>K573+2*(1/F573)</f>
        <v>#N/A</v>
      </c>
      <c r="N573" s="120" t="e">
        <f>IF(M573&lt;L573,2*2/(PI()*L573+M573)*LN(PI()*L573/M573+1),2/(0.457*L573+M573))</f>
        <v>#N/A</v>
      </c>
      <c r="O573" s="98"/>
      <c r="P573" s="96"/>
    </row>
    <row r="574" spans="1:16" ht="16.5" customHeight="1" x14ac:dyDescent="0.25">
      <c r="A574" s="95"/>
      <c r="B574" s="116"/>
      <c r="C574" s="117"/>
      <c r="D574" s="117"/>
      <c r="E574" s="117"/>
      <c r="F574" s="117"/>
      <c r="G574" s="118"/>
      <c r="H574" s="118"/>
      <c r="I574" s="117"/>
      <c r="J574" s="116"/>
      <c r="K574" s="116"/>
      <c r="L574" s="119"/>
      <c r="M574" s="119"/>
      <c r="N574" s="120"/>
      <c r="O574" s="98"/>
      <c r="P574" s="96"/>
    </row>
    <row r="575" spans="1:16" ht="16.5" customHeight="1" x14ac:dyDescent="0.25">
      <c r="A575" s="95"/>
      <c r="B575" s="116"/>
      <c r="C575" s="117"/>
      <c r="D575" s="117"/>
      <c r="E575" s="117"/>
      <c r="F575" s="117"/>
      <c r="G575" s="118"/>
      <c r="H575" s="118"/>
      <c r="I575" s="117"/>
      <c r="J575" s="116"/>
      <c r="K575" s="116"/>
      <c r="L575" s="119"/>
      <c r="M575" s="119"/>
      <c r="N575" s="120"/>
      <c r="O575" s="98"/>
      <c r="P575" s="96"/>
    </row>
    <row r="576" spans="1:16" ht="16.5" customHeight="1" x14ac:dyDescent="0.25">
      <c r="A576" s="95"/>
      <c r="B576" s="116"/>
      <c r="C576" s="117"/>
      <c r="D576" s="117"/>
      <c r="E576" s="117"/>
      <c r="F576" s="117"/>
      <c r="G576" s="118"/>
      <c r="H576" s="118"/>
      <c r="I576" s="117"/>
      <c r="J576" s="116"/>
      <c r="K576" s="116"/>
      <c r="L576" s="119"/>
      <c r="M576" s="119"/>
      <c r="N576" s="120"/>
      <c r="O576" s="98"/>
      <c r="P576" s="96"/>
    </row>
    <row r="577" spans="1:16" ht="16.5" customHeight="1" x14ac:dyDescent="0.25">
      <c r="A577" s="138"/>
      <c r="B577" s="116"/>
      <c r="C577" s="117"/>
      <c r="D577" s="117"/>
      <c r="E577" s="117"/>
      <c r="F577" s="117"/>
      <c r="G577" s="118"/>
      <c r="H577" s="118"/>
      <c r="I577" s="117"/>
      <c r="J577" s="116"/>
      <c r="K577" s="116"/>
      <c r="L577" s="119"/>
      <c r="M577" s="119"/>
      <c r="N577" s="120"/>
      <c r="O577" s="98"/>
      <c r="P577" s="96"/>
    </row>
    <row r="578" spans="1:16" ht="15.75" customHeight="1" x14ac:dyDescent="0.25">
      <c r="A578" s="95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6"/>
    </row>
    <row r="579" spans="1:16" ht="15" customHeight="1" x14ac:dyDescent="0.25">
      <c r="A579" s="103" t="s">
        <v>186</v>
      </c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6"/>
    </row>
    <row r="580" spans="1:16" ht="15.75" customHeight="1" x14ac:dyDescent="0.25">
      <c r="A580" s="95"/>
      <c r="B580" s="58" t="s">
        <v>10</v>
      </c>
      <c r="C580" s="58" t="s">
        <v>187</v>
      </c>
      <c r="D580" s="58" t="s">
        <v>188</v>
      </c>
      <c r="E580" s="58" t="s">
        <v>135</v>
      </c>
      <c r="F580" s="58" t="s">
        <v>189</v>
      </c>
      <c r="G580" s="58" t="s">
        <v>190</v>
      </c>
      <c r="H580" s="58" t="s">
        <v>191</v>
      </c>
      <c r="I580" s="58" t="s">
        <v>16</v>
      </c>
      <c r="J580" s="114" t="s">
        <v>17</v>
      </c>
      <c r="K580" s="114" t="s">
        <v>175</v>
      </c>
      <c r="L580" s="98"/>
      <c r="M580" s="98"/>
      <c r="N580" s="98"/>
      <c r="O580" s="98"/>
      <c r="P580" s="96"/>
    </row>
    <row r="581" spans="1:16" ht="16.5" customHeight="1" x14ac:dyDescent="0.25">
      <c r="A581" s="95"/>
      <c r="B581" s="116" t="s">
        <v>250</v>
      </c>
      <c r="C581" s="122" t="e">
        <f>IF(VLOOKUP(B581,'Gebouwgegevens Allacker'!$J$5:$Q$83,2,0)=$B$551,VLOOKUP(B581,'Gebouwgegevens Allacker'!$J$5:$Q$83,2,0),VLOOKUP(B581,'Gebouwgegevens Allacker'!$J$5:$Q$83,3,0))</f>
        <v>#N/A</v>
      </c>
      <c r="D581" s="122" t="e">
        <f>IF(VLOOKUP(B581,'Gebouwgegevens Allacker'!$J$5:$Q$83,2,0)=$B$551,VLOOKUP(B581,'Gebouwgegevens Allacker'!$J$5:$Q$83,3,0),VLOOKUP(B581,'Gebouwgegevens Allacker'!$J$5:$Q$83,2,0))</f>
        <v>#N/A</v>
      </c>
      <c r="E581" s="122" t="e">
        <f>VLOOKUP(B581,'Gebouwgegevens Allacker'!$J$5:$Q$83,4,0)</f>
        <v>#N/A</v>
      </c>
      <c r="F581" s="122" t="e">
        <f>VLOOKUP(B581,'Gebouwgegevens Allacker'!$J$5:$Q$83,5,0)</f>
        <v>#N/A</v>
      </c>
      <c r="G581" s="122" t="e">
        <f>VLOOKUP('Verwarming Allacker'!C581,'Gebouwgegevens Allacker'!$A$35:$F$46,5,0)</f>
        <v>#N/A</v>
      </c>
      <c r="H581" s="122" t="e">
        <f>VLOOKUP('Verwarming Allacker'!D581,'Gebouwgegevens Allacker'!$A$35:$F$46,5,0)</f>
        <v>#N/A</v>
      </c>
      <c r="I581" s="122" t="e">
        <f>VLOOKUP(B581,'Gebouwgegevens Allacker'!$J$5:$Q$83,7,0)</f>
        <v>#N/A</v>
      </c>
      <c r="J581" s="118" t="e">
        <f>VLOOKUP(B581,'Gebouwgegevens Allacker'!$J$5:$Q$83,8,0)</f>
        <v>#N/A</v>
      </c>
      <c r="K581" s="118" t="e">
        <f>(G581-H581)/(G581-$B$4)</f>
        <v>#N/A</v>
      </c>
      <c r="L581" s="98"/>
      <c r="M581" s="98"/>
      <c r="N581" s="98"/>
      <c r="O581" s="98"/>
      <c r="P581" s="96"/>
    </row>
    <row r="582" spans="1:16" ht="16.5" customHeight="1" x14ac:dyDescent="0.25">
      <c r="A582" s="95"/>
      <c r="B582" s="116" t="s">
        <v>224</v>
      </c>
      <c r="C582" s="122" t="e">
        <f>IF(VLOOKUP(B582,'Gebouwgegevens Allacker'!$J$5:$Q$83,2,0)=$B$551,VLOOKUP(B582,'Gebouwgegevens Allacker'!$J$5:$Q$83,2,0),VLOOKUP(B582,'Gebouwgegevens Allacker'!$J$5:$Q$83,3,0))</f>
        <v>#N/A</v>
      </c>
      <c r="D582" s="122" t="e">
        <f>IF(VLOOKUP(B582,'Gebouwgegevens Allacker'!$J$5:$Q$83,2,0)=$B$551,VLOOKUP(B582,'Gebouwgegevens Allacker'!$J$5:$Q$83,3,0),VLOOKUP(B582,'Gebouwgegevens Allacker'!$J$5:$Q$83,2,0))</f>
        <v>#N/A</v>
      </c>
      <c r="E582" s="122" t="e">
        <f>VLOOKUP(B582,'Gebouwgegevens Allacker'!$J$5:$Q$83,4,0)</f>
        <v>#N/A</v>
      </c>
      <c r="F582" s="122" t="e">
        <f>VLOOKUP(B582,'Gebouwgegevens Allacker'!$J$5:$Q$83,5,0)</f>
        <v>#N/A</v>
      </c>
      <c r="G582" s="122" t="e">
        <f>VLOOKUP('Verwarming Allacker'!C582,'Gebouwgegevens Allacker'!$A$35:$F$46,5,0)</f>
        <v>#N/A</v>
      </c>
      <c r="H582" s="122" t="e">
        <f>VLOOKUP('Verwarming Allacker'!D582,'Gebouwgegevens Allacker'!$A$35:$F$46,5,0)</f>
        <v>#N/A</v>
      </c>
      <c r="I582" s="122" t="e">
        <f>VLOOKUP(B582,'Gebouwgegevens Allacker'!$J$5:$Q$83,7,0)</f>
        <v>#N/A</v>
      </c>
      <c r="J582" s="118" t="e">
        <f>VLOOKUP(B582,'Gebouwgegevens Allacker'!$J$5:$Q$83,8,0)</f>
        <v>#N/A</v>
      </c>
      <c r="K582" s="118" t="e">
        <f>(G582-H582)/(G582-$B$4)</f>
        <v>#N/A</v>
      </c>
      <c r="L582" s="98"/>
      <c r="M582" s="98"/>
      <c r="N582" s="98"/>
      <c r="O582" s="98"/>
      <c r="P582" s="96"/>
    </row>
    <row r="583" spans="1:16" ht="16.5" customHeight="1" x14ac:dyDescent="0.25">
      <c r="A583" s="95"/>
      <c r="B583" s="116" t="s">
        <v>230</v>
      </c>
      <c r="C583" s="122" t="e">
        <f>IF(VLOOKUP(B583,'Gebouwgegevens Allacker'!$J$5:$Q$83,2,0)=$B$551,VLOOKUP(B583,'Gebouwgegevens Allacker'!$J$5:$Q$83,2,0),VLOOKUP(B583,'Gebouwgegevens Allacker'!$J$5:$Q$83,3,0))</f>
        <v>#N/A</v>
      </c>
      <c r="D583" s="122" t="e">
        <f>IF(VLOOKUP(B583,'Gebouwgegevens Allacker'!$J$5:$Q$83,2,0)=$B$551,VLOOKUP(B583,'Gebouwgegevens Allacker'!$J$5:$Q$83,3,0),VLOOKUP(B583,'Gebouwgegevens Allacker'!$J$5:$Q$83,2,0))</f>
        <v>#N/A</v>
      </c>
      <c r="E583" s="122" t="e">
        <f>VLOOKUP(B583,'Gebouwgegevens Allacker'!$J$5:$Q$83,4,0)</f>
        <v>#N/A</v>
      </c>
      <c r="F583" s="122" t="e">
        <f>VLOOKUP(B583,'Gebouwgegevens Allacker'!$J$5:$Q$83,5,0)</f>
        <v>#N/A</v>
      </c>
      <c r="G583" s="122" t="e">
        <f>VLOOKUP('Verwarming Allacker'!C583,'Gebouwgegevens Allacker'!$A$35:$F$46,5,0)</f>
        <v>#N/A</v>
      </c>
      <c r="H583" s="122" t="e">
        <f>VLOOKUP('Verwarming Allacker'!D583,'Gebouwgegevens Allacker'!$A$35:$F$46,5,0)</f>
        <v>#N/A</v>
      </c>
      <c r="I583" s="122" t="e">
        <f>VLOOKUP(B583,'Gebouwgegevens Allacker'!$J$5:$Q$83,7,0)</f>
        <v>#N/A</v>
      </c>
      <c r="J583" s="118" t="e">
        <f>VLOOKUP(B583,'Gebouwgegevens Allacker'!$J$5:$Q$83,8,0)</f>
        <v>#N/A</v>
      </c>
      <c r="K583" s="118" t="e">
        <f>(G583-H583)/(G583-$B$4)</f>
        <v>#N/A</v>
      </c>
      <c r="L583" s="98"/>
      <c r="M583" s="98"/>
      <c r="N583" s="98"/>
      <c r="O583" s="98"/>
      <c r="P583" s="96"/>
    </row>
    <row r="584" spans="1:16" ht="16.5" customHeight="1" x14ac:dyDescent="0.25">
      <c r="A584" s="95"/>
      <c r="B584" s="116"/>
      <c r="C584" s="122"/>
      <c r="D584" s="122"/>
      <c r="E584" s="122"/>
      <c r="F584" s="122"/>
      <c r="G584" s="122"/>
      <c r="H584" s="122"/>
      <c r="I584" s="122"/>
      <c r="J584" s="118"/>
      <c r="K584" s="118"/>
      <c r="L584" s="98"/>
      <c r="M584" s="98"/>
      <c r="N584" s="98"/>
      <c r="O584" s="98"/>
      <c r="P584" s="96"/>
    </row>
    <row r="585" spans="1:16" ht="16.5" customHeight="1" x14ac:dyDescent="0.25">
      <c r="A585" s="95"/>
      <c r="B585" s="145"/>
      <c r="C585" s="122"/>
      <c r="D585" s="122"/>
      <c r="E585" s="122"/>
      <c r="F585" s="122"/>
      <c r="G585" s="122"/>
      <c r="H585" s="122"/>
      <c r="I585" s="122"/>
      <c r="J585" s="118"/>
      <c r="K585" s="118"/>
      <c r="L585" s="98"/>
      <c r="M585" s="98"/>
      <c r="N585" s="98"/>
      <c r="O585" s="98"/>
      <c r="P585" s="96"/>
    </row>
    <row r="586" spans="1:16" ht="16.5" customHeight="1" x14ac:dyDescent="0.25">
      <c r="A586" s="95"/>
      <c r="B586" s="123"/>
      <c r="C586" s="139"/>
      <c r="D586" s="122"/>
      <c r="E586" s="122"/>
      <c r="F586" s="122"/>
      <c r="G586" s="122"/>
      <c r="H586" s="122"/>
      <c r="I586" s="122"/>
      <c r="J586" s="118"/>
      <c r="K586" s="118"/>
      <c r="L586" s="98"/>
      <c r="M586" s="98"/>
      <c r="N586" s="98"/>
      <c r="O586" s="98"/>
      <c r="P586" s="96"/>
    </row>
    <row r="587" spans="1:16" ht="16.5" customHeight="1" x14ac:dyDescent="0.25">
      <c r="A587" s="95"/>
      <c r="B587" s="123"/>
      <c r="C587" s="139"/>
      <c r="D587" s="122"/>
      <c r="E587" s="122"/>
      <c r="F587" s="122"/>
      <c r="G587" s="122"/>
      <c r="H587" s="122"/>
      <c r="I587" s="122"/>
      <c r="J587" s="118"/>
      <c r="K587" s="118"/>
      <c r="L587" s="98"/>
      <c r="M587" s="98"/>
      <c r="N587" s="98"/>
      <c r="O587" s="98"/>
      <c r="P587" s="96"/>
    </row>
    <row r="588" spans="1:16" ht="16.5" customHeight="1" x14ac:dyDescent="0.25">
      <c r="A588" s="95"/>
      <c r="B588" s="123"/>
      <c r="C588" s="139"/>
      <c r="D588" s="122"/>
      <c r="E588" s="122"/>
      <c r="F588" s="122"/>
      <c r="G588" s="122"/>
      <c r="H588" s="122"/>
      <c r="I588" s="122"/>
      <c r="J588" s="118"/>
      <c r="K588" s="118"/>
      <c r="L588" s="98"/>
      <c r="M588" s="98"/>
      <c r="N588" s="98"/>
      <c r="O588" s="98"/>
      <c r="P588" s="96"/>
    </row>
    <row r="589" spans="1:16" ht="16.5" customHeight="1" x14ac:dyDescent="0.25">
      <c r="A589" s="95"/>
      <c r="B589" s="123"/>
      <c r="C589" s="139"/>
      <c r="D589" s="122"/>
      <c r="E589" s="122"/>
      <c r="F589" s="122"/>
      <c r="G589" s="122"/>
      <c r="H589" s="122"/>
      <c r="I589" s="122"/>
      <c r="J589" s="118"/>
      <c r="K589" s="118"/>
      <c r="L589" s="98"/>
      <c r="M589" s="98"/>
      <c r="N589" s="98"/>
      <c r="O589" s="98"/>
      <c r="P589" s="96"/>
    </row>
    <row r="590" spans="1:16" ht="16.5" customHeight="1" x14ac:dyDescent="0.25">
      <c r="A590" s="95"/>
      <c r="B590" s="123"/>
      <c r="C590" s="139"/>
      <c r="D590" s="122"/>
      <c r="E590" s="122"/>
      <c r="F590" s="122"/>
      <c r="G590" s="122"/>
      <c r="H590" s="122"/>
      <c r="I590" s="122"/>
      <c r="J590" s="118"/>
      <c r="K590" s="118"/>
      <c r="L590" s="98"/>
      <c r="M590" s="98"/>
      <c r="N590" s="98"/>
      <c r="O590" s="98"/>
      <c r="P590" s="96"/>
    </row>
    <row r="591" spans="1:16" ht="15.75" customHeight="1" x14ac:dyDescent="0.25">
      <c r="A591" s="95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8"/>
      <c r="M591" s="98"/>
      <c r="N591" s="98"/>
      <c r="O591" s="98"/>
      <c r="P591" s="96"/>
    </row>
    <row r="592" spans="1:16" ht="15" customHeight="1" x14ac:dyDescent="0.25">
      <c r="A592" s="95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6"/>
    </row>
    <row r="593" spans="1:16" ht="15.75" customHeight="1" x14ac:dyDescent="0.25">
      <c r="A593" s="103" t="s">
        <v>192</v>
      </c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6"/>
    </row>
    <row r="594" spans="1:16" ht="16.5" customHeight="1" x14ac:dyDescent="0.25">
      <c r="A594" s="124" t="s">
        <v>193</v>
      </c>
      <c r="B594" s="118" t="e">
        <f>SUMPRODUCT(H557:H568,I557:I568)+SUMPRODUCT(G573:G577,H573:H577)+SUMPRODUCT(J581:J590,K581:K590)</f>
        <v>#N/A</v>
      </c>
      <c r="C594" s="118" t="s">
        <v>107</v>
      </c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6"/>
    </row>
    <row r="595" spans="1:16" ht="16.5" customHeight="1" x14ac:dyDescent="0.25">
      <c r="A595" s="124" t="s">
        <v>167</v>
      </c>
      <c r="B595" s="118" t="e">
        <f>B594*(G581-$B$4)</f>
        <v>#N/A</v>
      </c>
      <c r="C595" s="118" t="s">
        <v>169</v>
      </c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6"/>
    </row>
    <row r="596" spans="1:16" ht="15.75" customHeight="1" x14ac:dyDescent="0.25">
      <c r="A596" s="109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1"/>
    </row>
    <row r="597" spans="1:16" ht="15.75" customHeight="1" x14ac:dyDescent="0.25">
      <c r="A597" s="343" t="s">
        <v>194</v>
      </c>
      <c r="B597" s="343"/>
      <c r="C597" s="343"/>
      <c r="D597" s="125" t="s">
        <v>222</v>
      </c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94"/>
    </row>
    <row r="598" spans="1:16" ht="15" customHeight="1" x14ac:dyDescent="0.25">
      <c r="A598" s="95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6"/>
    </row>
    <row r="599" spans="1:16" ht="15" customHeight="1" x14ac:dyDescent="0.25">
      <c r="A599" s="126" t="s">
        <v>195</v>
      </c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6"/>
    </row>
    <row r="600" spans="1:16" ht="15" customHeight="1" x14ac:dyDescent="0.25">
      <c r="A600" s="127" t="s">
        <v>196</v>
      </c>
      <c r="B600" s="121">
        <v>8</v>
      </c>
      <c r="C600" s="120" t="s">
        <v>197</v>
      </c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6"/>
    </row>
    <row r="601" spans="1:16" ht="15" customHeight="1" x14ac:dyDescent="0.25">
      <c r="A601" s="127" t="s">
        <v>198</v>
      </c>
      <c r="B601" s="121">
        <v>0.03</v>
      </c>
      <c r="C601" s="120" t="s">
        <v>199</v>
      </c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6"/>
    </row>
    <row r="602" spans="1:16" ht="15.75" customHeight="1" x14ac:dyDescent="0.25">
      <c r="A602" s="127" t="s">
        <v>200</v>
      </c>
      <c r="B602" s="121">
        <v>1</v>
      </c>
      <c r="C602" s="120" t="s">
        <v>201</v>
      </c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6"/>
    </row>
    <row r="603" spans="1:16" ht="16.5" customHeight="1" x14ac:dyDescent="0.25">
      <c r="A603" s="124" t="s">
        <v>202</v>
      </c>
      <c r="B603" s="118" t="e">
        <f>2*VLOOKUP(B551,'Gebouwgegevens Allacker'!$A$35:$F$46,6,0)*B600*B601*B602</f>
        <v>#N/A</v>
      </c>
      <c r="C603" s="118" t="s">
        <v>203</v>
      </c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6"/>
    </row>
    <row r="604" spans="1:16" ht="15.75" customHeight="1" x14ac:dyDescent="0.25">
      <c r="A604" s="138"/>
      <c r="B604" s="58"/>
      <c r="C604" s="5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6"/>
    </row>
    <row r="605" spans="1:16" ht="15" customHeight="1" x14ac:dyDescent="0.25">
      <c r="A605" s="146" t="s">
        <v>204</v>
      </c>
      <c r="B605" s="58"/>
      <c r="C605" s="5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6"/>
    </row>
    <row r="606" spans="1:16" ht="15.75" customHeight="1" x14ac:dyDescent="0.25">
      <c r="A606" s="138" t="s">
        <v>180</v>
      </c>
      <c r="B606" s="58" t="e">
        <f>VLOOKUP(B551,'Gebouwgegevens Allacker'!$A$35:$F$46,6,0)</f>
        <v>#N/A</v>
      </c>
      <c r="C606" s="5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6"/>
    </row>
    <row r="607" spans="1:16" ht="16.5" customHeight="1" x14ac:dyDescent="0.25">
      <c r="A607" s="124" t="s">
        <v>205</v>
      </c>
      <c r="B607" s="128" t="e">
        <f>B606*3.6</f>
        <v>#N/A</v>
      </c>
      <c r="C607" s="118" t="s">
        <v>203</v>
      </c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6"/>
    </row>
    <row r="608" spans="1:16" ht="15.75" customHeight="1" x14ac:dyDescent="0.25">
      <c r="A608" s="138"/>
      <c r="B608" s="58"/>
      <c r="C608" s="5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6"/>
    </row>
    <row r="609" spans="1:16" ht="15.75" customHeight="1" x14ac:dyDescent="0.25">
      <c r="A609" s="138"/>
      <c r="B609" s="58"/>
      <c r="C609" s="5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6"/>
    </row>
    <row r="610" spans="1:16" ht="16.5" customHeight="1" x14ac:dyDescent="0.25">
      <c r="A610" s="124" t="s">
        <v>207</v>
      </c>
      <c r="B610" s="118" t="e">
        <f>MAX(B603,B607)</f>
        <v>#N/A</v>
      </c>
      <c r="C610" s="118" t="s">
        <v>203</v>
      </c>
      <c r="D610" s="98"/>
      <c r="E610" s="98"/>
      <c r="F610" s="118" t="s">
        <v>208</v>
      </c>
      <c r="G610" s="118" t="e">
        <f>B610/VLOOKUP(B551,'Gebouwgegevens Allacker'!$A$35:$B$46,2,0)</f>
        <v>#N/A</v>
      </c>
      <c r="H610" s="98"/>
      <c r="I610" s="98"/>
      <c r="J610" s="98"/>
      <c r="K610" s="98"/>
      <c r="L610" s="98"/>
      <c r="M610" s="98"/>
      <c r="N610" s="98"/>
      <c r="O610" s="98"/>
      <c r="P610" s="96"/>
    </row>
    <row r="611" spans="1:16" ht="16.5" customHeight="1" x14ac:dyDescent="0.25">
      <c r="A611" s="138"/>
      <c r="B611" s="58"/>
      <c r="C611" s="5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6"/>
    </row>
    <row r="612" spans="1:16" ht="16.5" customHeight="1" x14ac:dyDescent="0.25">
      <c r="A612" s="124" t="s">
        <v>209</v>
      </c>
      <c r="B612" s="118" t="e">
        <f>0.34*B610</f>
        <v>#N/A</v>
      </c>
      <c r="C612" s="118" t="s">
        <v>107</v>
      </c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6"/>
    </row>
    <row r="613" spans="1:16" ht="16.5" customHeight="1" x14ac:dyDescent="0.25">
      <c r="A613" s="124" t="s">
        <v>167</v>
      </c>
      <c r="B613" s="118" t="e">
        <f>B612*('Gebouwgegevens Allacker'!E573-$B$4)</f>
        <v>#N/A</v>
      </c>
      <c r="C613" s="118" t="s">
        <v>169</v>
      </c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6"/>
    </row>
    <row r="614" spans="1:16" ht="15.75" customHeight="1" x14ac:dyDescent="0.25">
      <c r="A614" s="140"/>
      <c r="B614" s="141"/>
      <c r="C614" s="141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1"/>
    </row>
    <row r="615" spans="1:16" ht="15.75" customHeight="1" x14ac:dyDescent="0.25">
      <c r="A615" s="343" t="s">
        <v>210</v>
      </c>
      <c r="B615" s="343"/>
      <c r="C615" s="343"/>
      <c r="D615" s="343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6"/>
    </row>
    <row r="616" spans="1:16" ht="15" customHeight="1" x14ac:dyDescent="0.25">
      <c r="A616" s="95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6"/>
    </row>
    <row r="617" spans="1:16" ht="15" customHeight="1" x14ac:dyDescent="0.25">
      <c r="A617" s="127" t="s">
        <v>211</v>
      </c>
      <c r="B617" s="121">
        <v>45</v>
      </c>
      <c r="C617" s="58" t="s">
        <v>232</v>
      </c>
      <c r="D617" s="5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6"/>
    </row>
    <row r="618" spans="1:16" ht="15.75" customHeight="1" x14ac:dyDescent="0.25">
      <c r="A618" s="3" t="s">
        <v>113</v>
      </c>
      <c r="B618" s="58" t="e">
        <f>VLOOKUP(B551,'Gebouwgegevens Allacker'!$A$35:$F$46,6,0)</f>
        <v>#N/A</v>
      </c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6"/>
    </row>
    <row r="619" spans="1:16" ht="16.5" customHeight="1" x14ac:dyDescent="0.25">
      <c r="A619" s="124" t="s">
        <v>213</v>
      </c>
      <c r="B619" s="118" t="e">
        <f>B620/('Gebouwgegevens Allacker'!E573-'Verwarming Allacker'!$B$4)</f>
        <v>#N/A</v>
      </c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6"/>
    </row>
    <row r="620" spans="1:16" ht="16.5" customHeight="1" x14ac:dyDescent="0.25">
      <c r="A620" s="124" t="s">
        <v>167</v>
      </c>
      <c r="B620" s="118" t="e">
        <f>B617*B618</f>
        <v>#N/A</v>
      </c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6"/>
    </row>
    <row r="621" spans="1:16" ht="15.75" customHeight="1" x14ac:dyDescent="0.25">
      <c r="A621" s="95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6"/>
    </row>
    <row r="622" spans="1:16" ht="15.75" customHeight="1" x14ac:dyDescent="0.25">
      <c r="A622" s="95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6"/>
    </row>
    <row r="623" spans="1:16" ht="15.75" customHeight="1" x14ac:dyDescent="0.25">
      <c r="A623" s="129" t="s">
        <v>214</v>
      </c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1"/>
    </row>
    <row r="624" spans="1:16" ht="16.5" customHeight="1" x14ac:dyDescent="0.25">
      <c r="A624" s="124" t="s">
        <v>215</v>
      </c>
      <c r="B624" s="118" t="e">
        <f>SUM(B594,B612,B619)</f>
        <v>#N/A</v>
      </c>
      <c r="C624" s="118" t="s">
        <v>107</v>
      </c>
      <c r="D624" s="132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  <c r="O624" s="132"/>
      <c r="P624" s="133"/>
    </row>
    <row r="625" spans="1:16" ht="16.5" customHeight="1" x14ac:dyDescent="0.25">
      <c r="A625" s="124" t="s">
        <v>167</v>
      </c>
      <c r="B625" s="118" t="e">
        <f>SUM(B595,B613,B620)</f>
        <v>#N/A</v>
      </c>
      <c r="C625" s="118" t="s">
        <v>169</v>
      </c>
      <c r="D625" s="132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  <c r="O625" s="132"/>
      <c r="P625" s="133"/>
    </row>
    <row r="626" spans="1:16" ht="16.5" customHeight="1" x14ac:dyDescent="0.25">
      <c r="A626" s="134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6"/>
    </row>
    <row r="627" spans="1:16" ht="15" customHeight="1" x14ac:dyDescent="0.25">
      <c r="A627" s="137"/>
      <c r="B627" s="137"/>
      <c r="C627" s="137"/>
      <c r="D627" s="137"/>
      <c r="E627" s="137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</row>
    <row r="628" spans="1:16" ht="15.75" customHeight="1" x14ac:dyDescent="0.25">
      <c r="A628" s="137"/>
      <c r="B628" s="137"/>
      <c r="C628" s="137"/>
      <c r="D628" s="137"/>
      <c r="E628" s="137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</row>
    <row r="629" spans="1:16" ht="15" customHeight="1" x14ac:dyDescent="0.25">
      <c r="A629" s="93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94"/>
    </row>
    <row r="630" spans="1:16" ht="17.25" customHeight="1" x14ac:dyDescent="0.3">
      <c r="A630" s="97" t="s">
        <v>166</v>
      </c>
      <c r="B630" s="92">
        <v>9</v>
      </c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6"/>
    </row>
    <row r="631" spans="1:16" ht="15.75" customHeight="1" x14ac:dyDescent="0.25">
      <c r="A631" s="343" t="s">
        <v>168</v>
      </c>
      <c r="B631" s="343"/>
      <c r="C631" s="343"/>
      <c r="D631" s="343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94"/>
    </row>
    <row r="632" spans="1:16" ht="15" customHeight="1" x14ac:dyDescent="0.25">
      <c r="A632" s="95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6"/>
    </row>
    <row r="633" spans="1:16" ht="15" customHeight="1" x14ac:dyDescent="0.25">
      <c r="A633" s="103" t="s">
        <v>170</v>
      </c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6"/>
    </row>
    <row r="634" spans="1:16" ht="15" customHeight="1" x14ac:dyDescent="0.25">
      <c r="A634" s="95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6"/>
    </row>
    <row r="635" spans="1:16" ht="15.75" customHeight="1" x14ac:dyDescent="0.25">
      <c r="A635" s="95"/>
      <c r="B635" s="104" t="s">
        <v>10</v>
      </c>
      <c r="C635" s="104" t="s">
        <v>171</v>
      </c>
      <c r="D635" s="104" t="s">
        <v>172</v>
      </c>
      <c r="E635" s="104" t="s">
        <v>173</v>
      </c>
      <c r="F635" s="104" t="s">
        <v>174</v>
      </c>
      <c r="G635" s="104" t="s">
        <v>16</v>
      </c>
      <c r="H635" s="105" t="s">
        <v>17</v>
      </c>
      <c r="I635" s="105" t="s">
        <v>175</v>
      </c>
      <c r="J635" s="98"/>
      <c r="K635" s="98"/>
      <c r="L635" s="98"/>
      <c r="M635" s="98"/>
      <c r="N635" s="98"/>
      <c r="O635" s="98"/>
      <c r="P635" s="96"/>
    </row>
    <row r="636" spans="1:16" ht="16.5" customHeight="1" x14ac:dyDescent="0.25">
      <c r="A636" s="95"/>
      <c r="B636" s="106" t="s">
        <v>251</v>
      </c>
      <c r="C636" s="107" t="e">
        <f>VLOOKUP(B636,'Gebouwgegevens Allacker'!$J$5:$Q$83,3,0)</f>
        <v>#N/A</v>
      </c>
      <c r="D636" s="107" t="e">
        <f>VLOOKUP(B636,'Gebouwgegevens Allacker'!$J$5:$Q$83,4,0)</f>
        <v>#N/A</v>
      </c>
      <c r="E636" s="107" t="e">
        <f>VLOOKUP(B636,'Gebouwgegevens Allacker'!$J$5:$Q$83,5,0)</f>
        <v>#N/A</v>
      </c>
      <c r="F636" s="107" t="e">
        <f>VLOOKUP(B636,'Gebouwgegevens Allacker'!$J$5:$Q$83,6,0)</f>
        <v>#N/A</v>
      </c>
      <c r="G636" s="107" t="e">
        <f>VLOOKUP(B636,'Gebouwgegevens Allacker'!$J$5:$Q$83,7,0)</f>
        <v>#N/A</v>
      </c>
      <c r="H636" s="108" t="e">
        <f>VLOOKUP(B636,'Gebouwgegevens Allacker'!$J$5:$Q$83,8,0)</f>
        <v>#N/A</v>
      </c>
      <c r="I636" s="108">
        <v>1</v>
      </c>
      <c r="J636" s="98"/>
      <c r="K636" s="98"/>
      <c r="L636" s="98"/>
      <c r="M636" s="98"/>
      <c r="N636" s="98"/>
      <c r="O636" s="98"/>
      <c r="P636" s="96"/>
    </row>
    <row r="637" spans="1:16" ht="16.5" customHeight="1" x14ac:dyDescent="0.25">
      <c r="A637" s="95"/>
      <c r="B637" s="106" t="s">
        <v>252</v>
      </c>
      <c r="C637" s="107" t="e">
        <f>VLOOKUP(B637,'Gebouwgegevens Allacker'!$J$5:$Q$83,3,0)</f>
        <v>#N/A</v>
      </c>
      <c r="D637" s="107" t="e">
        <f>VLOOKUP(B637,'Gebouwgegevens Allacker'!$J$5:$Q$83,4,0)</f>
        <v>#N/A</v>
      </c>
      <c r="E637" s="107" t="e">
        <f>VLOOKUP(B637,'Gebouwgegevens Allacker'!$J$5:$Q$83,5,0)</f>
        <v>#N/A</v>
      </c>
      <c r="F637" s="107" t="e">
        <f>VLOOKUP(B637,'Gebouwgegevens Allacker'!$J$5:$Q$83,6,0)</f>
        <v>#N/A</v>
      </c>
      <c r="G637" s="107" t="e">
        <f>VLOOKUP(B637,'Gebouwgegevens Allacker'!$J$5:$Q$83,7,0)</f>
        <v>#N/A</v>
      </c>
      <c r="H637" s="108" t="e">
        <f>VLOOKUP(B637,'Gebouwgegevens Allacker'!$J$5:$Q$83,8,0)</f>
        <v>#N/A</v>
      </c>
      <c r="I637" s="108">
        <v>1</v>
      </c>
      <c r="J637" s="98"/>
      <c r="K637" s="98"/>
      <c r="L637" s="98"/>
      <c r="M637" s="98"/>
      <c r="N637" s="98"/>
      <c r="O637" s="98"/>
      <c r="P637" s="96"/>
    </row>
    <row r="638" spans="1:16" ht="16.5" customHeight="1" x14ac:dyDescent="0.25">
      <c r="A638" s="95"/>
      <c r="B638" s="106"/>
      <c r="C638" s="107"/>
      <c r="D638" s="107"/>
      <c r="E638" s="107"/>
      <c r="F638" s="107"/>
      <c r="G638" s="107"/>
      <c r="H638" s="108"/>
      <c r="I638" s="108"/>
      <c r="J638" s="98"/>
      <c r="K638" s="98"/>
      <c r="L638" s="98"/>
      <c r="M638" s="98"/>
      <c r="N638" s="98"/>
      <c r="O638" s="98"/>
      <c r="P638" s="96"/>
    </row>
    <row r="639" spans="1:16" ht="16.5" customHeight="1" x14ac:dyDescent="0.25">
      <c r="A639" s="95"/>
      <c r="B639" s="106"/>
      <c r="C639" s="107"/>
      <c r="D639" s="107"/>
      <c r="E639" s="107"/>
      <c r="F639" s="107"/>
      <c r="G639" s="107"/>
      <c r="H639" s="108"/>
      <c r="I639" s="108"/>
      <c r="J639" s="98"/>
      <c r="K639" s="98"/>
      <c r="L639" s="98"/>
      <c r="M639" s="98"/>
      <c r="N639" s="98"/>
      <c r="O639" s="98"/>
      <c r="P639" s="96"/>
    </row>
    <row r="640" spans="1:16" ht="16.5" customHeight="1" x14ac:dyDescent="0.25">
      <c r="A640" s="95"/>
      <c r="B640" s="106"/>
      <c r="C640" s="107"/>
      <c r="D640" s="107"/>
      <c r="E640" s="107"/>
      <c r="F640" s="107"/>
      <c r="G640" s="107"/>
      <c r="H640" s="108"/>
      <c r="I640" s="108"/>
      <c r="J640" s="98"/>
      <c r="K640" s="98"/>
      <c r="L640" s="98"/>
      <c r="M640" s="98"/>
      <c r="N640" s="98"/>
      <c r="O640" s="98"/>
      <c r="P640" s="96"/>
    </row>
    <row r="641" spans="1:16" ht="16.5" customHeight="1" x14ac:dyDescent="0.25">
      <c r="A641" s="95"/>
      <c r="B641" s="106"/>
      <c r="C641" s="107"/>
      <c r="D641" s="107"/>
      <c r="E641" s="107"/>
      <c r="F641" s="107"/>
      <c r="G641" s="107"/>
      <c r="H641" s="108"/>
      <c r="I641" s="108"/>
      <c r="J641" s="98"/>
      <c r="K641" s="98"/>
      <c r="L641" s="98"/>
      <c r="M641" s="98"/>
      <c r="N641" s="98"/>
      <c r="O641" s="98"/>
      <c r="P641" s="96"/>
    </row>
    <row r="642" spans="1:16" ht="16.5" customHeight="1" x14ac:dyDescent="0.25">
      <c r="A642" s="95"/>
      <c r="B642" s="106"/>
      <c r="C642" s="107"/>
      <c r="D642" s="107"/>
      <c r="E642" s="107"/>
      <c r="F642" s="107"/>
      <c r="G642" s="107"/>
      <c r="H642" s="108"/>
      <c r="I642" s="108"/>
      <c r="J642" s="98"/>
      <c r="K642" s="98"/>
      <c r="L642" s="98"/>
      <c r="M642" s="98"/>
      <c r="N642" s="98"/>
      <c r="O642" s="98"/>
      <c r="P642" s="96"/>
    </row>
    <row r="643" spans="1:16" ht="16.5" customHeight="1" x14ac:dyDescent="0.25">
      <c r="A643" s="95"/>
      <c r="B643" s="106"/>
      <c r="C643" s="107"/>
      <c r="D643" s="107"/>
      <c r="E643" s="107"/>
      <c r="F643" s="107"/>
      <c r="G643" s="107"/>
      <c r="H643" s="108"/>
      <c r="I643" s="108"/>
      <c r="J643" s="98"/>
      <c r="K643" s="98"/>
      <c r="L643" s="98"/>
      <c r="M643" s="98"/>
      <c r="N643" s="98"/>
      <c r="O643" s="98"/>
      <c r="P643" s="96"/>
    </row>
    <row r="644" spans="1:16" ht="16.5" customHeight="1" x14ac:dyDescent="0.25">
      <c r="A644" s="95"/>
      <c r="B644" s="106"/>
      <c r="C644" s="107"/>
      <c r="D644" s="107"/>
      <c r="E644" s="107"/>
      <c r="F644" s="107"/>
      <c r="G644" s="107"/>
      <c r="H644" s="108"/>
      <c r="I644" s="108"/>
      <c r="J644" s="98"/>
      <c r="K644" s="98"/>
      <c r="L644" s="98"/>
      <c r="M644" s="98"/>
      <c r="N644" s="98"/>
      <c r="O644" s="98"/>
      <c r="P644" s="96"/>
    </row>
    <row r="645" spans="1:16" ht="16.5" customHeight="1" x14ac:dyDescent="0.25">
      <c r="A645" s="95"/>
      <c r="B645" s="106"/>
      <c r="C645" s="107"/>
      <c r="D645" s="107"/>
      <c r="E645" s="107"/>
      <c r="F645" s="107"/>
      <c r="G645" s="107"/>
      <c r="H645" s="108"/>
      <c r="I645" s="108"/>
      <c r="J645" s="98"/>
      <c r="K645" s="98"/>
      <c r="L645" s="98"/>
      <c r="M645" s="98"/>
      <c r="N645" s="98"/>
      <c r="O645" s="98"/>
      <c r="P645" s="96"/>
    </row>
    <row r="646" spans="1:16" ht="16.5" customHeight="1" x14ac:dyDescent="0.25">
      <c r="A646" s="95"/>
      <c r="B646" s="106"/>
      <c r="C646" s="107"/>
      <c r="D646" s="107"/>
      <c r="E646" s="107"/>
      <c r="F646" s="107"/>
      <c r="G646" s="107"/>
      <c r="H646" s="108"/>
      <c r="I646" s="108"/>
      <c r="J646" s="98"/>
      <c r="K646" s="98"/>
      <c r="L646" s="98"/>
      <c r="M646" s="98"/>
      <c r="N646" s="98"/>
      <c r="O646" s="98"/>
      <c r="P646" s="96"/>
    </row>
    <row r="647" spans="1:16" ht="16.5" customHeight="1" x14ac:dyDescent="0.25">
      <c r="A647" s="95"/>
      <c r="B647" s="106"/>
      <c r="C647" s="107"/>
      <c r="D647" s="107"/>
      <c r="E647" s="107"/>
      <c r="F647" s="107"/>
      <c r="G647" s="107"/>
      <c r="H647" s="108"/>
      <c r="I647" s="108"/>
      <c r="J647" s="98"/>
      <c r="K647" s="98"/>
      <c r="L647" s="98"/>
      <c r="M647" s="98"/>
      <c r="N647" s="98"/>
      <c r="O647" s="98"/>
      <c r="P647" s="96"/>
    </row>
    <row r="648" spans="1:16" ht="15.75" customHeight="1" x14ac:dyDescent="0.25">
      <c r="A648" s="95"/>
      <c r="B648" s="58"/>
      <c r="C648" s="58"/>
      <c r="D648" s="58"/>
      <c r="E648" s="58"/>
      <c r="F648" s="58"/>
      <c r="G648" s="114"/>
      <c r="H648" s="58"/>
      <c r="I648" s="58"/>
      <c r="J648" s="98"/>
      <c r="K648" s="98"/>
      <c r="L648" s="98"/>
      <c r="M648" s="98"/>
      <c r="N648" s="98"/>
      <c r="O648" s="98"/>
      <c r="P648" s="96"/>
    </row>
    <row r="649" spans="1:16" ht="15" customHeight="1" x14ac:dyDescent="0.25">
      <c r="A649" s="95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6"/>
    </row>
    <row r="650" spans="1:16" ht="15" customHeight="1" x14ac:dyDescent="0.25">
      <c r="A650" s="103" t="s">
        <v>177</v>
      </c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6"/>
    </row>
    <row r="651" spans="1:16" ht="15.75" customHeight="1" x14ac:dyDescent="0.25">
      <c r="A651" s="95"/>
      <c r="B651" s="58" t="s">
        <v>10</v>
      </c>
      <c r="C651" s="58" t="s">
        <v>178</v>
      </c>
      <c r="D651" s="58" t="s">
        <v>172</v>
      </c>
      <c r="E651" s="58" t="s">
        <v>179</v>
      </c>
      <c r="F651" s="58" t="s">
        <v>16</v>
      </c>
      <c r="G651" s="114" t="s">
        <v>17</v>
      </c>
      <c r="H651" s="114" t="s">
        <v>175</v>
      </c>
      <c r="I651" s="58" t="s">
        <v>180</v>
      </c>
      <c r="J651" s="58" t="s">
        <v>181</v>
      </c>
      <c r="K651" s="58" t="s">
        <v>182</v>
      </c>
      <c r="L651" s="115" t="s">
        <v>183</v>
      </c>
      <c r="M651" s="115" t="s">
        <v>184</v>
      </c>
      <c r="N651" s="115" t="s">
        <v>185</v>
      </c>
      <c r="O651" s="98"/>
      <c r="P651" s="96"/>
    </row>
    <row r="652" spans="1:16" ht="16.5" customHeight="1" x14ac:dyDescent="0.25">
      <c r="A652" s="95"/>
      <c r="B652" s="116" t="s">
        <v>253</v>
      </c>
      <c r="C652" s="117" t="e">
        <f>VLOOKUP(B652,'Gebouwgegevens Allacker'!$J$5:$Q$83,3,0)</f>
        <v>#N/A</v>
      </c>
      <c r="D652" s="117" t="e">
        <f>VLOOKUP(B652,'Gebouwgegevens Allacker'!$J$5:$Q$83,4,0)</f>
        <v>#N/A</v>
      </c>
      <c r="E652" s="117" t="e">
        <f>VLOOKUP(B652,'Gebouwgegevens Allacker'!$J$5:$Q$83,5,0)</f>
        <v>#N/A</v>
      </c>
      <c r="F652" s="117" t="e">
        <f>VLOOKUP(B652,'Gebouwgegevens Allacker'!$J$5:$Q$83,7,0)</f>
        <v>#N/A</v>
      </c>
      <c r="G652" s="118" t="e">
        <f>VLOOKUP(B652,'Gebouwgegevens Allacker'!$J$5:$Q$83,8,0)</f>
        <v>#N/A</v>
      </c>
      <c r="H652" s="118" t="e">
        <f>N652/F652</f>
        <v>#N/A</v>
      </c>
      <c r="I652" s="117" t="e">
        <f>VLOOKUP(C652,'Gebouwgegevens Allacker'!$A$35:$F$46,6,0)</f>
        <v>#N/A</v>
      </c>
      <c r="J652" s="116">
        <v>6.52</v>
      </c>
      <c r="K652" s="116">
        <v>0.33</v>
      </c>
      <c r="L652" s="119" t="e">
        <f>I652/(0.5*J652)</f>
        <v>#N/A</v>
      </c>
      <c r="M652" s="119" t="e">
        <f>K652+2*(1/F652)</f>
        <v>#N/A</v>
      </c>
      <c r="N652" s="120" t="e">
        <f>IF(M652&lt;L652,2*2/(PI()*L652+M652)*LN(PI()*L652/M652+1),2/(0.457*L652+M652))</f>
        <v>#N/A</v>
      </c>
      <c r="O652" s="98"/>
      <c r="P652" s="96"/>
    </row>
    <row r="653" spans="1:16" ht="16.5" customHeight="1" x14ac:dyDescent="0.25">
      <c r="A653" s="95"/>
      <c r="B653" s="116"/>
      <c r="C653" s="117"/>
      <c r="D653" s="117"/>
      <c r="E653" s="117"/>
      <c r="F653" s="117"/>
      <c r="G653" s="118"/>
      <c r="H653" s="118"/>
      <c r="I653" s="117"/>
      <c r="J653" s="116"/>
      <c r="K653" s="116"/>
      <c r="L653" s="119"/>
      <c r="M653" s="119"/>
      <c r="N653" s="120"/>
      <c r="O653" s="98"/>
      <c r="P653" s="96"/>
    </row>
    <row r="654" spans="1:16" ht="16.5" customHeight="1" x14ac:dyDescent="0.25">
      <c r="A654" s="95"/>
      <c r="B654" s="116"/>
      <c r="C654" s="117"/>
      <c r="D654" s="117"/>
      <c r="E654" s="117"/>
      <c r="F654" s="117"/>
      <c r="G654" s="118"/>
      <c r="H654" s="118"/>
      <c r="I654" s="117"/>
      <c r="J654" s="116"/>
      <c r="K654" s="116"/>
      <c r="L654" s="119"/>
      <c r="M654" s="119"/>
      <c r="N654" s="120"/>
      <c r="O654" s="98"/>
      <c r="P654" s="96"/>
    </row>
    <row r="655" spans="1:16" ht="16.5" customHeight="1" x14ac:dyDescent="0.25">
      <c r="A655" s="95"/>
      <c r="B655" s="116"/>
      <c r="C655" s="117"/>
      <c r="D655" s="117"/>
      <c r="E655" s="117"/>
      <c r="F655" s="117"/>
      <c r="G655" s="118"/>
      <c r="H655" s="118"/>
      <c r="I655" s="117"/>
      <c r="J655" s="116"/>
      <c r="K655" s="116"/>
      <c r="L655" s="119"/>
      <c r="M655" s="119"/>
      <c r="N655" s="120"/>
      <c r="O655" s="98"/>
      <c r="P655" s="96"/>
    </row>
    <row r="656" spans="1:16" ht="16.5" customHeight="1" x14ac:dyDescent="0.25">
      <c r="A656" s="138"/>
      <c r="B656" s="116"/>
      <c r="C656" s="117"/>
      <c r="D656" s="117"/>
      <c r="E656" s="117"/>
      <c r="F656" s="117"/>
      <c r="G656" s="118"/>
      <c r="H656" s="118"/>
      <c r="I656" s="117"/>
      <c r="J656" s="116"/>
      <c r="K656" s="116"/>
      <c r="L656" s="119"/>
      <c r="M656" s="119"/>
      <c r="N656" s="120"/>
      <c r="O656" s="98"/>
      <c r="P656" s="96"/>
    </row>
    <row r="657" spans="1:16" ht="15.75" customHeight="1" x14ac:dyDescent="0.25">
      <c r="A657" s="95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6"/>
    </row>
    <row r="658" spans="1:16" ht="15" customHeight="1" x14ac:dyDescent="0.25">
      <c r="A658" s="103" t="s">
        <v>186</v>
      </c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6"/>
    </row>
    <row r="659" spans="1:16" ht="15.75" customHeight="1" x14ac:dyDescent="0.25">
      <c r="A659" s="95"/>
      <c r="B659" s="58" t="s">
        <v>10</v>
      </c>
      <c r="C659" s="58" t="s">
        <v>187</v>
      </c>
      <c r="D659" s="58" t="s">
        <v>188</v>
      </c>
      <c r="E659" s="58" t="s">
        <v>135</v>
      </c>
      <c r="F659" s="58" t="s">
        <v>189</v>
      </c>
      <c r="G659" s="58" t="s">
        <v>190</v>
      </c>
      <c r="H659" s="58" t="s">
        <v>191</v>
      </c>
      <c r="I659" s="58" t="s">
        <v>16</v>
      </c>
      <c r="J659" s="114" t="s">
        <v>17</v>
      </c>
      <c r="K659" s="114" t="s">
        <v>175</v>
      </c>
      <c r="L659" s="98"/>
      <c r="M659" s="98"/>
      <c r="N659" s="98"/>
      <c r="O659" s="98"/>
      <c r="P659" s="96"/>
    </row>
    <row r="660" spans="1:16" ht="16.5" customHeight="1" x14ac:dyDescent="0.25">
      <c r="A660" s="95"/>
      <c r="B660" s="116" t="s">
        <v>219</v>
      </c>
      <c r="C660" s="122" t="e">
        <f>IF(VLOOKUP(B660,'Gebouwgegevens Allacker'!$J$5:$Q$83,2,0)=$B$630,VLOOKUP(B660,'Gebouwgegevens Allacker'!$J$5:$Q$83,2,0),VLOOKUP(B660,'Gebouwgegevens Allacker'!$J$5:$Q$83,3,0))</f>
        <v>#N/A</v>
      </c>
      <c r="D660" s="122" t="e">
        <f>IF(VLOOKUP(B660,'Gebouwgegevens Allacker'!$J$5:$Q$83,2,0)=$B$630,VLOOKUP(B660,'Gebouwgegevens Allacker'!$J$5:$Q$83,3,0),VLOOKUP(B660,'Gebouwgegevens Allacker'!$J$5:$Q$83,2,0))</f>
        <v>#N/A</v>
      </c>
      <c r="E660" s="122" t="e">
        <f>VLOOKUP(B660,'Gebouwgegevens Allacker'!$J$5:$Q$83,4,0)</f>
        <v>#N/A</v>
      </c>
      <c r="F660" s="122" t="e">
        <f>VLOOKUP(B660,'Gebouwgegevens Allacker'!$J$5:$Q$83,5,0)</f>
        <v>#N/A</v>
      </c>
      <c r="G660" s="122" t="e">
        <f>VLOOKUP('Verwarming Allacker'!C660,'Gebouwgegevens Allacker'!$A$35:$F$46,5,0)</f>
        <v>#N/A</v>
      </c>
      <c r="H660" s="122" t="e">
        <f>VLOOKUP('Verwarming Allacker'!D660,'Gebouwgegevens Allacker'!$A$35:$F$46,5,0)</f>
        <v>#N/A</v>
      </c>
      <c r="I660" s="122" t="e">
        <f>VLOOKUP(B660,'Gebouwgegevens Allacker'!$J$5:$Q$83,7,0)</f>
        <v>#N/A</v>
      </c>
      <c r="J660" s="118" t="e">
        <f>VLOOKUP(B660,'Gebouwgegevens Allacker'!$J$5:$Q$83,8,0)</f>
        <v>#N/A</v>
      </c>
      <c r="K660" s="118" t="e">
        <f>(G660-H660)/(G660-$B$4)</f>
        <v>#N/A</v>
      </c>
      <c r="L660" s="98"/>
      <c r="M660" s="98"/>
      <c r="N660" s="98"/>
      <c r="O660" s="98"/>
      <c r="P660" s="96"/>
    </row>
    <row r="661" spans="1:16" ht="16.5" customHeight="1" x14ac:dyDescent="0.25">
      <c r="A661" s="95"/>
      <c r="B661" s="116" t="s">
        <v>254</v>
      </c>
      <c r="C661" s="122" t="e">
        <f>IF(VLOOKUP(B661,'Gebouwgegevens Allacker'!$J$5:$Q$83,2,0)=$B$630,VLOOKUP(B661,'Gebouwgegevens Allacker'!$J$5:$Q$83,2,0),VLOOKUP(B661,'Gebouwgegevens Allacker'!$J$5:$Q$83,3,0))</f>
        <v>#N/A</v>
      </c>
      <c r="D661" s="122" t="e">
        <f>IF(VLOOKUP(B661,'Gebouwgegevens Allacker'!$J$5:$Q$83,2,0)=$B$630,VLOOKUP(B661,'Gebouwgegevens Allacker'!$J$5:$Q$83,3,0),VLOOKUP(B661,'Gebouwgegevens Allacker'!$J$5:$Q$83,2,0))</f>
        <v>#N/A</v>
      </c>
      <c r="E661" s="122" t="e">
        <f>VLOOKUP(B661,'Gebouwgegevens Allacker'!$J$5:$Q$83,4,0)</f>
        <v>#N/A</v>
      </c>
      <c r="F661" s="122" t="e">
        <f>VLOOKUP(B661,'Gebouwgegevens Allacker'!$J$5:$Q$83,5,0)</f>
        <v>#N/A</v>
      </c>
      <c r="G661" s="122" t="e">
        <f>VLOOKUP('Verwarming Allacker'!C661,'Gebouwgegevens Allacker'!$A$35:$F$46,5,0)</f>
        <v>#N/A</v>
      </c>
      <c r="H661" s="122" t="e">
        <f>VLOOKUP('Verwarming Allacker'!D661,'Gebouwgegevens Allacker'!$A$35:$F$46,5,0)</f>
        <v>#N/A</v>
      </c>
      <c r="I661" s="122" t="e">
        <f>VLOOKUP(B661,'Gebouwgegevens Allacker'!$J$5:$Q$83,7,0)</f>
        <v>#N/A</v>
      </c>
      <c r="J661" s="118" t="e">
        <f>VLOOKUP(B661,'Gebouwgegevens Allacker'!$J$5:$Q$83,8,0)</f>
        <v>#N/A</v>
      </c>
      <c r="K661" s="118" t="e">
        <f>(G661-H661)/(G661-$B$4)</f>
        <v>#N/A</v>
      </c>
      <c r="L661" s="98"/>
      <c r="M661" s="98"/>
      <c r="N661" s="98"/>
      <c r="O661" s="98"/>
      <c r="P661" s="96"/>
    </row>
    <row r="662" spans="1:16" ht="16.5" customHeight="1" x14ac:dyDescent="0.25">
      <c r="A662" s="95"/>
      <c r="B662" s="116"/>
      <c r="C662" s="122"/>
      <c r="D662" s="122"/>
      <c r="E662" s="122"/>
      <c r="F662" s="122"/>
      <c r="G662" s="122"/>
      <c r="H662" s="122"/>
      <c r="I662" s="122"/>
      <c r="J662" s="118"/>
      <c r="K662" s="118"/>
      <c r="L662" s="98"/>
      <c r="M662" s="98"/>
      <c r="N662" s="98"/>
      <c r="O662" s="98"/>
      <c r="P662" s="96"/>
    </row>
    <row r="663" spans="1:16" ht="16.5" customHeight="1" x14ac:dyDescent="0.25">
      <c r="A663" s="95"/>
      <c r="B663" s="116"/>
      <c r="C663" s="122"/>
      <c r="D663" s="122"/>
      <c r="E663" s="122"/>
      <c r="F663" s="122"/>
      <c r="G663" s="122"/>
      <c r="H663" s="122"/>
      <c r="I663" s="122"/>
      <c r="J663" s="118"/>
      <c r="K663" s="118"/>
      <c r="L663" s="98"/>
      <c r="M663" s="98"/>
      <c r="N663" s="98"/>
      <c r="O663" s="98"/>
      <c r="P663" s="96"/>
    </row>
    <row r="664" spans="1:16" ht="16.5" customHeight="1" x14ac:dyDescent="0.25">
      <c r="A664" s="95"/>
      <c r="B664" s="145"/>
      <c r="C664" s="122"/>
      <c r="D664" s="122"/>
      <c r="E664" s="122"/>
      <c r="F664" s="122"/>
      <c r="G664" s="122"/>
      <c r="H664" s="122"/>
      <c r="I664" s="122"/>
      <c r="J664" s="118"/>
      <c r="K664" s="118"/>
      <c r="L664" s="98"/>
      <c r="M664" s="98"/>
      <c r="N664" s="98"/>
      <c r="O664" s="98"/>
      <c r="P664" s="96"/>
    </row>
    <row r="665" spans="1:16" ht="16.5" customHeight="1" x14ac:dyDescent="0.25">
      <c r="A665" s="95"/>
      <c r="B665" s="123"/>
      <c r="C665" s="139"/>
      <c r="D665" s="122"/>
      <c r="E665" s="122"/>
      <c r="F665" s="122"/>
      <c r="G665" s="122"/>
      <c r="H665" s="122"/>
      <c r="I665" s="122"/>
      <c r="J665" s="118"/>
      <c r="K665" s="118"/>
      <c r="L665" s="98"/>
      <c r="M665" s="98"/>
      <c r="N665" s="98"/>
      <c r="O665" s="98"/>
      <c r="P665" s="96"/>
    </row>
    <row r="666" spans="1:16" ht="16.5" customHeight="1" x14ac:dyDescent="0.25">
      <c r="A666" s="95"/>
      <c r="B666" s="123"/>
      <c r="C666" s="139"/>
      <c r="D666" s="122"/>
      <c r="E666" s="122"/>
      <c r="F666" s="122"/>
      <c r="G666" s="122"/>
      <c r="H666" s="122"/>
      <c r="I666" s="122"/>
      <c r="J666" s="118"/>
      <c r="K666" s="118"/>
      <c r="L666" s="98"/>
      <c r="M666" s="98"/>
      <c r="N666" s="98"/>
      <c r="O666" s="98"/>
      <c r="P666" s="96"/>
    </row>
    <row r="667" spans="1:16" ht="16.5" customHeight="1" x14ac:dyDescent="0.25">
      <c r="A667" s="95"/>
      <c r="B667" s="123"/>
      <c r="C667" s="139"/>
      <c r="D667" s="122"/>
      <c r="E667" s="122"/>
      <c r="F667" s="122"/>
      <c r="G667" s="122"/>
      <c r="H667" s="122"/>
      <c r="I667" s="122"/>
      <c r="J667" s="118"/>
      <c r="K667" s="118"/>
      <c r="L667" s="98"/>
      <c r="M667" s="98"/>
      <c r="N667" s="98"/>
      <c r="O667" s="98"/>
      <c r="P667" s="96"/>
    </row>
    <row r="668" spans="1:16" ht="16.5" customHeight="1" x14ac:dyDescent="0.25">
      <c r="A668" s="95"/>
      <c r="B668" s="123"/>
      <c r="C668" s="139"/>
      <c r="D668" s="122"/>
      <c r="E668" s="122"/>
      <c r="F668" s="122"/>
      <c r="G668" s="122"/>
      <c r="H668" s="122"/>
      <c r="I668" s="122"/>
      <c r="J668" s="118"/>
      <c r="K668" s="118"/>
      <c r="L668" s="98"/>
      <c r="M668" s="98"/>
      <c r="N668" s="98"/>
      <c r="O668" s="98"/>
      <c r="P668" s="96"/>
    </row>
    <row r="669" spans="1:16" ht="16.5" customHeight="1" x14ac:dyDescent="0.25">
      <c r="A669" s="95"/>
      <c r="B669" s="123"/>
      <c r="C669" s="139"/>
      <c r="D669" s="122"/>
      <c r="E669" s="122"/>
      <c r="F669" s="122"/>
      <c r="G669" s="122"/>
      <c r="H669" s="122"/>
      <c r="I669" s="122"/>
      <c r="J669" s="118"/>
      <c r="K669" s="118"/>
      <c r="L669" s="98"/>
      <c r="M669" s="98"/>
      <c r="N669" s="98"/>
      <c r="O669" s="98"/>
      <c r="P669" s="96"/>
    </row>
    <row r="670" spans="1:16" ht="15.75" customHeight="1" x14ac:dyDescent="0.25">
      <c r="A670" s="95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8"/>
      <c r="M670" s="98"/>
      <c r="N670" s="98"/>
      <c r="O670" s="98"/>
      <c r="P670" s="96"/>
    </row>
    <row r="671" spans="1:16" ht="15" customHeight="1" x14ac:dyDescent="0.25">
      <c r="A671" s="95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6"/>
    </row>
    <row r="672" spans="1:16" ht="15.75" customHeight="1" x14ac:dyDescent="0.25">
      <c r="A672" s="103" t="s">
        <v>192</v>
      </c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6"/>
    </row>
    <row r="673" spans="1:16" ht="16.5" customHeight="1" x14ac:dyDescent="0.25">
      <c r="A673" s="124" t="s">
        <v>193</v>
      </c>
      <c r="B673" s="118" t="e">
        <f>SUMPRODUCT(H636:H647,I636:I647)+SUMPRODUCT(G652:G656,H652:H656)+SUMPRODUCT(J660:J669,K660:K669)</f>
        <v>#N/A</v>
      </c>
      <c r="C673" s="118" t="s">
        <v>107</v>
      </c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6"/>
    </row>
    <row r="674" spans="1:16" ht="16.5" customHeight="1" x14ac:dyDescent="0.25">
      <c r="A674" s="124" t="s">
        <v>167</v>
      </c>
      <c r="B674" s="118" t="e">
        <f>B673*(G660-$B$4)</f>
        <v>#N/A</v>
      </c>
      <c r="C674" s="118" t="s">
        <v>169</v>
      </c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6"/>
    </row>
    <row r="675" spans="1:16" ht="15.75" customHeight="1" x14ac:dyDescent="0.25">
      <c r="A675" s="109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1"/>
    </row>
    <row r="676" spans="1:16" ht="15.75" customHeight="1" x14ac:dyDescent="0.25">
      <c r="A676" s="343" t="s">
        <v>194</v>
      </c>
      <c r="B676" s="343"/>
      <c r="C676" s="343"/>
      <c r="D676" s="125" t="s">
        <v>222</v>
      </c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94"/>
    </row>
    <row r="677" spans="1:16" ht="15" customHeight="1" x14ac:dyDescent="0.25">
      <c r="A677" s="95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6"/>
    </row>
    <row r="678" spans="1:16" ht="15" customHeight="1" x14ac:dyDescent="0.25">
      <c r="A678" s="126" t="s">
        <v>195</v>
      </c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6"/>
    </row>
    <row r="679" spans="1:16" ht="15" customHeight="1" x14ac:dyDescent="0.25">
      <c r="A679" s="127" t="s">
        <v>196</v>
      </c>
      <c r="B679" s="121">
        <v>8</v>
      </c>
      <c r="C679" s="120" t="s">
        <v>197</v>
      </c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6"/>
    </row>
    <row r="680" spans="1:16" ht="15" customHeight="1" x14ac:dyDescent="0.25">
      <c r="A680" s="127" t="s">
        <v>198</v>
      </c>
      <c r="B680" s="121">
        <v>0.03</v>
      </c>
      <c r="C680" s="120" t="s">
        <v>199</v>
      </c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6"/>
    </row>
    <row r="681" spans="1:16" ht="15.75" customHeight="1" x14ac:dyDescent="0.25">
      <c r="A681" s="127" t="s">
        <v>200</v>
      </c>
      <c r="B681" s="121">
        <v>1</v>
      </c>
      <c r="C681" s="120" t="s">
        <v>201</v>
      </c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6"/>
    </row>
    <row r="682" spans="1:16" ht="16.5" customHeight="1" x14ac:dyDescent="0.25">
      <c r="A682" s="124" t="s">
        <v>202</v>
      </c>
      <c r="B682" s="118" t="e">
        <f>2*VLOOKUP(B630,'Gebouwgegevens Allacker'!$A$35:$F$46,6,0)*B679*B680*B681</f>
        <v>#N/A</v>
      </c>
      <c r="C682" s="118" t="s">
        <v>203</v>
      </c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6"/>
    </row>
    <row r="683" spans="1:16" ht="15.75" customHeight="1" x14ac:dyDescent="0.25">
      <c r="A683" s="138"/>
      <c r="B683" s="58"/>
      <c r="C683" s="5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6"/>
    </row>
    <row r="684" spans="1:16" ht="15" customHeight="1" x14ac:dyDescent="0.25">
      <c r="A684" s="146" t="s">
        <v>204</v>
      </c>
      <c r="B684" s="58"/>
      <c r="C684" s="5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6"/>
    </row>
    <row r="685" spans="1:16" ht="15.75" customHeight="1" x14ac:dyDescent="0.25">
      <c r="A685" s="138" t="s">
        <v>180</v>
      </c>
      <c r="B685" s="58" t="e">
        <f>VLOOKUP(B630,'Gebouwgegevens Allacker'!$A$35:$F$46,6,0)</f>
        <v>#N/A</v>
      </c>
      <c r="C685" s="5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6"/>
    </row>
    <row r="686" spans="1:16" ht="16.5" customHeight="1" x14ac:dyDescent="0.25">
      <c r="A686" s="124" t="s">
        <v>205</v>
      </c>
      <c r="B686" s="128">
        <v>50</v>
      </c>
      <c r="C686" s="118" t="s">
        <v>203</v>
      </c>
      <c r="D686" s="147" t="s">
        <v>255</v>
      </c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6"/>
    </row>
    <row r="687" spans="1:16" ht="15.75" customHeight="1" x14ac:dyDescent="0.25">
      <c r="A687" s="138"/>
      <c r="B687" s="58"/>
      <c r="C687" s="5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6"/>
    </row>
    <row r="688" spans="1:16" ht="15.75" customHeight="1" x14ac:dyDescent="0.25">
      <c r="A688" s="138"/>
      <c r="B688" s="58"/>
      <c r="C688" s="5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6"/>
    </row>
    <row r="689" spans="1:16" ht="16.5" customHeight="1" x14ac:dyDescent="0.25">
      <c r="A689" s="124" t="s">
        <v>207</v>
      </c>
      <c r="B689" s="118" t="e">
        <f>MAX(B682,B686)</f>
        <v>#N/A</v>
      </c>
      <c r="C689" s="118" t="s">
        <v>203</v>
      </c>
      <c r="D689" s="98"/>
      <c r="E689" s="98"/>
      <c r="F689" s="118" t="s">
        <v>208</v>
      </c>
      <c r="G689" s="118" t="e">
        <f>B689/VLOOKUP(B630,'Gebouwgegevens Allacker'!$A$35:$B$46,2,0)</f>
        <v>#N/A</v>
      </c>
      <c r="H689" s="98"/>
      <c r="I689" s="98"/>
      <c r="J689" s="98"/>
      <c r="K689" s="98"/>
      <c r="L689" s="98"/>
      <c r="M689" s="98"/>
      <c r="N689" s="98"/>
      <c r="O689" s="98"/>
      <c r="P689" s="96"/>
    </row>
    <row r="690" spans="1:16" ht="16.5" customHeight="1" x14ac:dyDescent="0.25">
      <c r="A690" s="138"/>
      <c r="B690" s="58"/>
      <c r="C690" s="5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6"/>
    </row>
    <row r="691" spans="1:16" ht="16.5" customHeight="1" x14ac:dyDescent="0.25">
      <c r="A691" s="124" t="s">
        <v>209</v>
      </c>
      <c r="B691" s="118" t="e">
        <f>0.34*B689</f>
        <v>#N/A</v>
      </c>
      <c r="C691" s="118" t="s">
        <v>107</v>
      </c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6"/>
    </row>
    <row r="692" spans="1:16" ht="16.5" customHeight="1" x14ac:dyDescent="0.25">
      <c r="A692" s="124" t="s">
        <v>167</v>
      </c>
      <c r="B692" s="118" t="e">
        <f>B691*('Gebouwgegevens Allacker'!E652-$B$4)</f>
        <v>#N/A</v>
      </c>
      <c r="C692" s="118" t="s">
        <v>169</v>
      </c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6"/>
    </row>
    <row r="693" spans="1:16" ht="15.75" customHeight="1" x14ac:dyDescent="0.25">
      <c r="A693" s="140"/>
      <c r="B693" s="141"/>
      <c r="C693" s="141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1"/>
    </row>
    <row r="694" spans="1:16" ht="15.75" customHeight="1" x14ac:dyDescent="0.25">
      <c r="A694" s="343" t="s">
        <v>210</v>
      </c>
      <c r="B694" s="343"/>
      <c r="C694" s="343"/>
      <c r="D694" s="343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6"/>
    </row>
    <row r="695" spans="1:16" ht="15" customHeight="1" x14ac:dyDescent="0.25">
      <c r="A695" s="95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6"/>
    </row>
    <row r="696" spans="1:16" ht="15" customHeight="1" x14ac:dyDescent="0.25">
      <c r="A696" s="127" t="s">
        <v>211</v>
      </c>
      <c r="B696" s="121">
        <v>0</v>
      </c>
      <c r="C696" s="58" t="s">
        <v>232</v>
      </c>
      <c r="D696" s="5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6"/>
    </row>
    <row r="697" spans="1:16" ht="15.75" customHeight="1" x14ac:dyDescent="0.25">
      <c r="A697" s="3" t="s">
        <v>113</v>
      </c>
      <c r="B697" s="58" t="e">
        <f>VLOOKUP(B630,'Gebouwgegevens Allacker'!$A$35:$F$46,6,0)</f>
        <v>#N/A</v>
      </c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6"/>
    </row>
    <row r="698" spans="1:16" ht="16.5" customHeight="1" x14ac:dyDescent="0.25">
      <c r="A698" s="124" t="s">
        <v>213</v>
      </c>
      <c r="B698" s="118" t="e">
        <f>B699/('Gebouwgegevens Allacker'!E652-'Verwarming Allacker'!$B$4)</f>
        <v>#N/A</v>
      </c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6"/>
    </row>
    <row r="699" spans="1:16" ht="16.5" customHeight="1" x14ac:dyDescent="0.25">
      <c r="A699" s="124" t="s">
        <v>167</v>
      </c>
      <c r="B699" s="118" t="e">
        <f>B696*B697</f>
        <v>#N/A</v>
      </c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6"/>
    </row>
    <row r="700" spans="1:16" ht="15.75" customHeight="1" x14ac:dyDescent="0.25">
      <c r="A700" s="95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6"/>
    </row>
    <row r="701" spans="1:16" ht="15.75" customHeight="1" x14ac:dyDescent="0.25">
      <c r="A701" s="95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6"/>
    </row>
    <row r="702" spans="1:16" ht="15.75" customHeight="1" x14ac:dyDescent="0.25">
      <c r="A702" s="129" t="s">
        <v>214</v>
      </c>
      <c r="B702" s="130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1"/>
    </row>
    <row r="703" spans="1:16" ht="16.5" customHeight="1" x14ac:dyDescent="0.25">
      <c r="A703" s="124" t="s">
        <v>215</v>
      </c>
      <c r="B703" s="118" t="e">
        <f>SUM(B673,B691,B698)</f>
        <v>#N/A</v>
      </c>
      <c r="C703" s="118" t="s">
        <v>107</v>
      </c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3"/>
    </row>
    <row r="704" spans="1:16" ht="16.5" customHeight="1" x14ac:dyDescent="0.25">
      <c r="A704" s="124" t="s">
        <v>167</v>
      </c>
      <c r="B704" s="118" t="e">
        <f>SUM(B674,B692,B699)</f>
        <v>#N/A</v>
      </c>
      <c r="C704" s="118" t="s">
        <v>169</v>
      </c>
      <c r="D704" s="132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  <c r="O704" s="132"/>
      <c r="P704" s="133"/>
    </row>
    <row r="705" spans="1:16" ht="16.5" customHeight="1" x14ac:dyDescent="0.25">
      <c r="A705" s="134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6"/>
    </row>
    <row r="706" spans="1:16" ht="15" customHeight="1" x14ac:dyDescent="0.25">
      <c r="A706" s="137"/>
      <c r="B706" s="137"/>
      <c r="C706" s="137"/>
      <c r="D706" s="137"/>
      <c r="E706" s="137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</row>
    <row r="707" spans="1:16" ht="15.75" customHeight="1" x14ac:dyDescent="0.25">
      <c r="A707" s="137"/>
      <c r="B707" s="137"/>
      <c r="C707" s="137"/>
      <c r="D707" s="137"/>
      <c r="E707" s="137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</row>
    <row r="708" spans="1:16" ht="15" customHeight="1" x14ac:dyDescent="0.25">
      <c r="A708" s="93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94"/>
    </row>
    <row r="709" spans="1:16" ht="17.25" customHeight="1" x14ac:dyDescent="0.3">
      <c r="A709" s="97" t="s">
        <v>166</v>
      </c>
      <c r="B709" s="92">
        <v>10</v>
      </c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6"/>
    </row>
    <row r="710" spans="1:16" ht="15.75" customHeight="1" x14ac:dyDescent="0.25">
      <c r="A710" s="343" t="s">
        <v>168</v>
      </c>
      <c r="B710" s="343"/>
      <c r="C710" s="343"/>
      <c r="D710" s="343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94"/>
    </row>
    <row r="711" spans="1:16" ht="15" customHeight="1" x14ac:dyDescent="0.25">
      <c r="A711" s="95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6"/>
    </row>
    <row r="712" spans="1:16" ht="15" customHeight="1" x14ac:dyDescent="0.25">
      <c r="A712" s="103" t="s">
        <v>170</v>
      </c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6"/>
    </row>
    <row r="713" spans="1:16" ht="15" customHeight="1" x14ac:dyDescent="0.25">
      <c r="A713" s="95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6"/>
    </row>
    <row r="714" spans="1:16" ht="15.75" customHeight="1" x14ac:dyDescent="0.25">
      <c r="A714" s="95"/>
      <c r="B714" s="104" t="s">
        <v>10</v>
      </c>
      <c r="C714" s="104" t="s">
        <v>171</v>
      </c>
      <c r="D714" s="104" t="s">
        <v>172</v>
      </c>
      <c r="E714" s="104" t="s">
        <v>173</v>
      </c>
      <c r="F714" s="104" t="s">
        <v>174</v>
      </c>
      <c r="G714" s="104" t="s">
        <v>16</v>
      </c>
      <c r="H714" s="105" t="s">
        <v>17</v>
      </c>
      <c r="I714" s="105" t="s">
        <v>175</v>
      </c>
      <c r="J714" s="98"/>
      <c r="K714" s="98"/>
      <c r="L714" s="98"/>
      <c r="M714" s="98"/>
      <c r="N714" s="98"/>
      <c r="O714" s="98"/>
      <c r="P714" s="96"/>
    </row>
    <row r="715" spans="1:16" ht="16.5" customHeight="1" x14ac:dyDescent="0.25">
      <c r="A715" s="95"/>
      <c r="B715" s="106" t="s">
        <v>256</v>
      </c>
      <c r="C715" s="107" t="e">
        <f>VLOOKUP(B715,'Gebouwgegevens Allacker'!$J$5:$Q$83,3,0)</f>
        <v>#N/A</v>
      </c>
      <c r="D715" s="107" t="e">
        <f>VLOOKUP(B715,'Gebouwgegevens Allacker'!$J$5:$Q$83,4,0)</f>
        <v>#N/A</v>
      </c>
      <c r="E715" s="107" t="e">
        <f>VLOOKUP(B715,'Gebouwgegevens Allacker'!$J$5:$Q$83,5,0)</f>
        <v>#N/A</v>
      </c>
      <c r="F715" s="107" t="e">
        <f>VLOOKUP(B715,'Gebouwgegevens Allacker'!$J$5:$Q$83,6,0)</f>
        <v>#N/A</v>
      </c>
      <c r="G715" s="107" t="e">
        <f>VLOOKUP(B715,'Gebouwgegevens Allacker'!$J$5:$Q$83,7,0)</f>
        <v>#N/A</v>
      </c>
      <c r="H715" s="108" t="e">
        <f>VLOOKUP(B715,'Gebouwgegevens Allacker'!$J$5:$Q$83,8,0)</f>
        <v>#N/A</v>
      </c>
      <c r="I715" s="108">
        <v>1</v>
      </c>
      <c r="J715" s="98"/>
      <c r="K715" s="98"/>
      <c r="L715" s="98"/>
      <c r="M715" s="98"/>
      <c r="N715" s="98"/>
      <c r="O715" s="98"/>
      <c r="P715" s="96"/>
    </row>
    <row r="716" spans="1:16" ht="16.5" customHeight="1" x14ac:dyDescent="0.25">
      <c r="A716" s="95"/>
      <c r="B716" s="106" t="s">
        <v>257</v>
      </c>
      <c r="C716" s="107" t="e">
        <f>VLOOKUP(B716,'Gebouwgegevens Allacker'!$J$5:$Q$83,3,0)</f>
        <v>#N/A</v>
      </c>
      <c r="D716" s="107" t="e">
        <f>VLOOKUP(B716,'Gebouwgegevens Allacker'!$J$5:$Q$83,4,0)</f>
        <v>#N/A</v>
      </c>
      <c r="E716" s="107" t="e">
        <f>VLOOKUP(B716,'Gebouwgegevens Allacker'!$J$5:$Q$83,5,0)</f>
        <v>#N/A</v>
      </c>
      <c r="F716" s="107" t="e">
        <f>VLOOKUP(B716,'Gebouwgegevens Allacker'!$J$5:$Q$83,6,0)</f>
        <v>#N/A</v>
      </c>
      <c r="G716" s="107" t="e">
        <f>VLOOKUP(B716,'Gebouwgegevens Allacker'!$J$5:$Q$83,7,0)</f>
        <v>#N/A</v>
      </c>
      <c r="H716" s="108" t="e">
        <f>VLOOKUP(B716,'Gebouwgegevens Allacker'!$J$5:$Q$83,8,0)</f>
        <v>#N/A</v>
      </c>
      <c r="I716" s="108">
        <v>1</v>
      </c>
      <c r="J716" s="98"/>
      <c r="K716" s="98"/>
      <c r="L716" s="98"/>
      <c r="M716" s="98"/>
      <c r="N716" s="98"/>
      <c r="O716" s="98"/>
      <c r="P716" s="96"/>
    </row>
    <row r="717" spans="1:16" ht="16.5" customHeight="1" x14ac:dyDescent="0.25">
      <c r="A717" s="95"/>
      <c r="B717" s="106" t="s">
        <v>258</v>
      </c>
      <c r="C717" s="107" t="e">
        <f>VLOOKUP(B717,'Gebouwgegevens Allacker'!$J$5:$Q$83,3,0)</f>
        <v>#N/A</v>
      </c>
      <c r="D717" s="107" t="e">
        <f>VLOOKUP(B717,'Gebouwgegevens Allacker'!$J$5:$Q$83,4,0)</f>
        <v>#N/A</v>
      </c>
      <c r="E717" s="107" t="e">
        <f>VLOOKUP(B717,'Gebouwgegevens Allacker'!$J$5:$Q$83,5,0)</f>
        <v>#N/A</v>
      </c>
      <c r="F717" s="107" t="e">
        <f>VLOOKUP(B717,'Gebouwgegevens Allacker'!$J$5:$Q$83,6,0)</f>
        <v>#N/A</v>
      </c>
      <c r="G717" s="107" t="e">
        <f>VLOOKUP(B717,'Gebouwgegevens Allacker'!$J$5:$Q$83,7,0)</f>
        <v>#N/A</v>
      </c>
      <c r="H717" s="108" t="e">
        <f>VLOOKUP(B717,'Gebouwgegevens Allacker'!$J$5:$Q$83,8,0)</f>
        <v>#N/A</v>
      </c>
      <c r="I717" s="108">
        <v>1</v>
      </c>
      <c r="J717" s="98"/>
      <c r="K717" s="98"/>
      <c r="L717" s="98"/>
      <c r="M717" s="98"/>
      <c r="N717" s="98"/>
      <c r="O717" s="98"/>
      <c r="P717" s="96"/>
    </row>
    <row r="718" spans="1:16" ht="16.5" customHeight="1" x14ac:dyDescent="0.25">
      <c r="A718" s="95"/>
      <c r="B718" s="106"/>
      <c r="C718" s="107"/>
      <c r="D718" s="107"/>
      <c r="E718" s="107"/>
      <c r="F718" s="107"/>
      <c r="G718" s="107"/>
      <c r="H718" s="108"/>
      <c r="I718" s="108"/>
      <c r="J718" s="98"/>
      <c r="K718" s="98"/>
      <c r="L718" s="98"/>
      <c r="M718" s="98"/>
      <c r="N718" s="98"/>
      <c r="O718" s="98"/>
      <c r="P718" s="96"/>
    </row>
    <row r="719" spans="1:16" ht="16.5" customHeight="1" x14ac:dyDescent="0.25">
      <c r="A719" s="95"/>
      <c r="B719" s="106"/>
      <c r="C719" s="107"/>
      <c r="D719" s="107"/>
      <c r="E719" s="107"/>
      <c r="F719" s="107"/>
      <c r="G719" s="107"/>
      <c r="H719" s="108"/>
      <c r="I719" s="108"/>
      <c r="J719" s="98"/>
      <c r="K719" s="98"/>
      <c r="L719" s="98"/>
      <c r="M719" s="98"/>
      <c r="N719" s="98"/>
      <c r="O719" s="98"/>
      <c r="P719" s="96"/>
    </row>
    <row r="720" spans="1:16" ht="16.5" customHeight="1" x14ac:dyDescent="0.25">
      <c r="A720" s="95"/>
      <c r="B720" s="106"/>
      <c r="C720" s="107"/>
      <c r="D720" s="107"/>
      <c r="E720" s="107"/>
      <c r="F720" s="107"/>
      <c r="G720" s="107"/>
      <c r="H720" s="108"/>
      <c r="I720" s="108"/>
      <c r="J720" s="98"/>
      <c r="K720" s="98"/>
      <c r="L720" s="98"/>
      <c r="M720" s="98"/>
      <c r="N720" s="98"/>
      <c r="O720" s="98"/>
      <c r="P720" s="96"/>
    </row>
    <row r="721" spans="1:16" ht="16.5" customHeight="1" x14ac:dyDescent="0.25">
      <c r="A721" s="95"/>
      <c r="B721" s="106"/>
      <c r="C721" s="107"/>
      <c r="D721" s="107"/>
      <c r="E721" s="107"/>
      <c r="F721" s="107"/>
      <c r="G721" s="107"/>
      <c r="H721" s="108"/>
      <c r="I721" s="108"/>
      <c r="J721" s="98"/>
      <c r="K721" s="98"/>
      <c r="L721" s="98"/>
      <c r="M721" s="98"/>
      <c r="N721" s="98"/>
      <c r="O721" s="98"/>
      <c r="P721" s="96"/>
    </row>
    <row r="722" spans="1:16" ht="16.5" customHeight="1" x14ac:dyDescent="0.25">
      <c r="A722" s="95"/>
      <c r="B722" s="106"/>
      <c r="C722" s="107"/>
      <c r="D722" s="107"/>
      <c r="E722" s="107"/>
      <c r="F722" s="107"/>
      <c r="G722" s="107"/>
      <c r="H722" s="108"/>
      <c r="I722" s="108"/>
      <c r="J722" s="98"/>
      <c r="K722" s="98"/>
      <c r="L722" s="98"/>
      <c r="M722" s="98"/>
      <c r="N722" s="98"/>
      <c r="O722" s="98"/>
      <c r="P722" s="96"/>
    </row>
    <row r="723" spans="1:16" ht="16.5" customHeight="1" x14ac:dyDescent="0.25">
      <c r="A723" s="95"/>
      <c r="B723" s="106"/>
      <c r="C723" s="107"/>
      <c r="D723" s="107"/>
      <c r="E723" s="107"/>
      <c r="F723" s="107"/>
      <c r="G723" s="107"/>
      <c r="H723" s="108"/>
      <c r="I723" s="108"/>
      <c r="J723" s="98"/>
      <c r="K723" s="98"/>
      <c r="L723" s="98"/>
      <c r="M723" s="98"/>
      <c r="N723" s="98"/>
      <c r="O723" s="98"/>
      <c r="P723" s="96"/>
    </row>
    <row r="724" spans="1:16" ht="16.5" customHeight="1" x14ac:dyDescent="0.25">
      <c r="A724" s="95"/>
      <c r="B724" s="106"/>
      <c r="C724" s="107"/>
      <c r="D724" s="107"/>
      <c r="E724" s="107"/>
      <c r="F724" s="107"/>
      <c r="G724" s="107"/>
      <c r="H724" s="108"/>
      <c r="I724" s="108"/>
      <c r="J724" s="98"/>
      <c r="K724" s="98"/>
      <c r="L724" s="98"/>
      <c r="M724" s="98"/>
      <c r="N724" s="98"/>
      <c r="O724" s="98"/>
      <c r="P724" s="96"/>
    </row>
    <row r="725" spans="1:16" ht="16.5" customHeight="1" x14ac:dyDescent="0.25">
      <c r="A725" s="95"/>
      <c r="B725" s="106"/>
      <c r="C725" s="107"/>
      <c r="D725" s="107"/>
      <c r="E725" s="107"/>
      <c r="F725" s="107"/>
      <c r="G725" s="107"/>
      <c r="H725" s="108"/>
      <c r="I725" s="108"/>
      <c r="J725" s="98"/>
      <c r="K725" s="98"/>
      <c r="L725" s="98"/>
      <c r="M725" s="98"/>
      <c r="N725" s="98"/>
      <c r="O725" s="98"/>
      <c r="P725" s="96"/>
    </row>
    <row r="726" spans="1:16" ht="16.5" customHeight="1" x14ac:dyDescent="0.25">
      <c r="A726" s="95"/>
      <c r="B726" s="106"/>
      <c r="C726" s="107"/>
      <c r="D726" s="107"/>
      <c r="E726" s="107"/>
      <c r="F726" s="107"/>
      <c r="G726" s="107"/>
      <c r="H726" s="108"/>
      <c r="I726" s="108"/>
      <c r="J726" s="98"/>
      <c r="K726" s="98"/>
      <c r="L726" s="98"/>
      <c r="M726" s="98"/>
      <c r="N726" s="98"/>
      <c r="O726" s="98"/>
      <c r="P726" s="96"/>
    </row>
    <row r="727" spans="1:16" ht="15.75" customHeight="1" x14ac:dyDescent="0.25">
      <c r="A727" s="95"/>
      <c r="B727" s="58"/>
      <c r="C727" s="58"/>
      <c r="D727" s="58"/>
      <c r="E727" s="58"/>
      <c r="F727" s="58"/>
      <c r="G727" s="114"/>
      <c r="H727" s="58"/>
      <c r="I727" s="58"/>
      <c r="J727" s="98"/>
      <c r="K727" s="98"/>
      <c r="L727" s="98"/>
      <c r="M727" s="98"/>
      <c r="N727" s="98"/>
      <c r="O727" s="98"/>
      <c r="P727" s="96"/>
    </row>
    <row r="728" spans="1:16" ht="15" customHeight="1" x14ac:dyDescent="0.25">
      <c r="A728" s="95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6"/>
    </row>
    <row r="729" spans="1:16" ht="15" customHeight="1" x14ac:dyDescent="0.25">
      <c r="A729" s="103" t="s">
        <v>177</v>
      </c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6"/>
    </row>
    <row r="730" spans="1:16" ht="15.75" customHeight="1" x14ac:dyDescent="0.25">
      <c r="A730" s="95"/>
      <c r="B730" s="58" t="s">
        <v>10</v>
      </c>
      <c r="C730" s="58" t="s">
        <v>178</v>
      </c>
      <c r="D730" s="58" t="s">
        <v>172</v>
      </c>
      <c r="E730" s="58" t="s">
        <v>179</v>
      </c>
      <c r="F730" s="58" t="s">
        <v>16</v>
      </c>
      <c r="G730" s="114" t="s">
        <v>17</v>
      </c>
      <c r="H730" s="114" t="s">
        <v>175</v>
      </c>
      <c r="I730" s="58" t="s">
        <v>180</v>
      </c>
      <c r="J730" s="58" t="s">
        <v>181</v>
      </c>
      <c r="K730" s="58" t="s">
        <v>182</v>
      </c>
      <c r="L730" s="115" t="s">
        <v>183</v>
      </c>
      <c r="M730" s="115" t="s">
        <v>184</v>
      </c>
      <c r="N730" s="115" t="s">
        <v>185</v>
      </c>
      <c r="O730" s="98"/>
      <c r="P730" s="96"/>
    </row>
    <row r="731" spans="1:16" ht="16.5" customHeight="1" x14ac:dyDescent="0.25">
      <c r="A731" s="95"/>
      <c r="B731" s="116" t="s">
        <v>259</v>
      </c>
      <c r="C731" s="117" t="e">
        <f>VLOOKUP(B731,'Gebouwgegevens Allacker'!$J$5:$Q$83,3,0)</f>
        <v>#N/A</v>
      </c>
      <c r="D731" s="117" t="e">
        <f>VLOOKUP(B731,'Gebouwgegevens Allacker'!$J$5:$Q$83,4,0)</f>
        <v>#N/A</v>
      </c>
      <c r="E731" s="117" t="e">
        <f>VLOOKUP(B731,'Gebouwgegevens Allacker'!$J$5:$Q$83,5,0)</f>
        <v>#N/A</v>
      </c>
      <c r="F731" s="117" t="e">
        <f>VLOOKUP(B731,'Gebouwgegevens Allacker'!$J$5:$Q$83,7,0)</f>
        <v>#N/A</v>
      </c>
      <c r="G731" s="118" t="e">
        <f>VLOOKUP(B731,'Gebouwgegevens Allacker'!$J$5:$Q$83,8,0)</f>
        <v>#N/A</v>
      </c>
      <c r="H731" s="118" t="e">
        <f>N731/F731</f>
        <v>#N/A</v>
      </c>
      <c r="I731" s="117" t="e">
        <f>VLOOKUP(C731,'Gebouwgegevens Allacker'!$A$35:$F$46,6,0)</f>
        <v>#N/A</v>
      </c>
      <c r="J731" s="116">
        <v>4.68</v>
      </c>
      <c r="K731" s="116">
        <v>0.33</v>
      </c>
      <c r="L731" s="119" t="e">
        <f>I731/(0.5*J731)</f>
        <v>#N/A</v>
      </c>
      <c r="M731" s="119" t="e">
        <f>K731+2*(1/F731)</f>
        <v>#N/A</v>
      </c>
      <c r="N731" s="120" t="e">
        <f>IF(M731&lt;L731,2*2/(PI()*L731+M731)*LN(PI()*L731/M731+1),2/(0.457*L731+M731))</f>
        <v>#N/A</v>
      </c>
      <c r="O731" s="98"/>
      <c r="P731" s="96"/>
    </row>
    <row r="732" spans="1:16" ht="16.5" customHeight="1" x14ac:dyDescent="0.25">
      <c r="A732" s="95"/>
      <c r="B732" s="116"/>
      <c r="C732" s="117"/>
      <c r="D732" s="117"/>
      <c r="E732" s="117"/>
      <c r="F732" s="117"/>
      <c r="G732" s="118"/>
      <c r="H732" s="118"/>
      <c r="I732" s="117"/>
      <c r="J732" s="116"/>
      <c r="K732" s="116"/>
      <c r="L732" s="119"/>
      <c r="M732" s="119"/>
      <c r="N732" s="120"/>
      <c r="O732" s="98"/>
      <c r="P732" s="96"/>
    </row>
    <row r="733" spans="1:16" ht="16.5" customHeight="1" x14ac:dyDescent="0.25">
      <c r="A733" s="95"/>
      <c r="B733" s="116"/>
      <c r="C733" s="117"/>
      <c r="D733" s="117"/>
      <c r="E733" s="117"/>
      <c r="F733" s="117"/>
      <c r="G733" s="118"/>
      <c r="H733" s="118"/>
      <c r="I733" s="117"/>
      <c r="J733" s="116"/>
      <c r="K733" s="116"/>
      <c r="L733" s="119"/>
      <c r="M733" s="119"/>
      <c r="N733" s="120"/>
      <c r="O733" s="98"/>
      <c r="P733" s="96"/>
    </row>
    <row r="734" spans="1:16" ht="16.5" customHeight="1" x14ac:dyDescent="0.25">
      <c r="A734" s="95"/>
      <c r="B734" s="116"/>
      <c r="C734" s="117"/>
      <c r="D734" s="117"/>
      <c r="E734" s="117"/>
      <c r="F734" s="117"/>
      <c r="G734" s="118"/>
      <c r="H734" s="118"/>
      <c r="I734" s="117"/>
      <c r="J734" s="116"/>
      <c r="K734" s="116"/>
      <c r="L734" s="119"/>
      <c r="M734" s="119"/>
      <c r="N734" s="120"/>
      <c r="O734" s="98"/>
      <c r="P734" s="96"/>
    </row>
    <row r="735" spans="1:16" ht="16.5" customHeight="1" x14ac:dyDescent="0.25">
      <c r="A735" s="138"/>
      <c r="B735" s="116"/>
      <c r="C735" s="117"/>
      <c r="D735" s="117"/>
      <c r="E735" s="117"/>
      <c r="F735" s="117"/>
      <c r="G735" s="118"/>
      <c r="H735" s="118"/>
      <c r="I735" s="117"/>
      <c r="J735" s="116"/>
      <c r="K735" s="116"/>
      <c r="L735" s="119"/>
      <c r="M735" s="119"/>
      <c r="N735" s="120"/>
      <c r="O735" s="98"/>
      <c r="P735" s="96"/>
    </row>
    <row r="736" spans="1:16" ht="15.75" customHeight="1" x14ac:dyDescent="0.25">
      <c r="A736" s="95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6"/>
    </row>
    <row r="737" spans="1:16" ht="15" customHeight="1" x14ac:dyDescent="0.25">
      <c r="A737" s="103" t="s">
        <v>186</v>
      </c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6"/>
    </row>
    <row r="738" spans="1:16" ht="15.75" customHeight="1" x14ac:dyDescent="0.25">
      <c r="A738" s="95"/>
      <c r="B738" s="58" t="s">
        <v>10</v>
      </c>
      <c r="C738" s="58" t="s">
        <v>187</v>
      </c>
      <c r="D738" s="58" t="s">
        <v>188</v>
      </c>
      <c r="E738" s="58" t="s">
        <v>135</v>
      </c>
      <c r="F738" s="58" t="s">
        <v>189</v>
      </c>
      <c r="G738" s="58" t="s">
        <v>190</v>
      </c>
      <c r="H738" s="58" t="s">
        <v>191</v>
      </c>
      <c r="I738" s="58" t="s">
        <v>16</v>
      </c>
      <c r="J738" s="114" t="s">
        <v>17</v>
      </c>
      <c r="K738" s="114" t="s">
        <v>175</v>
      </c>
      <c r="L738" s="98"/>
      <c r="M738" s="98"/>
      <c r="N738" s="98"/>
      <c r="O738" s="98"/>
      <c r="P738" s="96"/>
    </row>
    <row r="739" spans="1:16" ht="16.5" customHeight="1" x14ac:dyDescent="0.25">
      <c r="A739" s="95"/>
      <c r="B739" s="116" t="s">
        <v>260</v>
      </c>
      <c r="C739" s="122" t="e">
        <f>IF(VLOOKUP(B739,'Gebouwgegevens Allacker'!$J$5:$Q$83,2,0)=$B$709,VLOOKUP(B739,'Gebouwgegevens Allacker'!$J$5:$Q$83,2,0),VLOOKUP(B739,'Gebouwgegevens Allacker'!$J$5:$Q$83,3,0))</f>
        <v>#N/A</v>
      </c>
      <c r="D739" s="122" t="e">
        <f>IF(VLOOKUP(B739,'Gebouwgegevens Allacker'!$J$5:$Q$83,2,0)=$B$709,VLOOKUP(B739,'Gebouwgegevens Allacker'!$J$5:$Q$83,3,0),VLOOKUP(B739,'Gebouwgegevens Allacker'!$J$5:$Q$83,2,0))</f>
        <v>#N/A</v>
      </c>
      <c r="E739" s="122" t="e">
        <f>VLOOKUP(B739,'Gebouwgegevens Allacker'!$J$5:$Q$83,4,0)</f>
        <v>#N/A</v>
      </c>
      <c r="F739" s="122" t="e">
        <f>VLOOKUP(B739,'Gebouwgegevens Allacker'!$J$5:$Q$83,5,0)</f>
        <v>#N/A</v>
      </c>
      <c r="G739" s="122" t="e">
        <f>VLOOKUP('Verwarming Allacker'!C739,'Gebouwgegevens Allacker'!$A$35:$F$46,5,0)</f>
        <v>#N/A</v>
      </c>
      <c r="H739" s="122" t="e">
        <f>VLOOKUP('Verwarming Allacker'!D739,'Gebouwgegevens Allacker'!$A$35:$F$46,5,0)</f>
        <v>#N/A</v>
      </c>
      <c r="I739" s="122" t="e">
        <f>VLOOKUP(B739,'Gebouwgegevens Allacker'!$J$5:$Q$83,7,0)</f>
        <v>#N/A</v>
      </c>
      <c r="J739" s="118" t="e">
        <f>VLOOKUP(B739,'Gebouwgegevens Allacker'!$J$5:$Q$83,8,0)</f>
        <v>#N/A</v>
      </c>
      <c r="K739" s="118" t="e">
        <f t="shared" ref="K739:K750" si="0">(G739-H739)/(G739-$B$4)</f>
        <v>#N/A</v>
      </c>
      <c r="L739" s="98"/>
      <c r="M739" s="98"/>
      <c r="N739" s="98"/>
      <c r="O739" s="98"/>
      <c r="P739" s="96"/>
    </row>
    <row r="740" spans="1:16" ht="16.5" customHeight="1" x14ac:dyDescent="0.25">
      <c r="A740" s="95"/>
      <c r="B740" s="116" t="s">
        <v>220</v>
      </c>
      <c r="C740" s="122" t="e">
        <f>IF(VLOOKUP(B740,'Gebouwgegevens Allacker'!$J$5:$Q$83,2,0)=$B$709,VLOOKUP(B740,'Gebouwgegevens Allacker'!$J$5:$Q$83,2,0),VLOOKUP(B740,'Gebouwgegevens Allacker'!$J$5:$Q$83,3,0))</f>
        <v>#N/A</v>
      </c>
      <c r="D740" s="122" t="e">
        <f>IF(VLOOKUP(B740,'Gebouwgegevens Allacker'!$J$5:$Q$83,2,0)=$B$709,VLOOKUP(B740,'Gebouwgegevens Allacker'!$J$5:$Q$83,3,0),VLOOKUP(B740,'Gebouwgegevens Allacker'!$J$5:$Q$83,2,0))</f>
        <v>#N/A</v>
      </c>
      <c r="E740" s="122" t="e">
        <f>VLOOKUP(B740,'Gebouwgegevens Allacker'!$J$5:$Q$83,4,0)</f>
        <v>#N/A</v>
      </c>
      <c r="F740" s="122" t="e">
        <f>VLOOKUP(B740,'Gebouwgegevens Allacker'!$J$5:$Q$83,5,0)</f>
        <v>#N/A</v>
      </c>
      <c r="G740" s="122" t="e">
        <f>VLOOKUP('Verwarming Allacker'!C740,'Gebouwgegevens Allacker'!$A$35:$F$46,5,0)</f>
        <v>#N/A</v>
      </c>
      <c r="H740" s="122" t="e">
        <f>VLOOKUP('Verwarming Allacker'!D740,'Gebouwgegevens Allacker'!$A$35:$F$46,5,0)</f>
        <v>#N/A</v>
      </c>
      <c r="I740" s="122" t="e">
        <f>VLOOKUP(B740,'Gebouwgegevens Allacker'!$J$5:$Q$83,7,0)</f>
        <v>#N/A</v>
      </c>
      <c r="J740" s="118" t="e">
        <f>VLOOKUP(B740,'Gebouwgegevens Allacker'!$J$5:$Q$83,8,0)</f>
        <v>#N/A</v>
      </c>
      <c r="K740" s="118" t="e">
        <f t="shared" si="0"/>
        <v>#N/A</v>
      </c>
      <c r="L740" s="98"/>
      <c r="M740" s="98"/>
      <c r="N740" s="98"/>
      <c r="O740" s="98"/>
      <c r="P740" s="96"/>
    </row>
    <row r="741" spans="1:16" ht="16.5" customHeight="1" x14ac:dyDescent="0.25">
      <c r="A741" s="95"/>
      <c r="B741" s="116" t="s">
        <v>225</v>
      </c>
      <c r="C741" s="122" t="e">
        <f>IF(VLOOKUP(B741,'Gebouwgegevens Allacker'!$J$5:$Q$83,2,0)=$B$709,VLOOKUP(B741,'Gebouwgegevens Allacker'!$J$5:$Q$83,2,0),VLOOKUP(B741,'Gebouwgegevens Allacker'!$J$5:$Q$83,3,0))</f>
        <v>#N/A</v>
      </c>
      <c r="D741" s="122" t="e">
        <f>IF(VLOOKUP(B741,'Gebouwgegevens Allacker'!$J$5:$Q$83,2,0)=$B$709,VLOOKUP(B741,'Gebouwgegevens Allacker'!$J$5:$Q$83,3,0),VLOOKUP(B741,'Gebouwgegevens Allacker'!$J$5:$Q$83,2,0))</f>
        <v>#N/A</v>
      </c>
      <c r="E741" s="122" t="e">
        <f>VLOOKUP(B741,'Gebouwgegevens Allacker'!$J$5:$Q$83,4,0)</f>
        <v>#N/A</v>
      </c>
      <c r="F741" s="122" t="e">
        <f>VLOOKUP(B741,'Gebouwgegevens Allacker'!$J$5:$Q$83,5,0)</f>
        <v>#N/A</v>
      </c>
      <c r="G741" s="122" t="e">
        <f>VLOOKUP('Verwarming Allacker'!C741,'Gebouwgegevens Allacker'!$A$35:$F$46,5,0)</f>
        <v>#N/A</v>
      </c>
      <c r="H741" s="122" t="e">
        <f>VLOOKUP('Verwarming Allacker'!D741,'Gebouwgegevens Allacker'!$A$35:$F$46,5,0)</f>
        <v>#N/A</v>
      </c>
      <c r="I741" s="122" t="e">
        <f>VLOOKUP(B741,'Gebouwgegevens Allacker'!$J$5:$Q$83,7,0)</f>
        <v>#N/A</v>
      </c>
      <c r="J741" s="118" t="e">
        <f>VLOOKUP(B741,'Gebouwgegevens Allacker'!$J$5:$Q$83,8,0)</f>
        <v>#N/A</v>
      </c>
      <c r="K741" s="118" t="e">
        <f t="shared" si="0"/>
        <v>#N/A</v>
      </c>
      <c r="L741" s="98"/>
      <c r="M741" s="98"/>
      <c r="N741" s="98"/>
      <c r="O741" s="98"/>
      <c r="P741" s="96"/>
    </row>
    <row r="742" spans="1:16" ht="16.5" customHeight="1" x14ac:dyDescent="0.25">
      <c r="A742" s="95"/>
      <c r="B742" s="116" t="s">
        <v>229</v>
      </c>
      <c r="C742" s="122" t="e">
        <f>IF(VLOOKUP(B742,'Gebouwgegevens Allacker'!$J$5:$Q$83,2,0)=$B$709,VLOOKUP(B742,'Gebouwgegevens Allacker'!$J$5:$Q$83,2,0),VLOOKUP(B742,'Gebouwgegevens Allacker'!$J$5:$Q$83,3,0))</f>
        <v>#N/A</v>
      </c>
      <c r="D742" s="122" t="e">
        <f>IF(VLOOKUP(B742,'Gebouwgegevens Allacker'!$J$5:$Q$83,2,0)=$B$709,VLOOKUP(B742,'Gebouwgegevens Allacker'!$J$5:$Q$83,3,0),VLOOKUP(B742,'Gebouwgegevens Allacker'!$J$5:$Q$83,2,0))</f>
        <v>#N/A</v>
      </c>
      <c r="E742" s="122" t="e">
        <f>VLOOKUP(B742,'Gebouwgegevens Allacker'!$J$5:$Q$83,4,0)</f>
        <v>#N/A</v>
      </c>
      <c r="F742" s="122" t="e">
        <f>VLOOKUP(B742,'Gebouwgegevens Allacker'!$J$5:$Q$83,5,0)</f>
        <v>#N/A</v>
      </c>
      <c r="G742" s="122" t="e">
        <f>VLOOKUP('Verwarming Allacker'!C742,'Gebouwgegevens Allacker'!$A$35:$F$46,5,0)</f>
        <v>#N/A</v>
      </c>
      <c r="H742" s="122" t="e">
        <f>VLOOKUP('Verwarming Allacker'!D742,'Gebouwgegevens Allacker'!$A$35:$F$46,5,0)</f>
        <v>#N/A</v>
      </c>
      <c r="I742" s="122" t="e">
        <f>VLOOKUP(B742,'Gebouwgegevens Allacker'!$J$5:$Q$83,7,0)</f>
        <v>#N/A</v>
      </c>
      <c r="J742" s="118" t="e">
        <f>VLOOKUP(B742,'Gebouwgegevens Allacker'!$J$5:$Q$83,8,0)</f>
        <v>#N/A</v>
      </c>
      <c r="K742" s="118" t="e">
        <f t="shared" si="0"/>
        <v>#N/A</v>
      </c>
      <c r="L742" s="98"/>
      <c r="M742" s="98"/>
      <c r="N742" s="98"/>
      <c r="O742" s="98"/>
      <c r="P742" s="96"/>
    </row>
    <row r="743" spans="1:16" ht="16.5" customHeight="1" x14ac:dyDescent="0.25">
      <c r="A743" s="95"/>
      <c r="B743" s="145" t="s">
        <v>234</v>
      </c>
      <c r="C743" s="122" t="e">
        <f>IF(VLOOKUP(B743,'Gebouwgegevens Allacker'!$J$5:$Q$83,2,0)=$B$709,VLOOKUP(B743,'Gebouwgegevens Allacker'!$J$5:$Q$83,2,0),VLOOKUP(B743,'Gebouwgegevens Allacker'!$J$5:$Q$83,3,0))</f>
        <v>#N/A</v>
      </c>
      <c r="D743" s="122" t="e">
        <f>IF(VLOOKUP(B743,'Gebouwgegevens Allacker'!$J$5:$Q$83,2,0)=$B$709,VLOOKUP(B743,'Gebouwgegevens Allacker'!$J$5:$Q$83,3,0),VLOOKUP(B743,'Gebouwgegevens Allacker'!$J$5:$Q$83,2,0))</f>
        <v>#N/A</v>
      </c>
      <c r="E743" s="122" t="e">
        <f>VLOOKUP(B743,'Gebouwgegevens Allacker'!$J$5:$Q$83,4,0)</f>
        <v>#N/A</v>
      </c>
      <c r="F743" s="122" t="e">
        <f>VLOOKUP(B743,'Gebouwgegevens Allacker'!$J$5:$Q$83,5,0)</f>
        <v>#N/A</v>
      </c>
      <c r="G743" s="122" t="e">
        <f>VLOOKUP('Verwarming Allacker'!C743,'Gebouwgegevens Allacker'!$A$35:$F$46,5,0)</f>
        <v>#N/A</v>
      </c>
      <c r="H743" s="122" t="e">
        <f>VLOOKUP('Verwarming Allacker'!D743,'Gebouwgegevens Allacker'!$A$35:$F$46,5,0)</f>
        <v>#N/A</v>
      </c>
      <c r="I743" s="122" t="e">
        <f>VLOOKUP(B743,'Gebouwgegevens Allacker'!$J$5:$Q$83,7,0)</f>
        <v>#N/A</v>
      </c>
      <c r="J743" s="118" t="e">
        <f>VLOOKUP(B743,'Gebouwgegevens Allacker'!$J$5:$Q$83,8,0)</f>
        <v>#N/A</v>
      </c>
      <c r="K743" s="118" t="e">
        <f t="shared" si="0"/>
        <v>#N/A</v>
      </c>
      <c r="L743" s="98"/>
      <c r="M743" s="98"/>
      <c r="N743" s="98"/>
      <c r="O743" s="98"/>
      <c r="P743" s="96"/>
    </row>
    <row r="744" spans="1:16" ht="16.5" customHeight="1" x14ac:dyDescent="0.25">
      <c r="A744" s="95"/>
      <c r="B744" s="123" t="s">
        <v>238</v>
      </c>
      <c r="C744" s="122" t="e">
        <f>IF(VLOOKUP(B744,'Gebouwgegevens Allacker'!$J$5:$Q$83,2,0)=$B$709,VLOOKUP(B744,'Gebouwgegevens Allacker'!$J$5:$Q$83,2,0),VLOOKUP(B744,'Gebouwgegevens Allacker'!$J$5:$Q$83,3,0))</f>
        <v>#N/A</v>
      </c>
      <c r="D744" s="122" t="e">
        <f>IF(VLOOKUP(B744,'Gebouwgegevens Allacker'!$J$5:$Q$83,2,0)=$B$709,VLOOKUP(B744,'Gebouwgegevens Allacker'!$J$5:$Q$83,3,0),VLOOKUP(B744,'Gebouwgegevens Allacker'!$J$5:$Q$83,2,0))</f>
        <v>#N/A</v>
      </c>
      <c r="E744" s="122" t="e">
        <f>VLOOKUP(B744,'Gebouwgegevens Allacker'!$J$5:$Q$83,4,0)</f>
        <v>#N/A</v>
      </c>
      <c r="F744" s="122" t="e">
        <f>VLOOKUP(B744,'Gebouwgegevens Allacker'!$J$5:$Q$83,5,0)</f>
        <v>#N/A</v>
      </c>
      <c r="G744" s="122" t="e">
        <f>VLOOKUP('Verwarming Allacker'!C744,'Gebouwgegevens Allacker'!$A$35:$F$46,5,0)</f>
        <v>#N/A</v>
      </c>
      <c r="H744" s="122" t="e">
        <f>VLOOKUP('Verwarming Allacker'!D744,'Gebouwgegevens Allacker'!$A$35:$F$46,5,0)</f>
        <v>#N/A</v>
      </c>
      <c r="I744" s="122" t="e">
        <f>VLOOKUP(B744,'Gebouwgegevens Allacker'!$J$5:$Q$83,7,0)</f>
        <v>#N/A</v>
      </c>
      <c r="J744" s="118" t="e">
        <f>VLOOKUP(B744,'Gebouwgegevens Allacker'!$J$5:$Q$83,8,0)</f>
        <v>#N/A</v>
      </c>
      <c r="K744" s="118" t="e">
        <f t="shared" si="0"/>
        <v>#N/A</v>
      </c>
      <c r="L744" s="98"/>
      <c r="M744" s="98"/>
      <c r="N744" s="98"/>
      <c r="O744" s="98"/>
      <c r="P744" s="96"/>
    </row>
    <row r="745" spans="1:16" ht="16.5" customHeight="1" x14ac:dyDescent="0.25">
      <c r="A745" s="95"/>
      <c r="B745" s="123" t="s">
        <v>261</v>
      </c>
      <c r="C745" s="122" t="e">
        <f>IF(VLOOKUP(B745,'Gebouwgegevens Allacker'!$J$5:$Q$83,2,0)=$B$709,VLOOKUP(B745,'Gebouwgegevens Allacker'!$J$5:$Q$83,2,0),VLOOKUP(B745,'Gebouwgegevens Allacker'!$J$5:$Q$83,3,0))</f>
        <v>#N/A</v>
      </c>
      <c r="D745" s="122" t="e">
        <f>IF(VLOOKUP(B745,'Gebouwgegevens Allacker'!$J$5:$Q$83,2,0)=$B$709,VLOOKUP(B745,'Gebouwgegevens Allacker'!$J$5:$Q$83,3,0),VLOOKUP(B745,'Gebouwgegevens Allacker'!$J$5:$Q$83,2,0))</f>
        <v>#N/A</v>
      </c>
      <c r="E745" s="122" t="e">
        <f>VLOOKUP(B745,'Gebouwgegevens Allacker'!$J$5:$Q$83,4,0)</f>
        <v>#N/A</v>
      </c>
      <c r="F745" s="122" t="e">
        <f>VLOOKUP(B745,'Gebouwgegevens Allacker'!$J$5:$Q$83,5,0)</f>
        <v>#N/A</v>
      </c>
      <c r="G745" s="122" t="e">
        <f>VLOOKUP('Verwarming Allacker'!C745,'Gebouwgegevens Allacker'!$A$35:$F$46,5,0)</f>
        <v>#N/A</v>
      </c>
      <c r="H745" s="122" t="e">
        <f>VLOOKUP('Verwarming Allacker'!D745,'Gebouwgegevens Allacker'!$A$35:$F$46,5,0)</f>
        <v>#N/A</v>
      </c>
      <c r="I745" s="122" t="e">
        <f>VLOOKUP(B745,'Gebouwgegevens Allacker'!$J$5:$Q$83,7,0)</f>
        <v>#N/A</v>
      </c>
      <c r="J745" s="118" t="e">
        <f>VLOOKUP(B745,'Gebouwgegevens Allacker'!$J$5:$Q$83,8,0)</f>
        <v>#N/A</v>
      </c>
      <c r="K745" s="118" t="e">
        <f t="shared" si="0"/>
        <v>#N/A</v>
      </c>
      <c r="L745" s="98"/>
      <c r="M745" s="98"/>
      <c r="N745" s="98"/>
      <c r="O745" s="98"/>
      <c r="P745" s="96"/>
    </row>
    <row r="746" spans="1:16" ht="16.5" customHeight="1" x14ac:dyDescent="0.25">
      <c r="A746" s="95"/>
      <c r="B746" s="123" t="s">
        <v>262</v>
      </c>
      <c r="C746" s="122" t="e">
        <f>IF(VLOOKUP(B746,'Gebouwgegevens Allacker'!$J$5:$Q$83,2,0)=$B$709,VLOOKUP(B746,'Gebouwgegevens Allacker'!$J$5:$Q$83,2,0),VLOOKUP(B746,'Gebouwgegevens Allacker'!$J$5:$Q$83,3,0))</f>
        <v>#N/A</v>
      </c>
      <c r="D746" s="122" t="e">
        <f>IF(VLOOKUP(B746,'Gebouwgegevens Allacker'!$J$5:$Q$83,2,0)=$B$709,VLOOKUP(B746,'Gebouwgegevens Allacker'!$J$5:$Q$83,3,0),VLOOKUP(B746,'Gebouwgegevens Allacker'!$J$5:$Q$83,2,0))</f>
        <v>#N/A</v>
      </c>
      <c r="E746" s="122" t="e">
        <f>VLOOKUP(B746,'Gebouwgegevens Allacker'!$J$5:$Q$83,4,0)</f>
        <v>#N/A</v>
      </c>
      <c r="F746" s="122" t="e">
        <f>VLOOKUP(B746,'Gebouwgegevens Allacker'!$J$5:$Q$83,5,0)</f>
        <v>#N/A</v>
      </c>
      <c r="G746" s="122" t="e">
        <f>VLOOKUP('Verwarming Allacker'!C746,'Gebouwgegevens Allacker'!$A$35:$F$46,5,0)</f>
        <v>#N/A</v>
      </c>
      <c r="H746" s="122" t="e">
        <f>VLOOKUP('Verwarming Allacker'!D746,'Gebouwgegevens Allacker'!$A$35:$F$46,5,0)</f>
        <v>#N/A</v>
      </c>
      <c r="I746" s="122" t="e">
        <f>VLOOKUP(B746,'Gebouwgegevens Allacker'!$J$5:$Q$83,7,0)</f>
        <v>#N/A</v>
      </c>
      <c r="J746" s="118" t="e">
        <f>VLOOKUP(B746,'Gebouwgegevens Allacker'!$J$5:$Q$83,8,0)</f>
        <v>#N/A</v>
      </c>
      <c r="K746" s="118" t="e">
        <f t="shared" si="0"/>
        <v>#N/A</v>
      </c>
      <c r="L746" s="98"/>
      <c r="M746" s="98"/>
      <c r="N746" s="98"/>
      <c r="O746" s="98"/>
      <c r="P746" s="96"/>
    </row>
    <row r="747" spans="1:16" ht="16.5" customHeight="1" x14ac:dyDescent="0.25">
      <c r="A747" s="95"/>
      <c r="B747" s="123" t="s">
        <v>263</v>
      </c>
      <c r="C747" s="122" t="e">
        <f>IF(VLOOKUP(B747,'Gebouwgegevens Allacker'!$J$5:$Q$83,2,0)=$B$709,VLOOKUP(B747,'Gebouwgegevens Allacker'!$J$5:$Q$83,2,0),VLOOKUP(B747,'Gebouwgegevens Allacker'!$J$5:$Q$83,3,0))</f>
        <v>#N/A</v>
      </c>
      <c r="D747" s="122" t="e">
        <f>IF(VLOOKUP(B747,'Gebouwgegevens Allacker'!$J$5:$Q$83,2,0)=$B$709,VLOOKUP(B747,'Gebouwgegevens Allacker'!$J$5:$Q$83,3,0),VLOOKUP(B747,'Gebouwgegevens Allacker'!$J$5:$Q$83,2,0))</f>
        <v>#N/A</v>
      </c>
      <c r="E747" s="122" t="e">
        <f>VLOOKUP(B747,'Gebouwgegevens Allacker'!$J$5:$Q$83,4,0)</f>
        <v>#N/A</v>
      </c>
      <c r="F747" s="122" t="e">
        <f>VLOOKUP(B747,'Gebouwgegevens Allacker'!$J$5:$Q$83,5,0)</f>
        <v>#N/A</v>
      </c>
      <c r="G747" s="122" t="e">
        <f>VLOOKUP('Verwarming Allacker'!C747,'Gebouwgegevens Allacker'!$A$35:$F$46,5,0)</f>
        <v>#N/A</v>
      </c>
      <c r="H747" s="122" t="e">
        <f>VLOOKUP('Verwarming Allacker'!D747,'Gebouwgegevens Allacker'!$A$35:$F$46,5,0)</f>
        <v>#N/A</v>
      </c>
      <c r="I747" s="122" t="e">
        <f>VLOOKUP(B747,'Gebouwgegevens Allacker'!$J$5:$Q$83,7,0)</f>
        <v>#N/A</v>
      </c>
      <c r="J747" s="118" t="e">
        <f>VLOOKUP(B747,'Gebouwgegevens Allacker'!$J$5:$Q$83,8,0)</f>
        <v>#N/A</v>
      </c>
      <c r="K747" s="118" t="e">
        <f t="shared" si="0"/>
        <v>#N/A</v>
      </c>
      <c r="L747" s="98"/>
      <c r="M747" s="98"/>
      <c r="N747" s="98"/>
      <c r="O747" s="98"/>
      <c r="P747" s="96"/>
    </row>
    <row r="748" spans="1:16" ht="16.5" customHeight="1" x14ac:dyDescent="0.25">
      <c r="A748" s="95"/>
      <c r="B748" s="123" t="s">
        <v>226</v>
      </c>
      <c r="C748" s="122" t="e">
        <f>IF(VLOOKUP(B748,'Gebouwgegevens Allacker'!$J$5:$Q$83,2,0)=$B$709,VLOOKUP(B748,'Gebouwgegevens Allacker'!$J$5:$Q$83,2,0),VLOOKUP(B748,'Gebouwgegevens Allacker'!$J$5:$Q$83,3,0))</f>
        <v>#N/A</v>
      </c>
      <c r="D748" s="122" t="e">
        <f>IF(VLOOKUP(B748,'Gebouwgegevens Allacker'!$J$5:$Q$83,2,0)=$B$709,VLOOKUP(B748,'Gebouwgegevens Allacker'!$J$5:$Q$83,3,0),VLOOKUP(B748,'Gebouwgegevens Allacker'!$J$5:$Q$83,2,0))</f>
        <v>#N/A</v>
      </c>
      <c r="E748" s="122" t="e">
        <f>VLOOKUP(B748,'Gebouwgegevens Allacker'!$J$5:$Q$83,4,0)</f>
        <v>#N/A</v>
      </c>
      <c r="F748" s="122" t="e">
        <f>VLOOKUP(B748,'Gebouwgegevens Allacker'!$J$5:$Q$83,5,0)</f>
        <v>#N/A</v>
      </c>
      <c r="G748" s="122" t="e">
        <f>VLOOKUP('Verwarming Allacker'!C748,'Gebouwgegevens Allacker'!$A$35:$F$46,5,0)</f>
        <v>#N/A</v>
      </c>
      <c r="H748" s="122" t="e">
        <f>VLOOKUP('Verwarming Allacker'!D748,'Gebouwgegevens Allacker'!$A$35:$F$46,5,0)</f>
        <v>#N/A</v>
      </c>
      <c r="I748" s="122" t="e">
        <f>VLOOKUP(B748,'Gebouwgegevens Allacker'!$J$5:$Q$83,7,0)</f>
        <v>#N/A</v>
      </c>
      <c r="J748" s="118" t="e">
        <f>VLOOKUP(B748,'Gebouwgegevens Allacker'!$J$5:$Q$83,8,0)</f>
        <v>#N/A</v>
      </c>
      <c r="K748" s="118" t="e">
        <f t="shared" si="0"/>
        <v>#N/A</v>
      </c>
      <c r="L748" s="98"/>
      <c r="M748" s="98"/>
      <c r="N748" s="98"/>
      <c r="O748" s="98"/>
      <c r="P748" s="96"/>
    </row>
    <row r="749" spans="1:16" ht="16.5" customHeight="1" x14ac:dyDescent="0.25">
      <c r="A749" s="95"/>
      <c r="B749" s="123" t="s">
        <v>264</v>
      </c>
      <c r="C749" s="122" t="e">
        <f>IF(VLOOKUP(B749,'Gebouwgegevens Allacker'!$J$5:$Q$83,2,0)=$B$709,VLOOKUP(B749,'Gebouwgegevens Allacker'!$J$5:$Q$83,2,0),VLOOKUP(B749,'Gebouwgegevens Allacker'!$J$5:$Q$83,3,0))</f>
        <v>#N/A</v>
      </c>
      <c r="D749" s="122" t="e">
        <f>IF(VLOOKUP(B749,'Gebouwgegevens Allacker'!$J$5:$Q$83,2,0)=$B$709,VLOOKUP(B749,'Gebouwgegevens Allacker'!$J$5:$Q$83,3,0),VLOOKUP(B749,'Gebouwgegevens Allacker'!$J$5:$Q$83,2,0))</f>
        <v>#N/A</v>
      </c>
      <c r="E749" s="122" t="e">
        <f>VLOOKUP(B749,'Gebouwgegevens Allacker'!$J$5:$Q$83,4,0)</f>
        <v>#N/A</v>
      </c>
      <c r="F749" s="122" t="e">
        <f>VLOOKUP(B749,'Gebouwgegevens Allacker'!$J$5:$Q$83,5,0)</f>
        <v>#N/A</v>
      </c>
      <c r="G749" s="122" t="e">
        <f>VLOOKUP('Verwarming Allacker'!C749,'Gebouwgegevens Allacker'!$A$35:$F$46,5,0)</f>
        <v>#N/A</v>
      </c>
      <c r="H749" s="122" t="e">
        <f>VLOOKUP('Verwarming Allacker'!D749,'Gebouwgegevens Allacker'!$A$35:$F$46,5,0)</f>
        <v>#N/A</v>
      </c>
      <c r="I749" s="122" t="e">
        <f>VLOOKUP(B749,'Gebouwgegevens Allacker'!$J$5:$Q$83,7,0)</f>
        <v>#N/A</v>
      </c>
      <c r="J749" s="118" t="e">
        <f>VLOOKUP(B749,'Gebouwgegevens Allacker'!$J$5:$Q$83,8,0)</f>
        <v>#N/A</v>
      </c>
      <c r="K749" s="118" t="e">
        <f t="shared" si="0"/>
        <v>#N/A</v>
      </c>
      <c r="L749" s="98"/>
      <c r="M749" s="98"/>
      <c r="N749" s="98"/>
      <c r="O749" s="98"/>
      <c r="P749" s="96"/>
    </row>
    <row r="750" spans="1:16" ht="16.5" customHeight="1" x14ac:dyDescent="0.25">
      <c r="A750" s="95"/>
      <c r="B750" s="123" t="s">
        <v>265</v>
      </c>
      <c r="C750" s="122" t="e">
        <f>IF(VLOOKUP(B750,'Gebouwgegevens Allacker'!$J$5:$Q$83,2,0)=$B$709,VLOOKUP(B750,'Gebouwgegevens Allacker'!$J$5:$Q$83,2,0),VLOOKUP(B750,'Gebouwgegevens Allacker'!$J$5:$Q$83,3,0))</f>
        <v>#N/A</v>
      </c>
      <c r="D750" s="122" t="e">
        <f>IF(VLOOKUP(B750,'Gebouwgegevens Allacker'!$J$5:$Q$83,2,0)=$B$709,VLOOKUP(B750,'Gebouwgegevens Allacker'!$J$5:$Q$83,3,0),VLOOKUP(B750,'Gebouwgegevens Allacker'!$J$5:$Q$83,2,0))</f>
        <v>#N/A</v>
      </c>
      <c r="E750" s="122" t="e">
        <f>VLOOKUP(B750,'Gebouwgegevens Allacker'!$J$5:$Q$83,4,0)</f>
        <v>#N/A</v>
      </c>
      <c r="F750" s="122" t="e">
        <f>VLOOKUP(B750,'Gebouwgegevens Allacker'!$J$5:$Q$83,5,0)</f>
        <v>#N/A</v>
      </c>
      <c r="G750" s="122" t="e">
        <f>VLOOKUP('Verwarming Allacker'!C750,'Gebouwgegevens Allacker'!$A$35:$F$46,5,0)</f>
        <v>#N/A</v>
      </c>
      <c r="H750" s="122" t="e">
        <f>VLOOKUP('Verwarming Allacker'!D750,'Gebouwgegevens Allacker'!$A$35:$F$46,5,0)</f>
        <v>#N/A</v>
      </c>
      <c r="I750" s="122" t="e">
        <f>VLOOKUP(B750,'Gebouwgegevens Allacker'!$J$5:$Q$83,7,0)</f>
        <v>#N/A</v>
      </c>
      <c r="J750" s="118" t="e">
        <f>VLOOKUP(B750,'Gebouwgegevens Allacker'!$J$5:$Q$83,8,0)</f>
        <v>#N/A</v>
      </c>
      <c r="K750" s="118" t="e">
        <f t="shared" si="0"/>
        <v>#N/A</v>
      </c>
      <c r="L750" s="98"/>
      <c r="M750" s="98"/>
      <c r="N750" s="98"/>
      <c r="O750" s="98"/>
      <c r="P750" s="96"/>
    </row>
    <row r="751" spans="1:16" ht="16.5" customHeight="1" x14ac:dyDescent="0.25">
      <c r="A751" s="103" t="s">
        <v>192</v>
      </c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6"/>
    </row>
    <row r="752" spans="1:16" ht="16.5" customHeight="1" x14ac:dyDescent="0.25">
      <c r="A752" s="124" t="s">
        <v>193</v>
      </c>
      <c r="B752" s="118" t="e">
        <f>SUMPRODUCT(H715:H726,I715:I726)+SUMPRODUCT(G731:G735,H731:H735)+SUMPRODUCT(J739:J750,K739:K750)</f>
        <v>#N/A</v>
      </c>
      <c r="C752" s="118" t="s">
        <v>107</v>
      </c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6"/>
    </row>
    <row r="753" spans="1:16" ht="16.5" customHeight="1" x14ac:dyDescent="0.25">
      <c r="A753" s="124" t="s">
        <v>167</v>
      </c>
      <c r="B753" s="118" t="e">
        <f>B752*(G739-$B$4)</f>
        <v>#N/A</v>
      </c>
      <c r="C753" s="118" t="s">
        <v>169</v>
      </c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6"/>
    </row>
    <row r="754" spans="1:16" ht="15.75" customHeight="1" x14ac:dyDescent="0.25">
      <c r="A754" s="109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1"/>
    </row>
    <row r="755" spans="1:16" ht="15.75" customHeight="1" x14ac:dyDescent="0.25">
      <c r="A755" s="343" t="s">
        <v>194</v>
      </c>
      <c r="B755" s="343"/>
      <c r="C755" s="343"/>
      <c r="D755" s="125" t="s">
        <v>222</v>
      </c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94"/>
    </row>
    <row r="756" spans="1:16" ht="15" customHeight="1" x14ac:dyDescent="0.25">
      <c r="A756" s="95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6"/>
    </row>
    <row r="757" spans="1:16" ht="15" customHeight="1" x14ac:dyDescent="0.25">
      <c r="A757" s="126" t="s">
        <v>195</v>
      </c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6"/>
    </row>
    <row r="758" spans="1:16" ht="15" customHeight="1" x14ac:dyDescent="0.25">
      <c r="A758" s="127" t="s">
        <v>196</v>
      </c>
      <c r="B758" s="121">
        <v>8</v>
      </c>
      <c r="C758" s="120" t="s">
        <v>197</v>
      </c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6"/>
    </row>
    <row r="759" spans="1:16" ht="15" customHeight="1" x14ac:dyDescent="0.25">
      <c r="A759" s="127" t="s">
        <v>198</v>
      </c>
      <c r="B759" s="121">
        <v>0.03</v>
      </c>
      <c r="C759" s="120" t="s">
        <v>199</v>
      </c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6"/>
    </row>
    <row r="760" spans="1:16" ht="15.75" customHeight="1" x14ac:dyDescent="0.25">
      <c r="A760" s="127" t="s">
        <v>200</v>
      </c>
      <c r="B760" s="121">
        <v>1</v>
      </c>
      <c r="C760" s="120" t="s">
        <v>201</v>
      </c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6"/>
    </row>
    <row r="761" spans="1:16" ht="16.5" customHeight="1" x14ac:dyDescent="0.25">
      <c r="A761" s="124" t="s">
        <v>202</v>
      </c>
      <c r="B761" s="118" t="e">
        <f>2*VLOOKUP(B709,'Gebouwgegevens Allacker'!$A$35:$F$46,6,0)*B758*B759*B760</f>
        <v>#N/A</v>
      </c>
      <c r="C761" s="118" t="s">
        <v>203</v>
      </c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6"/>
    </row>
    <row r="762" spans="1:16" ht="15.75" customHeight="1" x14ac:dyDescent="0.25">
      <c r="A762" s="138"/>
      <c r="B762" s="58"/>
      <c r="C762" s="5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6"/>
    </row>
    <row r="763" spans="1:16" ht="15" customHeight="1" x14ac:dyDescent="0.25">
      <c r="A763" s="146" t="s">
        <v>204</v>
      </c>
      <c r="B763" s="58"/>
      <c r="C763" s="5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6"/>
    </row>
    <row r="764" spans="1:16" ht="15.75" customHeight="1" x14ac:dyDescent="0.25">
      <c r="A764" s="138" t="s">
        <v>180</v>
      </c>
      <c r="B764" s="58" t="e">
        <f>VLOOKUP(B709,'Gebouwgegevens Allacker'!$A$35:$F$46,6,0)</f>
        <v>#N/A</v>
      </c>
      <c r="C764" s="5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6"/>
    </row>
    <row r="765" spans="1:16" ht="16.5" customHeight="1" x14ac:dyDescent="0.25">
      <c r="A765" s="124" t="s">
        <v>205</v>
      </c>
      <c r="B765" s="118">
        <v>0</v>
      </c>
      <c r="C765" s="118" t="s">
        <v>203</v>
      </c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6"/>
    </row>
    <row r="766" spans="1:16" ht="15.75" customHeight="1" x14ac:dyDescent="0.25">
      <c r="A766" s="138"/>
      <c r="B766" s="58"/>
      <c r="C766" s="5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6"/>
    </row>
    <row r="767" spans="1:16" ht="15.75" customHeight="1" x14ac:dyDescent="0.25">
      <c r="A767" s="138"/>
      <c r="B767" s="58"/>
      <c r="C767" s="5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6"/>
    </row>
    <row r="768" spans="1:16" ht="16.5" customHeight="1" x14ac:dyDescent="0.25">
      <c r="A768" s="124" t="s">
        <v>207</v>
      </c>
      <c r="B768" s="118" t="e">
        <f>MAX(B761,B765)</f>
        <v>#N/A</v>
      </c>
      <c r="C768" s="118" t="s">
        <v>203</v>
      </c>
      <c r="D768" s="98"/>
      <c r="E768" s="98"/>
      <c r="F768" s="118" t="s">
        <v>208</v>
      </c>
      <c r="G768" s="118" t="e">
        <f>B768/VLOOKUP(B709,'Gebouwgegevens Allacker'!$A$35:$B$46,2,0)</f>
        <v>#N/A</v>
      </c>
      <c r="H768" s="98"/>
      <c r="I768" s="98"/>
      <c r="J768" s="98"/>
      <c r="K768" s="98"/>
      <c r="L768" s="98"/>
      <c r="M768" s="98"/>
      <c r="N768" s="98"/>
      <c r="O768" s="98"/>
      <c r="P768" s="96"/>
    </row>
    <row r="769" spans="1:16" ht="16.5" customHeight="1" x14ac:dyDescent="0.25">
      <c r="A769" s="138"/>
      <c r="B769" s="58"/>
      <c r="C769" s="5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6"/>
    </row>
    <row r="770" spans="1:16" ht="16.5" customHeight="1" x14ac:dyDescent="0.25">
      <c r="A770" s="124" t="s">
        <v>209</v>
      </c>
      <c r="B770" s="118" t="e">
        <f>0.34*B768</f>
        <v>#N/A</v>
      </c>
      <c r="C770" s="118" t="s">
        <v>107</v>
      </c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6"/>
    </row>
    <row r="771" spans="1:16" ht="16.5" customHeight="1" x14ac:dyDescent="0.25">
      <c r="A771" s="124" t="s">
        <v>167</v>
      </c>
      <c r="B771" s="118" t="e">
        <f>B770*('Gebouwgegevens Allacker'!E731-$B$4)</f>
        <v>#N/A</v>
      </c>
      <c r="C771" s="118" t="s">
        <v>169</v>
      </c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6"/>
    </row>
    <row r="772" spans="1:16" ht="15.75" customHeight="1" x14ac:dyDescent="0.25">
      <c r="A772" s="140"/>
      <c r="B772" s="141"/>
      <c r="C772" s="141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1"/>
    </row>
    <row r="773" spans="1:16" ht="15.75" customHeight="1" x14ac:dyDescent="0.25">
      <c r="A773" s="343" t="s">
        <v>210</v>
      </c>
      <c r="B773" s="343"/>
      <c r="C773" s="343"/>
      <c r="D773" s="343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6"/>
    </row>
    <row r="774" spans="1:16" ht="15" customHeight="1" x14ac:dyDescent="0.25">
      <c r="A774" s="95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6"/>
    </row>
    <row r="775" spans="1:16" ht="15" customHeight="1" x14ac:dyDescent="0.25">
      <c r="A775" s="127" t="s">
        <v>211</v>
      </c>
      <c r="B775" s="121">
        <v>0</v>
      </c>
      <c r="C775" s="58" t="s">
        <v>232</v>
      </c>
      <c r="D775" s="5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6"/>
    </row>
    <row r="776" spans="1:16" ht="15.75" customHeight="1" x14ac:dyDescent="0.25">
      <c r="A776" s="3" t="s">
        <v>113</v>
      </c>
      <c r="B776" s="58" t="e">
        <f>VLOOKUP(B709,'Gebouwgegevens Allacker'!$A$35:$F$46,6,0)</f>
        <v>#N/A</v>
      </c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6"/>
    </row>
    <row r="777" spans="1:16" ht="16.5" customHeight="1" x14ac:dyDescent="0.25">
      <c r="A777" s="124" t="s">
        <v>213</v>
      </c>
      <c r="B777" s="118" t="e">
        <f>B778/('Gebouwgegevens Allacker'!E731-'Verwarming Allacker'!$B$4)</f>
        <v>#N/A</v>
      </c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6"/>
    </row>
    <row r="778" spans="1:16" ht="16.5" customHeight="1" x14ac:dyDescent="0.25">
      <c r="A778" s="124" t="s">
        <v>167</v>
      </c>
      <c r="B778" s="118" t="e">
        <f>B775*B776</f>
        <v>#N/A</v>
      </c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6"/>
    </row>
    <row r="779" spans="1:16" ht="15.75" customHeight="1" x14ac:dyDescent="0.25">
      <c r="A779" s="95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6"/>
    </row>
    <row r="780" spans="1:16" ht="15.75" customHeight="1" x14ac:dyDescent="0.25">
      <c r="A780" s="95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6"/>
    </row>
    <row r="781" spans="1:16" ht="15.75" customHeight="1" x14ac:dyDescent="0.25">
      <c r="A781" s="129" t="s">
        <v>214</v>
      </c>
      <c r="B781" s="130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1"/>
    </row>
    <row r="782" spans="1:16" ht="16.5" customHeight="1" x14ac:dyDescent="0.25">
      <c r="A782" s="124" t="s">
        <v>215</v>
      </c>
      <c r="B782" s="118" t="e">
        <f>SUM(B752,B770,B777)</f>
        <v>#N/A</v>
      </c>
      <c r="C782" s="118" t="s">
        <v>107</v>
      </c>
      <c r="D782" s="132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P782" s="133"/>
    </row>
    <row r="783" spans="1:16" ht="16.5" customHeight="1" x14ac:dyDescent="0.25">
      <c r="A783" s="124" t="s">
        <v>167</v>
      </c>
      <c r="B783" s="118" t="e">
        <f>SUM(B753,B771,B778)</f>
        <v>#N/A</v>
      </c>
      <c r="C783" s="118" t="s">
        <v>169</v>
      </c>
      <c r="D783" s="132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  <c r="O783" s="132"/>
      <c r="P783" s="133"/>
    </row>
    <row r="784" spans="1:16" ht="16.5" customHeight="1" x14ac:dyDescent="0.25">
      <c r="A784" s="134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6"/>
    </row>
  </sheetData>
  <mergeCells count="32">
    <mergeCell ref="A755:C755"/>
    <mergeCell ref="A773:D773"/>
    <mergeCell ref="A615:D615"/>
    <mergeCell ref="A631:D631"/>
    <mergeCell ref="A676:C676"/>
    <mergeCell ref="A694:D694"/>
    <mergeCell ref="A710:D710"/>
    <mergeCell ref="A473:D473"/>
    <mergeCell ref="A518:C518"/>
    <mergeCell ref="A536:D536"/>
    <mergeCell ref="A552:D552"/>
    <mergeCell ref="A597:C597"/>
    <mergeCell ref="A362:C362"/>
    <mergeCell ref="A380:D380"/>
    <mergeCell ref="A395:D395"/>
    <mergeCell ref="A440:C440"/>
    <mergeCell ref="A458:D458"/>
    <mergeCell ref="A222:D222"/>
    <mergeCell ref="A238:D238"/>
    <mergeCell ref="A283:C283"/>
    <mergeCell ref="A301:D301"/>
    <mergeCell ref="A317:D317"/>
    <mergeCell ref="A79:D79"/>
    <mergeCell ref="A124:C124"/>
    <mergeCell ref="A142:D142"/>
    <mergeCell ref="A159:D159"/>
    <mergeCell ref="A204:C204"/>
    <mergeCell ref="A1:I1"/>
    <mergeCell ref="V5:X5"/>
    <mergeCell ref="A7:D7"/>
    <mergeCell ref="A45:C45"/>
    <mergeCell ref="A63:D6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topLeftCell="A4" zoomScaleNormal="100" workbookViewId="0">
      <selection activeCell="W21" activeCellId="1" sqref="A27:B27 W21"/>
    </sheetView>
  </sheetViews>
  <sheetFormatPr defaultRowHeight="15" x14ac:dyDescent="0.25"/>
  <cols>
    <col min="1" max="1025" width="9.140625" style="3"/>
  </cols>
  <sheetData>
    <row r="1" spans="1:25" ht="20.25" customHeight="1" x14ac:dyDescent="0.25">
      <c r="A1" s="341" t="s">
        <v>161</v>
      </c>
      <c r="B1" s="341"/>
      <c r="C1" s="341"/>
      <c r="D1" s="341"/>
      <c r="E1" s="341"/>
      <c r="F1" s="341"/>
      <c r="G1" s="341"/>
      <c r="H1" s="341"/>
      <c r="I1" s="341"/>
      <c r="J1" s="91"/>
      <c r="K1" s="91"/>
      <c r="L1" s="91"/>
      <c r="M1" s="91"/>
      <c r="N1" s="91"/>
      <c r="O1" s="91"/>
      <c r="P1" s="91"/>
    </row>
    <row r="2" spans="1:25" ht="15.75" customHeight="1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25" ht="15.75" customHeight="1" x14ac:dyDescent="0.25">
      <c r="A3" s="91" t="s">
        <v>162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25" ht="15.75" customHeight="1" x14ac:dyDescent="0.25">
      <c r="A4" s="92" t="s">
        <v>163</v>
      </c>
      <c r="B4" s="92">
        <v>-8</v>
      </c>
      <c r="C4" s="92" t="s">
        <v>164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U4" s="93"/>
      <c r="V4" s="75"/>
      <c r="W4" s="75"/>
      <c r="X4" s="75"/>
      <c r="Y4" s="94"/>
    </row>
    <row r="5" spans="1:25" ht="18" customHeight="1" x14ac:dyDescent="0.25">
      <c r="A5" s="93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94"/>
      <c r="U5" s="95"/>
      <c r="V5" s="338" t="s">
        <v>165</v>
      </c>
      <c r="W5" s="338"/>
      <c r="X5" s="338"/>
      <c r="Y5" s="96"/>
    </row>
    <row r="6" spans="1:25" ht="18.75" customHeight="1" x14ac:dyDescent="0.3">
      <c r="A6" s="97" t="s">
        <v>166</v>
      </c>
      <c r="B6" s="92">
        <v>1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6"/>
      <c r="U6" s="95"/>
      <c r="V6" s="99" t="s">
        <v>166</v>
      </c>
      <c r="W6" s="100" t="s">
        <v>167</v>
      </c>
      <c r="X6" s="75"/>
      <c r="Y6" s="96"/>
    </row>
    <row r="7" spans="1:25" ht="16.5" customHeight="1" x14ac:dyDescent="0.25">
      <c r="A7" s="343" t="s">
        <v>168</v>
      </c>
      <c r="B7" s="343"/>
      <c r="C7" s="343"/>
      <c r="D7" s="343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94"/>
      <c r="U7" s="95"/>
      <c r="V7" s="101">
        <f>B6</f>
        <v>1</v>
      </c>
      <c r="W7" s="102">
        <f>B73</f>
        <v>34491.217401844769</v>
      </c>
      <c r="X7" s="98" t="s">
        <v>169</v>
      </c>
      <c r="Y7" s="96"/>
    </row>
    <row r="8" spans="1:25" ht="15" customHeight="1" x14ac:dyDescent="0.25">
      <c r="A8" s="95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6"/>
      <c r="U8" s="95"/>
      <c r="V8" s="101">
        <f>B78</f>
        <v>2</v>
      </c>
      <c r="W8" s="102" t="e">
        <f>B152</f>
        <v>#N/A</v>
      </c>
      <c r="X8" s="98" t="s">
        <v>169</v>
      </c>
      <c r="Y8" s="96"/>
    </row>
    <row r="9" spans="1:25" ht="15" customHeight="1" x14ac:dyDescent="0.25">
      <c r="A9" s="103" t="s">
        <v>170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6"/>
      <c r="U9" s="95"/>
      <c r="V9" s="101">
        <f>B158</f>
        <v>3</v>
      </c>
      <c r="W9" s="102" t="e">
        <f>B232</f>
        <v>#N/A</v>
      </c>
      <c r="X9" s="98" t="s">
        <v>169</v>
      </c>
      <c r="Y9" s="96"/>
    </row>
    <row r="10" spans="1:25" ht="15" customHeight="1" x14ac:dyDescent="0.25">
      <c r="A10" s="95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6"/>
      <c r="U10" s="95"/>
      <c r="V10" s="101">
        <f>B237</f>
        <v>4</v>
      </c>
      <c r="W10" s="102" t="e">
        <f>B311</f>
        <v>#N/A</v>
      </c>
      <c r="X10" s="98" t="s">
        <v>169</v>
      </c>
      <c r="Y10" s="96"/>
    </row>
    <row r="11" spans="1:25" ht="15.75" customHeight="1" x14ac:dyDescent="0.25">
      <c r="A11" s="95"/>
      <c r="B11" s="104" t="s">
        <v>10</v>
      </c>
      <c r="C11" s="104" t="s">
        <v>171</v>
      </c>
      <c r="D11" s="104" t="s">
        <v>172</v>
      </c>
      <c r="E11" s="104" t="s">
        <v>173</v>
      </c>
      <c r="F11" s="104" t="s">
        <v>174</v>
      </c>
      <c r="G11" s="104" t="s">
        <v>16</v>
      </c>
      <c r="H11" s="105" t="s">
        <v>17</v>
      </c>
      <c r="I11" s="105" t="s">
        <v>175</v>
      </c>
      <c r="J11" s="98"/>
      <c r="K11" s="98"/>
      <c r="L11" s="98"/>
      <c r="M11" s="98"/>
      <c r="N11" s="98"/>
      <c r="O11" s="98"/>
      <c r="P11" s="96"/>
      <c r="U11" s="95"/>
      <c r="V11" s="101">
        <f>B316</f>
        <v>5</v>
      </c>
      <c r="W11" s="102" t="e">
        <f>B390</f>
        <v>#N/A</v>
      </c>
      <c r="X11" s="98" t="s">
        <v>169</v>
      </c>
      <c r="Y11" s="96"/>
    </row>
    <row r="12" spans="1:25" ht="16.5" customHeight="1" x14ac:dyDescent="0.25">
      <c r="A12" s="95"/>
      <c r="B12" s="106" t="str">
        <f>'Gebouwgegevens Allacker'!J6</f>
        <v>W1</v>
      </c>
      <c r="C12" s="107">
        <f>VLOOKUP(B12,'Gebouwgegevens Tabula'!$J$5:$Q$83,3,0)</f>
        <v>1</v>
      </c>
      <c r="D12" s="107" t="str">
        <f>VLOOKUP(B12,'Gebouwgegevens Tabula'!$J$5:$Q$83,4,0)</f>
        <v>Wall External</v>
      </c>
      <c r="E12" s="107">
        <f>VLOOKUP(B12,'Gebouwgegevens Tabula'!$J$5:$Q$83,5,0)</f>
        <v>37.922500000000007</v>
      </c>
      <c r="F12" s="107" t="str">
        <f>VLOOKUP(B12,'Gebouwgegevens Tabula'!$J$5:$Q$83,6,0)</f>
        <v>front</v>
      </c>
      <c r="G12" s="107">
        <f>VLOOKUP(B12,'Gebouwgegevens Tabula'!$J$5:$Q$83,7,0)</f>
        <v>2.2022341505875525</v>
      </c>
      <c r="H12" s="108">
        <f>VLOOKUP(B12,'Gebouwgegevens Tabula'!$J$5:$Q$83,8,0)</f>
        <v>83.514224575656471</v>
      </c>
      <c r="I12" s="108">
        <v>1</v>
      </c>
      <c r="J12" s="98"/>
      <c r="K12" s="98"/>
      <c r="L12" s="98"/>
      <c r="M12" s="98"/>
      <c r="N12" s="98"/>
      <c r="O12" s="98"/>
      <c r="P12" s="96"/>
      <c r="U12" s="95"/>
      <c r="V12" s="101">
        <f>6</f>
        <v>6</v>
      </c>
      <c r="W12" s="102" t="e">
        <f>B468</f>
        <v>#N/A</v>
      </c>
      <c r="X12" s="98" t="s">
        <v>169</v>
      </c>
      <c r="Y12" s="96"/>
    </row>
    <row r="13" spans="1:25" ht="16.5" customHeight="1" x14ac:dyDescent="0.25">
      <c r="A13" s="95"/>
      <c r="B13" s="106" t="str">
        <f>'Gebouwgegevens Allacker'!J7</f>
        <v>W2</v>
      </c>
      <c r="C13" s="107">
        <f>VLOOKUP(B13,'Gebouwgegevens Tabula'!$J$5:$Q$83,3,0)</f>
        <v>1</v>
      </c>
      <c r="D13" s="107" t="str">
        <f>VLOOKUP(B13,'Gebouwgegevens Tabula'!$J$5:$Q$83,4,0)</f>
        <v>Wall External</v>
      </c>
      <c r="E13" s="107">
        <f>VLOOKUP(B13,'Gebouwgegevens Tabula'!$J$5:$Q$83,5,0)</f>
        <v>31.027500000000003</v>
      </c>
      <c r="F13" s="107" t="str">
        <f>VLOOKUP(B13,'Gebouwgegevens Tabula'!$J$5:$Q$83,6,0)</f>
        <v>right</v>
      </c>
      <c r="G13" s="107">
        <f>VLOOKUP(B13,'Gebouwgegevens Tabula'!$J$5:$Q$83,7,0)</f>
        <v>2.2022341505875525</v>
      </c>
      <c r="H13" s="108">
        <f>VLOOKUP(B13,'Gebouwgegevens Tabula'!$J$5:$Q$83,8,0)</f>
        <v>68.329820107355289</v>
      </c>
      <c r="I13" s="108">
        <v>1</v>
      </c>
      <c r="J13" s="98"/>
      <c r="K13" s="98"/>
      <c r="L13" s="98"/>
      <c r="M13" s="98"/>
      <c r="N13" s="98"/>
      <c r="O13" s="98"/>
      <c r="P13" s="96"/>
      <c r="U13" s="95"/>
      <c r="V13" s="101">
        <v>7</v>
      </c>
      <c r="W13" s="102" t="e">
        <f>B546</f>
        <v>#N/A</v>
      </c>
      <c r="X13" s="98" t="s">
        <v>169</v>
      </c>
      <c r="Y13" s="96"/>
    </row>
    <row r="14" spans="1:25" ht="16.5" customHeight="1" x14ac:dyDescent="0.25">
      <c r="A14" s="95"/>
      <c r="B14" s="106" t="str">
        <f>'Gebouwgegevens Allacker'!J8</f>
        <v>W3</v>
      </c>
      <c r="C14" s="107">
        <f>VLOOKUP(B14,'Gebouwgegevens Tabula'!$J$5:$Q$83,3,0)</f>
        <v>1</v>
      </c>
      <c r="D14" s="107" t="str">
        <f>VLOOKUP(B14,'Gebouwgegevens Tabula'!$J$5:$Q$83,4,0)</f>
        <v>Wall External</v>
      </c>
      <c r="E14" s="107">
        <f>VLOOKUP(B14,'Gebouwgegevens Tabula'!$J$5:$Q$83,5,0)</f>
        <v>37.922500000000007</v>
      </c>
      <c r="F14" s="107" t="str">
        <f>VLOOKUP(B14,'Gebouwgegevens Tabula'!$J$5:$Q$83,6,0)</f>
        <v>back</v>
      </c>
      <c r="G14" s="107">
        <f>VLOOKUP(B14,'Gebouwgegevens Tabula'!$J$5:$Q$83,7,0)</f>
        <v>2.2022341505875525</v>
      </c>
      <c r="H14" s="108">
        <f>VLOOKUP(B14,'Gebouwgegevens Tabula'!$J$5:$Q$83,8,0)</f>
        <v>83.514224575656471</v>
      </c>
      <c r="I14" s="108">
        <v>1</v>
      </c>
      <c r="J14" s="98"/>
      <c r="K14" s="98"/>
      <c r="L14" s="98"/>
      <c r="M14" s="98"/>
      <c r="N14" s="98"/>
      <c r="O14" s="98"/>
      <c r="P14" s="96"/>
      <c r="U14" s="95"/>
      <c r="V14" s="101">
        <v>8</v>
      </c>
      <c r="W14" s="102" t="e">
        <f>B625</f>
        <v>#N/A</v>
      </c>
      <c r="X14" s="98" t="s">
        <v>169</v>
      </c>
      <c r="Y14" s="96"/>
    </row>
    <row r="15" spans="1:25" ht="16.5" customHeight="1" x14ac:dyDescent="0.25">
      <c r="A15" s="95"/>
      <c r="B15" s="106" t="str">
        <f>'Gebouwgegevens Allacker'!J9</f>
        <v>W4</v>
      </c>
      <c r="C15" s="107">
        <f>VLOOKUP(B15,'Gebouwgegevens Tabula'!$J$5:$Q$83,3,0)</f>
        <v>1</v>
      </c>
      <c r="D15" s="107" t="str">
        <f>VLOOKUP(B15,'Gebouwgegevens Tabula'!$J$5:$Q$83,4,0)</f>
        <v>Wall External</v>
      </c>
      <c r="E15" s="107">
        <f>VLOOKUP(B15,'Gebouwgegevens Tabula'!$J$5:$Q$83,5,0)</f>
        <v>31.027500000000003</v>
      </c>
      <c r="F15" s="107" t="str">
        <f>VLOOKUP(B15,'Gebouwgegevens Tabula'!$J$5:$Q$83,6,0)</f>
        <v>left</v>
      </c>
      <c r="G15" s="107">
        <f>VLOOKUP(B15,'Gebouwgegevens Tabula'!$J$5:$Q$83,7,0)</f>
        <v>2.2022341505875525</v>
      </c>
      <c r="H15" s="108">
        <f>VLOOKUP(B15,'Gebouwgegevens Tabula'!$J$5:$Q$83,8,0)</f>
        <v>68.329820107355289</v>
      </c>
      <c r="I15" s="108">
        <v>1</v>
      </c>
      <c r="J15" s="98"/>
      <c r="K15" s="98"/>
      <c r="L15" s="98"/>
      <c r="M15" s="98"/>
      <c r="N15" s="98"/>
      <c r="O15" s="98"/>
      <c r="P15" s="96"/>
      <c r="U15" s="95"/>
      <c r="V15" s="101">
        <v>9</v>
      </c>
      <c r="W15" s="102" t="e">
        <f>B704</f>
        <v>#N/A</v>
      </c>
      <c r="X15" s="98" t="s">
        <v>169</v>
      </c>
      <c r="Y15" s="96"/>
    </row>
    <row r="16" spans="1:25" ht="16.5" customHeight="1" x14ac:dyDescent="0.25">
      <c r="A16" s="95"/>
      <c r="B16" s="106" t="str">
        <f>'Gebouwgegevens Allacker'!J10</f>
        <v>W5</v>
      </c>
      <c r="C16" s="107">
        <f>VLOOKUP(B16,'Gebouwgegevens Tabula'!$J$5:$Q$83,3,0)</f>
        <v>1</v>
      </c>
      <c r="D16" s="107" t="str">
        <f>VLOOKUP(B16,'Gebouwgegevens Tabula'!$J$5:$Q$83,4,0)</f>
        <v>Window</v>
      </c>
      <c r="E16" s="107">
        <f>VLOOKUP(B16,'Gebouwgegevens Tabula'!$J$5:$Q$83,5,0)</f>
        <v>10.8</v>
      </c>
      <c r="F16" s="107" t="str">
        <f>VLOOKUP(B16,'Gebouwgegevens Tabula'!$J$5:$Q$83,6,0)</f>
        <v>front</v>
      </c>
      <c r="G16" s="107">
        <f>VLOOKUP(B16,'Gebouwgegevens Tabula'!$J$5:$Q$83,7,0)</f>
        <v>5</v>
      </c>
      <c r="H16" s="108">
        <f>VLOOKUP(B16,'Gebouwgegevens Tabula'!$J$5:$Q$83,8,0)</f>
        <v>54</v>
      </c>
      <c r="I16" s="108">
        <v>1</v>
      </c>
      <c r="J16" s="98"/>
      <c r="K16" s="98"/>
      <c r="L16" s="98"/>
      <c r="M16" s="98"/>
      <c r="N16" s="98"/>
      <c r="O16" s="98"/>
      <c r="P16" s="96"/>
      <c r="U16" s="95"/>
      <c r="V16" s="101">
        <v>10</v>
      </c>
      <c r="W16" s="102" t="e">
        <f>B783</f>
        <v>#N/A</v>
      </c>
      <c r="X16" s="98" t="s">
        <v>169</v>
      </c>
      <c r="Y16" s="96"/>
    </row>
    <row r="17" spans="1:25" ht="16.5" customHeight="1" x14ac:dyDescent="0.25">
      <c r="A17" s="95"/>
      <c r="B17" s="106" t="str">
        <f>'Gebouwgegevens Allacker'!J11</f>
        <v>W6</v>
      </c>
      <c r="C17" s="107">
        <f>VLOOKUP(B17,'Gebouwgegevens Tabula'!$J$5:$Q$83,3,0)</f>
        <v>1</v>
      </c>
      <c r="D17" s="107" t="str">
        <f>VLOOKUP(B17,'Gebouwgegevens Tabula'!$J$5:$Q$83,4,0)</f>
        <v>Window</v>
      </c>
      <c r="E17" s="107">
        <f>VLOOKUP(B17,'Gebouwgegevens Tabula'!$J$5:$Q$83,5,0)</f>
        <v>9.3000000000000007</v>
      </c>
      <c r="F17" s="107" t="str">
        <f>VLOOKUP(B17,'Gebouwgegevens Tabula'!$J$5:$Q$83,6,0)</f>
        <v>right</v>
      </c>
      <c r="G17" s="107">
        <f>VLOOKUP(B17,'Gebouwgegevens Tabula'!$J$5:$Q$83,7,0)</f>
        <v>5</v>
      </c>
      <c r="H17" s="108">
        <f>VLOOKUP(B17,'Gebouwgegevens Tabula'!$J$5:$Q$83,8,0)</f>
        <v>46.5</v>
      </c>
      <c r="I17" s="108">
        <v>1</v>
      </c>
      <c r="J17" s="98"/>
      <c r="K17" s="98"/>
      <c r="L17" s="98"/>
      <c r="M17" s="98"/>
      <c r="N17" s="98"/>
      <c r="O17" s="98"/>
      <c r="P17" s="96"/>
      <c r="U17" s="95"/>
      <c r="V17" s="101"/>
      <c r="W17" s="102"/>
      <c r="X17" s="98"/>
      <c r="Y17" s="96"/>
    </row>
    <row r="18" spans="1:25" ht="16.5" customHeight="1" x14ac:dyDescent="0.25">
      <c r="A18" s="95"/>
      <c r="B18" s="106" t="str">
        <f>'Gebouwgegevens Allacker'!J12</f>
        <v>W7</v>
      </c>
      <c r="C18" s="107">
        <f>VLOOKUP(B18,'Gebouwgegevens Tabula'!$J$5:$Q$83,3,0)</f>
        <v>1</v>
      </c>
      <c r="D18" s="107" t="str">
        <f>VLOOKUP(B18,'Gebouwgegevens Tabula'!$J$5:$Q$83,4,0)</f>
        <v>Window</v>
      </c>
      <c r="E18" s="107">
        <f>VLOOKUP(B18,'Gebouwgegevens Tabula'!$J$5:$Q$83,5,0)</f>
        <v>12.2</v>
      </c>
      <c r="F18" s="107" t="str">
        <f>VLOOKUP(B18,'Gebouwgegevens Tabula'!$J$5:$Q$83,6,0)</f>
        <v>back</v>
      </c>
      <c r="G18" s="107">
        <f>VLOOKUP(B18,'Gebouwgegevens Tabula'!$J$5:$Q$83,7,0)</f>
        <v>5</v>
      </c>
      <c r="H18" s="108">
        <f>VLOOKUP(B18,'Gebouwgegevens Tabula'!$J$5:$Q$83,8,0)</f>
        <v>61</v>
      </c>
      <c r="I18" s="108">
        <v>1</v>
      </c>
      <c r="J18" s="98"/>
      <c r="K18" s="98"/>
      <c r="L18" s="98"/>
      <c r="M18" s="98"/>
      <c r="N18" s="98"/>
      <c r="O18" s="98"/>
      <c r="P18" s="96"/>
      <c r="U18" s="95"/>
      <c r="V18" s="99" t="s">
        <v>176</v>
      </c>
      <c r="W18" s="100" t="e">
        <f>SUM(W7:W16)</f>
        <v>#N/A</v>
      </c>
      <c r="X18" s="75" t="s">
        <v>169</v>
      </c>
      <c r="Y18" s="96"/>
    </row>
    <row r="19" spans="1:25" ht="16.5" customHeight="1" x14ac:dyDescent="0.25">
      <c r="A19" s="95"/>
      <c r="B19" s="106" t="str">
        <f>'Gebouwgegevens Allacker'!J13</f>
        <v>W8</v>
      </c>
      <c r="C19" s="107">
        <f>VLOOKUP(B19,'Gebouwgegevens Tabula'!$J$5:$Q$83,3,0)</f>
        <v>1</v>
      </c>
      <c r="D19" s="107" t="str">
        <f>VLOOKUP(B19,'Gebouwgegevens Tabula'!$J$5:$Q$83,4,0)</f>
        <v>Window</v>
      </c>
      <c r="E19" s="107">
        <f>VLOOKUP(B19,'Gebouwgegevens Tabula'!$J$5:$Q$83,5,0)</f>
        <v>8.9</v>
      </c>
      <c r="F19" s="107" t="str">
        <f>VLOOKUP(B19,'Gebouwgegevens Tabula'!$J$5:$Q$83,6,0)</f>
        <v>left</v>
      </c>
      <c r="G19" s="107">
        <f>VLOOKUP(B19,'Gebouwgegevens Tabula'!$J$5:$Q$83,7,0)</f>
        <v>5</v>
      </c>
      <c r="H19" s="108">
        <f>VLOOKUP(B19,'Gebouwgegevens Tabula'!$J$5:$Q$83,8,0)</f>
        <v>44.5</v>
      </c>
      <c r="I19" s="108">
        <v>1</v>
      </c>
      <c r="J19" s="98"/>
      <c r="K19" s="98"/>
      <c r="L19" s="98"/>
      <c r="M19" s="98"/>
      <c r="N19" s="98"/>
      <c r="O19" s="98"/>
      <c r="P19" s="96"/>
      <c r="U19" s="109"/>
      <c r="V19" s="110"/>
      <c r="W19" s="110"/>
      <c r="X19" s="110"/>
      <c r="Y19" s="111"/>
    </row>
    <row r="20" spans="1:25" ht="16.5" customHeight="1" x14ac:dyDescent="0.25">
      <c r="A20" s="95"/>
      <c r="B20" s="106"/>
      <c r="C20" s="107"/>
      <c r="D20" s="107"/>
      <c r="E20" s="107"/>
      <c r="F20" s="107"/>
      <c r="G20" s="107"/>
      <c r="H20" s="108"/>
      <c r="I20" s="108"/>
      <c r="J20" s="98"/>
      <c r="K20" s="98"/>
      <c r="L20" s="98"/>
      <c r="M20" s="98"/>
      <c r="N20" s="98"/>
      <c r="O20" s="98"/>
      <c r="P20" s="96"/>
      <c r="U20" s="98"/>
      <c r="V20" s="98"/>
      <c r="W20" s="98"/>
      <c r="X20" s="98"/>
      <c r="Y20" s="98"/>
    </row>
    <row r="21" spans="1:25" ht="16.5" customHeight="1" x14ac:dyDescent="0.25">
      <c r="A21" s="95"/>
      <c r="B21" s="106" t="str">
        <f>'Gebouwgegevens Allacker'!J15</f>
        <v>W10</v>
      </c>
      <c r="C21" s="107">
        <f>VLOOKUP(B21,'Gebouwgegevens Tabula'!$J$5:$Q$83,3,0)</f>
        <v>1</v>
      </c>
      <c r="D21" s="107" t="str">
        <f>VLOOKUP(B21,'Gebouwgegevens Tabula'!$J$5:$Q$83,4,0)</f>
        <v>Roof</v>
      </c>
      <c r="E21" s="107">
        <f>VLOOKUP(B21,'Gebouwgegevens Tabula'!$J$5:$Q$83,5,0)</f>
        <v>125.2</v>
      </c>
      <c r="F21" s="107">
        <f>VLOOKUP(B21,'Gebouwgegevens Tabula'!$J$5:$Q$83,6,0)</f>
        <v>0</v>
      </c>
      <c r="G21" s="107">
        <f>VLOOKUP(B21,'Gebouwgegevens Tabula'!$J$5:$Q$83,7,0)</f>
        <v>1.6975498473547073</v>
      </c>
      <c r="H21" s="108">
        <f>VLOOKUP(B21,'Gebouwgegevens Tabula'!$J$5:$Q$83,8,0)</f>
        <v>212.53324088880936</v>
      </c>
      <c r="I21" s="108">
        <v>1</v>
      </c>
      <c r="J21" s="98"/>
      <c r="K21" s="98"/>
      <c r="L21" s="98"/>
      <c r="M21" s="98"/>
      <c r="N21" s="98"/>
      <c r="O21" s="98"/>
      <c r="P21" s="96"/>
      <c r="U21" s="98"/>
      <c r="V21" s="98" t="s">
        <v>266</v>
      </c>
      <c r="W21" s="98">
        <f>1.1*W7</f>
        <v>37940.339142029246</v>
      </c>
      <c r="X21" s="98"/>
      <c r="Y21" s="98"/>
    </row>
    <row r="22" spans="1:25" ht="16.5" customHeight="1" x14ac:dyDescent="0.25">
      <c r="A22" s="95"/>
      <c r="B22" s="106"/>
      <c r="C22" s="107"/>
      <c r="D22" s="107"/>
      <c r="E22" s="107"/>
      <c r="F22" s="107"/>
      <c r="G22" s="107"/>
      <c r="H22" s="108"/>
      <c r="I22" s="108"/>
      <c r="J22" s="98"/>
      <c r="K22" s="98"/>
      <c r="L22" s="98"/>
      <c r="M22" s="98"/>
      <c r="N22" s="98"/>
      <c r="O22" s="98"/>
      <c r="P22" s="96"/>
      <c r="U22" s="98"/>
      <c r="V22" s="98"/>
      <c r="W22" s="98"/>
      <c r="X22" s="98"/>
      <c r="Y22" s="98"/>
    </row>
    <row r="23" spans="1:25" ht="16.5" customHeight="1" x14ac:dyDescent="0.25">
      <c r="A23" s="95"/>
      <c r="B23" s="106"/>
      <c r="C23" s="107"/>
      <c r="D23" s="107"/>
      <c r="E23" s="107"/>
      <c r="F23" s="107"/>
      <c r="G23" s="107"/>
      <c r="H23" s="108"/>
      <c r="I23" s="108"/>
      <c r="J23" s="98"/>
      <c r="K23" s="98"/>
      <c r="L23" s="98"/>
      <c r="M23" s="98"/>
      <c r="N23" s="98"/>
      <c r="O23" s="98"/>
      <c r="P23" s="96"/>
      <c r="U23" s="98"/>
      <c r="V23" s="98"/>
      <c r="W23" s="98"/>
      <c r="X23" s="98"/>
      <c r="Y23" s="98"/>
    </row>
    <row r="24" spans="1:25" ht="15.75" customHeight="1" x14ac:dyDescent="0.25">
      <c r="A24" s="95"/>
      <c r="B24" s="112"/>
      <c r="C24" s="113"/>
      <c r="D24" s="113"/>
      <c r="E24" s="113"/>
      <c r="F24" s="113"/>
      <c r="G24" s="113"/>
      <c r="H24" s="108"/>
      <c r="I24" s="108"/>
      <c r="J24" s="98"/>
      <c r="K24" s="98"/>
      <c r="L24" s="98"/>
      <c r="M24" s="98"/>
      <c r="N24" s="98"/>
      <c r="O24" s="98"/>
      <c r="P24" s="96"/>
      <c r="U24" s="98"/>
      <c r="V24" s="98"/>
      <c r="W24" s="98"/>
      <c r="X24" s="98"/>
      <c r="Y24" s="98"/>
    </row>
    <row r="25" spans="1:25" ht="15" customHeight="1" x14ac:dyDescent="0.25">
      <c r="A25" s="95"/>
      <c r="B25" s="112"/>
      <c r="C25" s="113"/>
      <c r="D25" s="113"/>
      <c r="E25" s="113"/>
      <c r="F25" s="113"/>
      <c r="G25" s="113"/>
      <c r="H25" s="108"/>
      <c r="I25" s="108"/>
      <c r="J25" s="98"/>
      <c r="K25" s="98"/>
      <c r="L25" s="98"/>
      <c r="M25" s="98"/>
      <c r="N25" s="98"/>
      <c r="O25" s="98"/>
      <c r="P25" s="96"/>
      <c r="U25" s="98"/>
      <c r="V25" s="98"/>
      <c r="W25" s="98"/>
      <c r="X25" s="98"/>
      <c r="Y25" s="98"/>
    </row>
    <row r="26" spans="1:25" ht="15" customHeight="1" x14ac:dyDescent="0.25">
      <c r="A26" s="103" t="s">
        <v>177</v>
      </c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6"/>
    </row>
    <row r="27" spans="1:25" ht="15.75" customHeight="1" x14ac:dyDescent="0.25">
      <c r="A27" s="95"/>
      <c r="B27" s="58" t="s">
        <v>10</v>
      </c>
      <c r="C27" s="58" t="s">
        <v>178</v>
      </c>
      <c r="D27" s="58" t="s">
        <v>172</v>
      </c>
      <c r="E27" s="58" t="s">
        <v>179</v>
      </c>
      <c r="F27" s="58" t="s">
        <v>16</v>
      </c>
      <c r="G27" s="114" t="s">
        <v>17</v>
      </c>
      <c r="H27" s="114" t="s">
        <v>175</v>
      </c>
      <c r="I27" s="58" t="s">
        <v>180</v>
      </c>
      <c r="J27" s="58" t="s">
        <v>181</v>
      </c>
      <c r="K27" s="58" t="s">
        <v>182</v>
      </c>
      <c r="L27" s="115" t="s">
        <v>183</v>
      </c>
      <c r="M27" s="115" t="s">
        <v>184</v>
      </c>
      <c r="N27" s="115" t="s">
        <v>185</v>
      </c>
      <c r="O27" s="98"/>
      <c r="P27" s="96"/>
    </row>
    <row r="28" spans="1:25" ht="16.5" customHeight="1" x14ac:dyDescent="0.25">
      <c r="A28" s="95"/>
      <c r="B28" s="116" t="s">
        <v>61</v>
      </c>
      <c r="C28" s="117">
        <f>VLOOKUP(B28,'Gebouwgegevens Tabula'!$J$5:$Q$83,3,0)</f>
        <v>1</v>
      </c>
      <c r="D28" s="117" t="str">
        <f>VLOOKUP(B28,'Gebouwgegevens Tabula'!$J$5:$Q$83,4,0)</f>
        <v>Floor</v>
      </c>
      <c r="E28" s="117">
        <f>VLOOKUP(B28,'Gebouwgegevens Tabula'!$J$5:$Q$83,5,0)</f>
        <v>103.4</v>
      </c>
      <c r="F28" s="117">
        <f>VLOOKUP(B28,'Gebouwgegevens Tabula'!$J$5:$Q$83,7,0)</f>
        <v>2.5990099009900991</v>
      </c>
      <c r="G28" s="118">
        <f>VLOOKUP(B28,'Gebouwgegevens Tabula'!$J$5:$Q$83,8,0)</f>
        <v>268.73762376237624</v>
      </c>
      <c r="H28" s="118">
        <f>N28/F28</f>
        <v>0.25197935870952853</v>
      </c>
      <c r="I28" s="117">
        <f>'Gebouwgegevens Tabula'!N14</f>
        <v>103.4</v>
      </c>
      <c r="J28" s="116">
        <v>42</v>
      </c>
      <c r="K28" s="116">
        <v>0.33</v>
      </c>
      <c r="L28" s="119">
        <f>I28/(0.5*J28)</f>
        <v>4.9238095238095241</v>
      </c>
      <c r="M28" s="119">
        <f>K28+2*(1/F28)</f>
        <v>1.0995238095238096</v>
      </c>
      <c r="N28" s="120">
        <f>IF(M28&lt;L28,2*2/(PI()*L28+M28)*LN(PI()*L28/M28+1),2/(0.457*L28+M28))</f>
        <v>0.65489684813120042</v>
      </c>
      <c r="O28" s="98"/>
      <c r="P28" s="96"/>
    </row>
    <row r="29" spans="1:25" ht="15.75" customHeight="1" x14ac:dyDescent="0.25">
      <c r="A29" s="95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8"/>
      <c r="P29" s="96"/>
    </row>
    <row r="30" spans="1:25" ht="15" customHeight="1" x14ac:dyDescent="0.25">
      <c r="A30" s="95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6"/>
    </row>
    <row r="31" spans="1:25" ht="15" customHeight="1" x14ac:dyDescent="0.25">
      <c r="A31" s="103" t="s">
        <v>186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6"/>
      <c r="V31" s="3" t="e">
        <f>1.1*W18</f>
        <v>#N/A</v>
      </c>
    </row>
    <row r="32" spans="1:25" ht="15.75" customHeight="1" x14ac:dyDescent="0.25">
      <c r="A32" s="95"/>
      <c r="B32" s="58" t="s">
        <v>10</v>
      </c>
      <c r="C32" s="58" t="s">
        <v>187</v>
      </c>
      <c r="D32" s="58" t="s">
        <v>188</v>
      </c>
      <c r="E32" s="58" t="s">
        <v>135</v>
      </c>
      <c r="F32" s="58" t="s">
        <v>189</v>
      </c>
      <c r="G32" s="58" t="s">
        <v>190</v>
      </c>
      <c r="H32" s="58" t="s">
        <v>191</v>
      </c>
      <c r="I32" s="58" t="s">
        <v>16</v>
      </c>
      <c r="J32" s="114" t="s">
        <v>17</v>
      </c>
      <c r="K32" s="114" t="s">
        <v>175</v>
      </c>
      <c r="L32" s="98"/>
      <c r="M32" s="98"/>
      <c r="N32" s="98"/>
      <c r="O32" s="98"/>
      <c r="P32" s="96"/>
    </row>
    <row r="33" spans="1:16" ht="16.5" customHeight="1" x14ac:dyDescent="0.25">
      <c r="A33" s="95"/>
      <c r="B33" s="121"/>
      <c r="C33" s="122"/>
      <c r="D33" s="122"/>
      <c r="E33" s="122"/>
      <c r="F33" s="122"/>
      <c r="G33" s="122">
        <v>20</v>
      </c>
      <c r="H33" s="122"/>
      <c r="I33" s="122"/>
      <c r="J33" s="118"/>
      <c r="K33" s="118"/>
      <c r="L33" s="98"/>
      <c r="M33" s="98"/>
      <c r="N33" s="98"/>
      <c r="O33" s="98"/>
      <c r="P33" s="96"/>
    </row>
    <row r="34" spans="1:16" ht="16.5" customHeight="1" x14ac:dyDescent="0.25">
      <c r="A34" s="95"/>
      <c r="B34" s="121"/>
      <c r="C34" s="122"/>
      <c r="D34" s="122"/>
      <c r="E34" s="122"/>
      <c r="F34" s="122"/>
      <c r="G34" s="122"/>
      <c r="H34" s="122"/>
      <c r="I34" s="122"/>
      <c r="J34" s="118"/>
      <c r="K34" s="118"/>
      <c r="L34" s="98"/>
      <c r="M34" s="98"/>
      <c r="N34" s="98"/>
      <c r="O34" s="98"/>
      <c r="P34" s="96"/>
    </row>
    <row r="35" spans="1:16" ht="16.5" customHeight="1" x14ac:dyDescent="0.25">
      <c r="A35" s="95"/>
      <c r="B35" s="121"/>
      <c r="C35" s="122"/>
      <c r="D35" s="122"/>
      <c r="E35" s="122"/>
      <c r="F35" s="122"/>
      <c r="G35" s="122"/>
      <c r="H35" s="122"/>
      <c r="I35" s="122"/>
      <c r="J35" s="118"/>
      <c r="K35" s="118"/>
      <c r="L35" s="98"/>
      <c r="M35" s="98"/>
      <c r="N35" s="98"/>
      <c r="O35" s="98"/>
      <c r="P35" s="96"/>
    </row>
    <row r="36" spans="1:16" ht="16.5" customHeight="1" x14ac:dyDescent="0.25">
      <c r="A36" s="95"/>
      <c r="B36" s="92"/>
      <c r="C36" s="122"/>
      <c r="D36" s="122"/>
      <c r="E36" s="122"/>
      <c r="F36" s="122"/>
      <c r="G36" s="122"/>
      <c r="H36" s="122"/>
      <c r="I36" s="122"/>
      <c r="J36" s="118"/>
      <c r="K36" s="118"/>
      <c r="L36" s="98"/>
      <c r="M36" s="98"/>
      <c r="N36" s="98"/>
      <c r="O36" s="98"/>
      <c r="P36" s="96"/>
    </row>
    <row r="37" spans="1:16" ht="16.5" customHeight="1" x14ac:dyDescent="0.25">
      <c r="A37" s="95"/>
      <c r="B37" s="123"/>
      <c r="C37" s="122"/>
      <c r="D37" s="122"/>
      <c r="E37" s="122"/>
      <c r="F37" s="122"/>
      <c r="G37" s="122"/>
      <c r="H37" s="122"/>
      <c r="I37" s="122"/>
      <c r="J37" s="118"/>
      <c r="K37" s="118"/>
      <c r="L37" s="98"/>
      <c r="M37" s="98"/>
      <c r="N37" s="98"/>
      <c r="O37" s="98"/>
      <c r="P37" s="96"/>
    </row>
    <row r="38" spans="1:16" ht="16.5" customHeight="1" x14ac:dyDescent="0.25">
      <c r="A38" s="95"/>
      <c r="B38" s="123"/>
      <c r="C38" s="122"/>
      <c r="D38" s="122"/>
      <c r="E38" s="122"/>
      <c r="F38" s="122"/>
      <c r="G38" s="122"/>
      <c r="H38" s="122"/>
      <c r="I38" s="122"/>
      <c r="J38" s="118"/>
      <c r="K38" s="118"/>
      <c r="L38" s="98"/>
      <c r="M38" s="98"/>
      <c r="N38" s="98"/>
      <c r="O38" s="98"/>
      <c r="P38" s="96"/>
    </row>
    <row r="39" spans="1:16" ht="15.75" customHeight="1" x14ac:dyDescent="0.25">
      <c r="A39" s="95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8"/>
      <c r="M39" s="98"/>
      <c r="N39" s="98"/>
      <c r="O39" s="98"/>
      <c r="P39" s="96"/>
    </row>
    <row r="40" spans="1:16" ht="15" customHeight="1" x14ac:dyDescent="0.25">
      <c r="A40" s="95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6"/>
    </row>
    <row r="41" spans="1:16" ht="15.75" customHeight="1" x14ac:dyDescent="0.25">
      <c r="A41" s="103" t="s">
        <v>192</v>
      </c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6"/>
    </row>
    <row r="42" spans="1:16" ht="16.5" customHeight="1" x14ac:dyDescent="0.25">
      <c r="A42" s="124" t="s">
        <v>193</v>
      </c>
      <c r="B42" s="118">
        <f>SUMPRODUCT(H12:H21,I12:I21)+SUMPRODUCT(G28,H28)+SUMPRODUCT(J33:J38,K33:K38)</f>
        <v>789.93766435159898</v>
      </c>
      <c r="C42" s="118" t="s">
        <v>107</v>
      </c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6"/>
    </row>
    <row r="43" spans="1:16" ht="16.5" customHeight="1" x14ac:dyDescent="0.25">
      <c r="A43" s="124" t="s">
        <v>167</v>
      </c>
      <c r="B43" s="118">
        <f>B42*(G33-$B$4)</f>
        <v>22118.254601844772</v>
      </c>
      <c r="C43" s="118" t="s">
        <v>169</v>
      </c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6"/>
    </row>
    <row r="44" spans="1:16" ht="15.75" customHeight="1" x14ac:dyDescent="0.25">
      <c r="A44" s="109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1"/>
    </row>
    <row r="45" spans="1:16" ht="15.75" customHeight="1" x14ac:dyDescent="0.25">
      <c r="A45" s="343" t="s">
        <v>194</v>
      </c>
      <c r="B45" s="343"/>
      <c r="C45" s="343"/>
      <c r="D45" s="12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94"/>
    </row>
    <row r="46" spans="1:16" ht="15" customHeight="1" x14ac:dyDescent="0.25">
      <c r="A46" s="95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6"/>
    </row>
    <row r="47" spans="1:16" ht="15" customHeight="1" x14ac:dyDescent="0.25">
      <c r="A47" s="126" t="s">
        <v>195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6"/>
    </row>
    <row r="48" spans="1:16" ht="15" customHeight="1" x14ac:dyDescent="0.25">
      <c r="A48" s="127" t="s">
        <v>196</v>
      </c>
      <c r="B48" s="121">
        <v>0.6</v>
      </c>
      <c r="C48" s="120" t="s">
        <v>197</v>
      </c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6"/>
    </row>
    <row r="49" spans="1:16" ht="15" customHeight="1" x14ac:dyDescent="0.25">
      <c r="A49" s="127" t="s">
        <v>198</v>
      </c>
      <c r="B49" s="121">
        <v>0.03</v>
      </c>
      <c r="C49" s="120" t="s">
        <v>199</v>
      </c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6"/>
    </row>
    <row r="50" spans="1:16" ht="15.75" customHeight="1" x14ac:dyDescent="0.25">
      <c r="A50" s="127" t="s">
        <v>200</v>
      </c>
      <c r="B50" s="121">
        <v>1</v>
      </c>
      <c r="C50" s="120" t="s">
        <v>201</v>
      </c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6"/>
    </row>
    <row r="51" spans="1:16" ht="16.5" customHeight="1" x14ac:dyDescent="0.25">
      <c r="A51" s="124" t="s">
        <v>202</v>
      </c>
      <c r="B51" s="118">
        <f>B48/20*'Gebouwgegevens Tabula'!B5</f>
        <v>22.98</v>
      </c>
      <c r="C51" s="118" t="s">
        <v>203</v>
      </c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6"/>
    </row>
    <row r="52" spans="1:16" ht="15.75" customHeight="1" x14ac:dyDescent="0.25">
      <c r="A52" s="95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6"/>
    </row>
    <row r="53" spans="1:16" ht="15" customHeight="1" x14ac:dyDescent="0.25">
      <c r="A53" s="126" t="s">
        <v>204</v>
      </c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6"/>
    </row>
    <row r="54" spans="1:16" ht="15.75" customHeight="1" x14ac:dyDescent="0.25">
      <c r="A54" s="95" t="s">
        <v>180</v>
      </c>
      <c r="B54" s="98">
        <f>'Gebouwgegevens Tabula'!G35</f>
        <v>167.39999999999998</v>
      </c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6"/>
    </row>
    <row r="55" spans="1:16" ht="16.5" customHeight="1" x14ac:dyDescent="0.25">
      <c r="A55" s="124" t="s">
        <v>205</v>
      </c>
      <c r="B55" s="128">
        <f>0.5*'Gebouwgegevens Tabula'!B5*(1-F55)</f>
        <v>383</v>
      </c>
      <c r="C55" s="118" t="s">
        <v>203</v>
      </c>
      <c r="D55" s="98"/>
      <c r="E55" s="98" t="s">
        <v>206</v>
      </c>
      <c r="F55" s="98">
        <v>0</v>
      </c>
      <c r="G55" s="98"/>
      <c r="H55" s="98"/>
      <c r="I55" s="98"/>
      <c r="J55" s="98"/>
      <c r="K55" s="98"/>
      <c r="L55" s="98"/>
      <c r="M55" s="98"/>
      <c r="N55" s="98"/>
      <c r="O55" s="98"/>
      <c r="P55" s="96"/>
    </row>
    <row r="56" spans="1:16" ht="15.75" customHeight="1" x14ac:dyDescent="0.25">
      <c r="A56" s="95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6"/>
    </row>
    <row r="57" spans="1:16" ht="15.75" customHeight="1" x14ac:dyDescent="0.25">
      <c r="A57" s="95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6"/>
    </row>
    <row r="58" spans="1:16" ht="16.5" customHeight="1" x14ac:dyDescent="0.25">
      <c r="A58" s="124" t="s">
        <v>207</v>
      </c>
      <c r="B58" s="118">
        <f>B51+B55</f>
        <v>405.98</v>
      </c>
      <c r="C58" s="118" t="s">
        <v>203</v>
      </c>
      <c r="D58" s="98"/>
      <c r="E58" s="98"/>
      <c r="F58" s="118" t="s">
        <v>208</v>
      </c>
      <c r="G58" s="118">
        <f>B58/VLOOKUP(B6,'Gebouwgegevens Allacker'!$A$35:$B$46,2,0)</f>
        <v>1.9563227031350894</v>
      </c>
      <c r="H58" s="98"/>
      <c r="I58" s="98"/>
      <c r="J58" s="98"/>
      <c r="K58" s="98"/>
      <c r="L58" s="98"/>
      <c r="M58" s="98"/>
      <c r="N58" s="98"/>
      <c r="O58" s="98"/>
      <c r="P58" s="96"/>
    </row>
    <row r="59" spans="1:16" ht="16.5" customHeight="1" x14ac:dyDescent="0.25">
      <c r="A59" s="95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6"/>
    </row>
    <row r="60" spans="1:16" ht="16.5" customHeight="1" x14ac:dyDescent="0.25">
      <c r="A60" s="124" t="s">
        <v>209</v>
      </c>
      <c r="B60" s="118">
        <f>0.34*B58</f>
        <v>138.03320000000002</v>
      </c>
      <c r="C60" s="118" t="s">
        <v>107</v>
      </c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6"/>
    </row>
    <row r="61" spans="1:16" ht="16.5" customHeight="1" x14ac:dyDescent="0.25">
      <c r="A61" s="124" t="s">
        <v>167</v>
      </c>
      <c r="B61" s="118">
        <f>B60*('Gebouwgegevens Tabula'!E35-$B$4)</f>
        <v>4002.9628000000007</v>
      </c>
      <c r="C61" s="118" t="s">
        <v>169</v>
      </c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6"/>
    </row>
    <row r="62" spans="1:16" ht="15.75" customHeight="1" x14ac:dyDescent="0.25">
      <c r="A62" s="109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6" ht="15.75" customHeight="1" x14ac:dyDescent="0.25">
      <c r="A63" s="343" t="s">
        <v>210</v>
      </c>
      <c r="B63" s="343"/>
      <c r="C63" s="343"/>
      <c r="D63" s="343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6"/>
    </row>
    <row r="64" spans="1:16" ht="15" customHeight="1" x14ac:dyDescent="0.25">
      <c r="A64" s="95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6"/>
    </row>
    <row r="65" spans="1:16" ht="15" customHeight="1" x14ac:dyDescent="0.25">
      <c r="A65" s="127" t="s">
        <v>211</v>
      </c>
      <c r="B65" s="121">
        <v>30</v>
      </c>
      <c r="C65" s="58" t="s">
        <v>212</v>
      </c>
      <c r="D65" s="5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6"/>
    </row>
    <row r="66" spans="1:16" ht="15.75" customHeight="1" x14ac:dyDescent="0.25">
      <c r="A66" s="127" t="s">
        <v>113</v>
      </c>
      <c r="B66" s="121">
        <f>'Gebouwgegevens Tabula'!B7</f>
        <v>279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6"/>
    </row>
    <row r="67" spans="1:16" ht="16.5" customHeight="1" x14ac:dyDescent="0.25">
      <c r="A67" s="124" t="s">
        <v>213</v>
      </c>
      <c r="B67" s="118">
        <f>B68/('Gebouwgegevens Tabula'!E35-'Verwarming Tabula'!$B$4)</f>
        <v>288.62068965517244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6"/>
    </row>
    <row r="68" spans="1:16" ht="16.5" customHeight="1" x14ac:dyDescent="0.25">
      <c r="A68" s="124" t="s">
        <v>167</v>
      </c>
      <c r="B68" s="118">
        <f>B65*B66</f>
        <v>8370</v>
      </c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6"/>
    </row>
    <row r="69" spans="1:16" ht="15.75" customHeight="1" x14ac:dyDescent="0.25">
      <c r="A69" s="95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6"/>
    </row>
    <row r="70" spans="1:16" ht="15.75" customHeight="1" x14ac:dyDescent="0.25">
      <c r="A70" s="95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6"/>
    </row>
    <row r="71" spans="1:16" ht="15.75" customHeight="1" x14ac:dyDescent="0.25">
      <c r="A71" s="129" t="s">
        <v>214</v>
      </c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1"/>
    </row>
    <row r="72" spans="1:16" ht="16.5" customHeight="1" x14ac:dyDescent="0.25">
      <c r="A72" s="124" t="s">
        <v>215</v>
      </c>
      <c r="B72" s="118">
        <f>SUM(B42,B60,B67)</f>
        <v>1216.5915540067713</v>
      </c>
      <c r="C72" s="118" t="s">
        <v>107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3"/>
    </row>
    <row r="73" spans="1:16" ht="16.5" customHeight="1" x14ac:dyDescent="0.25">
      <c r="A73" s="124" t="s">
        <v>167</v>
      </c>
      <c r="B73" s="118">
        <f>SUM(B43,B61,B68)</f>
        <v>34491.217401844769</v>
      </c>
      <c r="C73" s="118" t="s">
        <v>169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3"/>
    </row>
    <row r="74" spans="1:16" ht="16.5" customHeight="1" x14ac:dyDescent="0.25">
      <c r="A74" s="134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6"/>
    </row>
    <row r="75" spans="1:16" ht="15" customHeight="1" x14ac:dyDescent="0.25">
      <c r="A75" s="137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</row>
    <row r="76" spans="1:16" ht="15.75" customHeight="1" x14ac:dyDescent="0.25">
      <c r="A76" s="137"/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</row>
    <row r="77" spans="1:16" ht="15" customHeight="1" x14ac:dyDescent="0.25">
      <c r="A77" s="93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94"/>
    </row>
    <row r="78" spans="1:16" ht="17.25" customHeight="1" x14ac:dyDescent="0.3">
      <c r="A78" s="97" t="s">
        <v>166</v>
      </c>
      <c r="B78" s="92">
        <v>2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6"/>
    </row>
    <row r="79" spans="1:16" ht="15.75" customHeight="1" x14ac:dyDescent="0.25">
      <c r="A79" s="343" t="s">
        <v>168</v>
      </c>
      <c r="B79" s="343"/>
      <c r="C79" s="343"/>
      <c r="D79" s="343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94"/>
    </row>
    <row r="80" spans="1:16" ht="15" customHeight="1" x14ac:dyDescent="0.25">
      <c r="A80" s="95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6"/>
    </row>
    <row r="81" spans="1:16" ht="15" customHeight="1" x14ac:dyDescent="0.25">
      <c r="A81" s="103" t="s">
        <v>170</v>
      </c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6"/>
    </row>
    <row r="82" spans="1:16" ht="15" customHeight="1" x14ac:dyDescent="0.25">
      <c r="A82" s="95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6"/>
    </row>
    <row r="83" spans="1:16" ht="15.75" customHeight="1" x14ac:dyDescent="0.25">
      <c r="A83" s="95"/>
      <c r="B83" s="104" t="s">
        <v>10</v>
      </c>
      <c r="C83" s="104" t="s">
        <v>171</v>
      </c>
      <c r="D83" s="104" t="s">
        <v>172</v>
      </c>
      <c r="E83" s="104" t="s">
        <v>173</v>
      </c>
      <c r="F83" s="104" t="s">
        <v>174</v>
      </c>
      <c r="G83" s="104" t="s">
        <v>16</v>
      </c>
      <c r="H83" s="105" t="s">
        <v>17</v>
      </c>
      <c r="I83" s="105" t="s">
        <v>175</v>
      </c>
      <c r="J83" s="98"/>
      <c r="K83" s="98"/>
      <c r="L83" s="98"/>
      <c r="M83" s="98"/>
      <c r="N83" s="98"/>
      <c r="O83" s="98"/>
      <c r="P83" s="96"/>
    </row>
    <row r="84" spans="1:16" ht="16.5" customHeight="1" x14ac:dyDescent="0.25">
      <c r="A84" s="95"/>
      <c r="B84" s="106" t="s">
        <v>59</v>
      </c>
      <c r="C84" s="107">
        <f>VLOOKUP(B84,'Gebouwgegevens Allacker'!$J$5:$Q$83,3,0)</f>
        <v>1</v>
      </c>
      <c r="D84" s="107" t="str">
        <f>VLOOKUP(B84,'Gebouwgegevens Allacker'!$J$5:$Q$83,4,0)</f>
        <v>Window</v>
      </c>
      <c r="E84" s="107">
        <f>VLOOKUP(B84,'Gebouwgegevens Allacker'!$J$5:$Q$83,5,0)</f>
        <v>5</v>
      </c>
      <c r="F84" s="107" t="str">
        <f>VLOOKUP(B84,'Gebouwgegevens Allacker'!$J$5:$Q$83,6,0)</f>
        <v>back</v>
      </c>
      <c r="G84" s="107">
        <f>VLOOKUP(B84,'Gebouwgegevens Allacker'!$J$5:$Q$83,7,0)</f>
        <v>5</v>
      </c>
      <c r="H84" s="108">
        <f>VLOOKUP(B84,'Gebouwgegevens Allacker'!$J$5:$Q$83,8,0)</f>
        <v>25</v>
      </c>
      <c r="I84" s="108">
        <v>1</v>
      </c>
      <c r="J84" s="98"/>
      <c r="K84" s="98"/>
      <c r="L84" s="98"/>
      <c r="M84" s="98"/>
      <c r="N84" s="98"/>
      <c r="O84" s="98"/>
      <c r="P84" s="96"/>
    </row>
    <row r="85" spans="1:16" ht="16.5" customHeight="1" x14ac:dyDescent="0.25">
      <c r="A85" s="95"/>
      <c r="B85" s="106" t="s">
        <v>60</v>
      </c>
      <c r="C85" s="107">
        <f>VLOOKUP(B85,'Gebouwgegevens Allacker'!$J$5:$Q$83,3,0)</f>
        <v>1</v>
      </c>
      <c r="D85" s="107" t="str">
        <f>VLOOKUP(B85,'Gebouwgegevens Allacker'!$J$5:$Q$83,4,0)</f>
        <v>Window</v>
      </c>
      <c r="E85" s="107">
        <f>VLOOKUP(B85,'Gebouwgegevens Allacker'!$J$5:$Q$83,5,0)</f>
        <v>0</v>
      </c>
      <c r="F85" s="107" t="str">
        <f>VLOOKUP(B85,'Gebouwgegevens Allacker'!$J$5:$Q$83,6,0)</f>
        <v>left</v>
      </c>
      <c r="G85" s="107">
        <f>VLOOKUP(B85,'Gebouwgegevens Allacker'!$J$5:$Q$83,7,0)</f>
        <v>5</v>
      </c>
      <c r="H85" s="108">
        <f>VLOOKUP(B85,'Gebouwgegevens Allacker'!$J$5:$Q$83,8,0)</f>
        <v>0</v>
      </c>
      <c r="I85" s="108">
        <v>1</v>
      </c>
      <c r="J85" s="98"/>
      <c r="K85" s="98"/>
      <c r="L85" s="98"/>
      <c r="M85" s="98"/>
      <c r="N85" s="98"/>
      <c r="O85" s="98"/>
      <c r="P85" s="96"/>
    </row>
    <row r="86" spans="1:16" ht="16.5" customHeight="1" x14ac:dyDescent="0.25">
      <c r="A86" s="95"/>
      <c r="B86" s="106" t="s">
        <v>61</v>
      </c>
      <c r="C86" s="107">
        <f>VLOOKUP(B86,'Gebouwgegevens Allacker'!$J$5:$Q$83,3,0)</f>
        <v>1</v>
      </c>
      <c r="D86" s="107" t="str">
        <f>VLOOKUP(B86,'Gebouwgegevens Allacker'!$J$5:$Q$83,4,0)</f>
        <v>Floor</v>
      </c>
      <c r="E86" s="107">
        <f>VLOOKUP(B86,'Gebouwgegevens Allacker'!$J$5:$Q$83,5,0)</f>
        <v>104.86</v>
      </c>
      <c r="F86" s="107">
        <f>VLOOKUP(B86,'Gebouwgegevens Allacker'!$J$5:$Q$83,6,0)</f>
        <v>0</v>
      </c>
      <c r="G86" s="107">
        <f>VLOOKUP(B86,'Gebouwgegevens Allacker'!$J$5:$Q$83,7,0)</f>
        <v>2.5990099009900991</v>
      </c>
      <c r="H86" s="108">
        <f>VLOOKUP(B86,'Gebouwgegevens Allacker'!$J$5:$Q$83,8,0)</f>
        <v>272.53217821782181</v>
      </c>
      <c r="I86" s="108">
        <v>1</v>
      </c>
      <c r="J86" s="98"/>
      <c r="K86" s="98"/>
      <c r="L86" s="98"/>
      <c r="M86" s="98"/>
      <c r="N86" s="98"/>
      <c r="O86" s="98"/>
      <c r="P86" s="96"/>
    </row>
    <row r="87" spans="1:16" ht="16.5" customHeight="1" x14ac:dyDescent="0.25">
      <c r="A87" s="95"/>
      <c r="B87" s="106"/>
      <c r="C87" s="107"/>
      <c r="D87" s="107"/>
      <c r="E87" s="107"/>
      <c r="F87" s="107"/>
      <c r="G87" s="107"/>
      <c r="H87" s="108"/>
      <c r="I87" s="108"/>
      <c r="J87" s="98"/>
      <c r="K87" s="98"/>
      <c r="L87" s="98"/>
      <c r="M87" s="98"/>
      <c r="N87" s="98"/>
      <c r="O87" s="98"/>
      <c r="P87" s="96"/>
    </row>
    <row r="88" spans="1:16" ht="16.5" customHeight="1" x14ac:dyDescent="0.25">
      <c r="A88" s="95"/>
      <c r="B88" s="106"/>
      <c r="C88" s="107"/>
      <c r="D88" s="107"/>
      <c r="E88" s="107"/>
      <c r="F88" s="107"/>
      <c r="G88" s="107"/>
      <c r="H88" s="108"/>
      <c r="I88" s="108"/>
      <c r="J88" s="98"/>
      <c r="K88" s="98"/>
      <c r="L88" s="98"/>
      <c r="M88" s="98"/>
      <c r="N88" s="98"/>
      <c r="O88" s="98"/>
      <c r="P88" s="96"/>
    </row>
    <row r="89" spans="1:16" ht="16.5" customHeight="1" x14ac:dyDescent="0.25">
      <c r="A89" s="95"/>
      <c r="B89" s="106"/>
      <c r="C89" s="107"/>
      <c r="D89" s="107"/>
      <c r="E89" s="107"/>
      <c r="F89" s="107"/>
      <c r="G89" s="107"/>
      <c r="H89" s="108"/>
      <c r="I89" s="108"/>
      <c r="J89" s="98"/>
      <c r="K89" s="98"/>
      <c r="L89" s="98"/>
      <c r="M89" s="98"/>
      <c r="N89" s="98"/>
      <c r="O89" s="98"/>
      <c r="P89" s="96"/>
    </row>
    <row r="90" spans="1:16" ht="16.5" customHeight="1" x14ac:dyDescent="0.25">
      <c r="A90" s="95"/>
      <c r="B90" s="106"/>
      <c r="C90" s="107"/>
      <c r="D90" s="107"/>
      <c r="E90" s="107"/>
      <c r="F90" s="107"/>
      <c r="G90" s="107"/>
      <c r="H90" s="108"/>
      <c r="I90" s="108"/>
      <c r="J90" s="98"/>
      <c r="K90" s="98"/>
      <c r="L90" s="98"/>
      <c r="M90" s="98"/>
      <c r="N90" s="98"/>
      <c r="O90" s="98"/>
      <c r="P90" s="96"/>
    </row>
    <row r="91" spans="1:16" ht="16.5" customHeight="1" x14ac:dyDescent="0.25">
      <c r="A91" s="95"/>
      <c r="B91" s="106"/>
      <c r="C91" s="107"/>
      <c r="D91" s="107"/>
      <c r="E91" s="107"/>
      <c r="F91" s="107"/>
      <c r="G91" s="107"/>
      <c r="H91" s="108"/>
      <c r="I91" s="108"/>
      <c r="J91" s="98"/>
      <c r="K91" s="98"/>
      <c r="L91" s="98"/>
      <c r="M91" s="98"/>
      <c r="N91" s="98"/>
      <c r="O91" s="98"/>
      <c r="P91" s="96"/>
    </row>
    <row r="92" spans="1:16" ht="16.5" customHeight="1" x14ac:dyDescent="0.25">
      <c r="A92" s="95"/>
      <c r="B92" s="106"/>
      <c r="C92" s="107"/>
      <c r="D92" s="107"/>
      <c r="E92" s="107"/>
      <c r="F92" s="107"/>
      <c r="G92" s="107"/>
      <c r="H92" s="108"/>
      <c r="I92" s="108"/>
      <c r="J92" s="98"/>
      <c r="K92" s="98"/>
      <c r="L92" s="98"/>
      <c r="M92" s="98"/>
      <c r="N92" s="98"/>
      <c r="O92" s="98"/>
      <c r="P92" s="96"/>
    </row>
    <row r="93" spans="1:16" ht="16.5" customHeight="1" x14ac:dyDescent="0.25">
      <c r="A93" s="95"/>
      <c r="B93" s="106"/>
      <c r="C93" s="107"/>
      <c r="D93" s="107"/>
      <c r="E93" s="107"/>
      <c r="F93" s="107"/>
      <c r="G93" s="107"/>
      <c r="H93" s="108"/>
      <c r="I93" s="108"/>
      <c r="J93" s="98"/>
      <c r="K93" s="98"/>
      <c r="L93" s="98"/>
      <c r="M93" s="98"/>
      <c r="N93" s="98"/>
      <c r="O93" s="98"/>
      <c r="P93" s="96"/>
    </row>
    <row r="94" spans="1:16" ht="16.5" customHeight="1" x14ac:dyDescent="0.25">
      <c r="A94" s="95"/>
      <c r="B94" s="106"/>
      <c r="C94" s="107"/>
      <c r="D94" s="107"/>
      <c r="E94" s="107"/>
      <c r="F94" s="107"/>
      <c r="G94" s="107"/>
      <c r="H94" s="108"/>
      <c r="I94" s="108"/>
      <c r="J94" s="98"/>
      <c r="K94" s="98"/>
      <c r="L94" s="98"/>
      <c r="M94" s="98"/>
      <c r="N94" s="98"/>
      <c r="O94" s="98"/>
      <c r="P94" s="96"/>
    </row>
    <row r="95" spans="1:16" ht="16.5" customHeight="1" x14ac:dyDescent="0.25">
      <c r="A95" s="95"/>
      <c r="B95" s="106"/>
      <c r="C95" s="107"/>
      <c r="D95" s="107"/>
      <c r="E95" s="107"/>
      <c r="F95" s="107"/>
      <c r="G95" s="107"/>
      <c r="H95" s="108"/>
      <c r="I95" s="108"/>
      <c r="J95" s="98"/>
      <c r="K95" s="98"/>
      <c r="L95" s="98"/>
      <c r="M95" s="98"/>
      <c r="N95" s="98"/>
      <c r="O95" s="98"/>
      <c r="P95" s="96"/>
    </row>
    <row r="96" spans="1:16" ht="15.75" customHeight="1" x14ac:dyDescent="0.25">
      <c r="A96" s="95"/>
      <c r="B96" s="58"/>
      <c r="C96" s="58"/>
      <c r="D96" s="58"/>
      <c r="E96" s="58"/>
      <c r="F96" s="58"/>
      <c r="G96" s="114"/>
      <c r="H96" s="58"/>
      <c r="I96" s="58"/>
      <c r="J96" s="98"/>
      <c r="K96" s="98"/>
      <c r="L96" s="98"/>
      <c r="M96" s="98"/>
      <c r="N96" s="98"/>
      <c r="O96" s="98"/>
      <c r="P96" s="96"/>
    </row>
    <row r="97" spans="1:16" ht="15" customHeight="1" x14ac:dyDescent="0.25">
      <c r="A97" s="95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6"/>
    </row>
    <row r="98" spans="1:16" ht="15" customHeight="1" x14ac:dyDescent="0.25">
      <c r="A98" s="103" t="s">
        <v>177</v>
      </c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6"/>
    </row>
    <row r="99" spans="1:16" ht="15.75" customHeight="1" x14ac:dyDescent="0.25">
      <c r="A99" s="95"/>
      <c r="B99" s="58" t="s">
        <v>10</v>
      </c>
      <c r="C99" s="58" t="s">
        <v>178</v>
      </c>
      <c r="D99" s="58" t="s">
        <v>172</v>
      </c>
      <c r="E99" s="58" t="s">
        <v>179</v>
      </c>
      <c r="F99" s="58" t="s">
        <v>16</v>
      </c>
      <c r="G99" s="114" t="s">
        <v>17</v>
      </c>
      <c r="H99" s="114" t="s">
        <v>175</v>
      </c>
      <c r="I99" s="58" t="s">
        <v>180</v>
      </c>
      <c r="J99" s="58" t="s">
        <v>181</v>
      </c>
      <c r="K99" s="58" t="s">
        <v>182</v>
      </c>
      <c r="L99" s="115" t="s">
        <v>183</v>
      </c>
      <c r="M99" s="115" t="s">
        <v>184</v>
      </c>
      <c r="N99" s="115" t="s">
        <v>185</v>
      </c>
      <c r="O99" s="98"/>
      <c r="P99" s="96"/>
    </row>
    <row r="100" spans="1:16" ht="18.75" customHeight="1" x14ac:dyDescent="0.25">
      <c r="A100" s="95"/>
      <c r="B100" s="116" t="s">
        <v>216</v>
      </c>
      <c r="C100" s="117" t="e">
        <f>VLOOKUP(B100,'Gebouwgegevens Allacker'!$J$5:$Q$83,3,0)</f>
        <v>#N/A</v>
      </c>
      <c r="D100" s="117" t="e">
        <f>VLOOKUP(B100,'Gebouwgegevens Allacker'!$J$5:$Q$83,4,0)</f>
        <v>#N/A</v>
      </c>
      <c r="E100" s="117" t="e">
        <f>VLOOKUP(B100,'Gebouwgegevens Allacker'!$J$5:$Q$83,5,0)</f>
        <v>#N/A</v>
      </c>
      <c r="F100" s="117" t="e">
        <f>VLOOKUP(B100,'Gebouwgegevens Allacker'!$J$5:$Q$83,7,0)</f>
        <v>#N/A</v>
      </c>
      <c r="G100" s="118" t="e">
        <f>VLOOKUP(B100,'Gebouwgegevens Allacker'!$J$5:$Q$83,8,0)</f>
        <v>#N/A</v>
      </c>
      <c r="H100" s="118" t="e">
        <f>N100/F100</f>
        <v>#N/A</v>
      </c>
      <c r="I100" s="117" t="e">
        <f>VLOOKUP(C100,'Gebouwgegevens Allacker'!$A$35:$F$46,6,0)</f>
        <v>#N/A</v>
      </c>
      <c r="J100" s="116">
        <v>6.91</v>
      </c>
      <c r="K100" s="116">
        <v>0.33</v>
      </c>
      <c r="L100" s="119" t="e">
        <f>I100/(0.5*J100)</f>
        <v>#N/A</v>
      </c>
      <c r="M100" s="119" t="e">
        <f>K100+2*(1/F100)</f>
        <v>#N/A</v>
      </c>
      <c r="N100" s="120" t="e">
        <f>IF(M100&lt;L100,2*2/(PI()*L100+M100)*LN(PI()*L100/M100+1),2/(0.457*L100+M100))</f>
        <v>#N/A</v>
      </c>
      <c r="O100" s="98"/>
      <c r="P100" s="96"/>
    </row>
    <row r="101" spans="1:16" ht="18.75" customHeight="1" x14ac:dyDescent="0.25">
      <c r="A101" s="95"/>
      <c r="B101" s="116"/>
      <c r="C101" s="117"/>
      <c r="D101" s="117"/>
      <c r="E101" s="117"/>
      <c r="F101" s="117"/>
      <c r="G101" s="118"/>
      <c r="H101" s="118"/>
      <c r="I101" s="117"/>
      <c r="J101" s="116"/>
      <c r="K101" s="116"/>
      <c r="L101" s="119"/>
      <c r="M101" s="119"/>
      <c r="N101" s="120"/>
      <c r="O101" s="98"/>
      <c r="P101" s="96"/>
    </row>
    <row r="102" spans="1:16" ht="18.75" customHeight="1" x14ac:dyDescent="0.25">
      <c r="A102" s="95"/>
      <c r="B102" s="116"/>
      <c r="C102" s="117"/>
      <c r="D102" s="117"/>
      <c r="E102" s="117"/>
      <c r="F102" s="117"/>
      <c r="G102" s="118"/>
      <c r="H102" s="118"/>
      <c r="I102" s="117"/>
      <c r="J102" s="116"/>
      <c r="K102" s="116"/>
      <c r="L102" s="119"/>
      <c r="M102" s="119"/>
      <c r="N102" s="120"/>
      <c r="O102" s="98"/>
      <c r="P102" s="96"/>
    </row>
    <row r="103" spans="1:16" ht="18.75" customHeight="1" x14ac:dyDescent="0.25">
      <c r="A103" s="95"/>
      <c r="B103" s="116"/>
      <c r="C103" s="117"/>
      <c r="D103" s="117"/>
      <c r="E103" s="117"/>
      <c r="F103" s="117"/>
      <c r="G103" s="118"/>
      <c r="H103" s="118"/>
      <c r="I103" s="117"/>
      <c r="J103" s="116"/>
      <c r="K103" s="116"/>
      <c r="L103" s="119"/>
      <c r="M103" s="119"/>
      <c r="N103" s="120"/>
      <c r="O103" s="98"/>
      <c r="P103" s="96"/>
    </row>
    <row r="104" spans="1:16" ht="16.5" customHeight="1" x14ac:dyDescent="0.25">
      <c r="A104" s="138"/>
      <c r="B104" s="116"/>
      <c r="C104" s="117"/>
      <c r="D104" s="117"/>
      <c r="E104" s="117"/>
      <c r="F104" s="117"/>
      <c r="G104" s="118"/>
      <c r="H104" s="118"/>
      <c r="I104" s="117"/>
      <c r="J104" s="116"/>
      <c r="K104" s="116"/>
      <c r="L104" s="119"/>
      <c r="M104" s="119"/>
      <c r="N104" s="120"/>
      <c r="O104" s="98"/>
      <c r="P104" s="96"/>
    </row>
    <row r="105" spans="1:16" ht="15.75" customHeight="1" x14ac:dyDescent="0.25">
      <c r="A105" s="95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6"/>
    </row>
    <row r="106" spans="1:16" ht="15" customHeight="1" x14ac:dyDescent="0.25">
      <c r="A106" s="103" t="s">
        <v>186</v>
      </c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6"/>
    </row>
    <row r="107" spans="1:16" ht="15.75" customHeight="1" x14ac:dyDescent="0.25">
      <c r="A107" s="95"/>
      <c r="B107" s="58" t="s">
        <v>10</v>
      </c>
      <c r="C107" s="58" t="s">
        <v>187</v>
      </c>
      <c r="D107" s="58" t="s">
        <v>188</v>
      </c>
      <c r="E107" s="58" t="s">
        <v>135</v>
      </c>
      <c r="F107" s="58" t="s">
        <v>189</v>
      </c>
      <c r="G107" s="58" t="s">
        <v>190</v>
      </c>
      <c r="H107" s="58" t="s">
        <v>191</v>
      </c>
      <c r="I107" s="58" t="s">
        <v>16</v>
      </c>
      <c r="J107" s="114" t="s">
        <v>17</v>
      </c>
      <c r="K107" s="114" t="s">
        <v>175</v>
      </c>
      <c r="L107" s="98"/>
      <c r="M107" s="98"/>
      <c r="N107" s="98"/>
      <c r="O107" s="98"/>
      <c r="P107" s="96"/>
    </row>
    <row r="108" spans="1:16" ht="16.5" customHeight="1" x14ac:dyDescent="0.25">
      <c r="A108" s="95"/>
      <c r="B108" s="121" t="s">
        <v>217</v>
      </c>
      <c r="C108" s="122" t="e">
        <f>IF(VLOOKUP(B108,'Gebouwgegevens Allacker'!$J$5:$Q$83,2,0)=B78,VLOOKUP(B108,'Gebouwgegevens Allacker'!$J$5:$Q$83,2,0),VLOOKUP(B108,'Gebouwgegevens Allacker'!$J$5:$Q$83,3,0))</f>
        <v>#N/A</v>
      </c>
      <c r="D108" s="122" t="e">
        <f>IF(VLOOKUP(B108,'Gebouwgegevens Allacker'!$J$5:$Q$83,2,0)=B78,VLOOKUP(B108,'Gebouwgegevens Allacker'!$J$5:$Q$83,3,0),VLOOKUP(B108,'Gebouwgegevens Allacker'!$J$5:$Q$83,2,0))</f>
        <v>#N/A</v>
      </c>
      <c r="E108" s="122" t="e">
        <f>VLOOKUP(B108,'Gebouwgegevens Allacker'!$J$5:$Q$83,4,0)</f>
        <v>#N/A</v>
      </c>
      <c r="F108" s="122" t="e">
        <f>VLOOKUP(B108,'Gebouwgegevens Allacker'!$J$5:$Q$83,5,0)</f>
        <v>#N/A</v>
      </c>
      <c r="G108" s="122" t="e">
        <f>VLOOKUP('Verwarming Tabula'!C108,'Gebouwgegevens Allacker'!$A$35:$F$46,5,0)</f>
        <v>#N/A</v>
      </c>
      <c r="H108" s="122" t="e">
        <f>VLOOKUP('Verwarming Tabula'!D108,'Gebouwgegevens Allacker'!$A$35:$F$46,5,0)</f>
        <v>#N/A</v>
      </c>
      <c r="I108" s="122" t="e">
        <f>VLOOKUP(B108,'Gebouwgegevens Allacker'!$J$5:$Q$83,7,0)</f>
        <v>#N/A</v>
      </c>
      <c r="J108" s="118" t="e">
        <f>VLOOKUP(B108,'Gebouwgegevens Allacker'!$J$5:$Q$83,8,0)</f>
        <v>#N/A</v>
      </c>
      <c r="K108" s="118" t="e">
        <f>(G108-H108)/(G108-$B$4)</f>
        <v>#N/A</v>
      </c>
      <c r="L108" s="98"/>
      <c r="M108" s="98"/>
      <c r="N108" s="98"/>
      <c r="O108" s="98"/>
      <c r="P108" s="96"/>
    </row>
    <row r="109" spans="1:16" ht="16.5" customHeight="1" x14ac:dyDescent="0.25">
      <c r="A109" s="95"/>
      <c r="B109" s="121" t="s">
        <v>218</v>
      </c>
      <c r="C109" s="122" t="e">
        <f>IF(VLOOKUP(B109,'Gebouwgegevens Allacker'!$J$5:$Q$83,2,0)=B78,VLOOKUP(B109,'Gebouwgegevens Allacker'!$J$5:$Q$83,2,0),VLOOKUP(B109,'Gebouwgegevens Allacker'!$J$5:$Q$83,3,0))</f>
        <v>#N/A</v>
      </c>
      <c r="D109" s="122" t="e">
        <f>IF(VLOOKUP(B109,'Gebouwgegevens Allacker'!$J$5:$Q$83,2,0)=B78,VLOOKUP(B109,'Gebouwgegevens Allacker'!$J$5:$Q$83,3,0),VLOOKUP(B109,'Gebouwgegevens Allacker'!$J$5:$Q$83,2,0))</f>
        <v>#N/A</v>
      </c>
      <c r="E109" s="122" t="e">
        <f>VLOOKUP(B109,'Gebouwgegevens Allacker'!$J$5:$Q$83,4,0)</f>
        <v>#N/A</v>
      </c>
      <c r="F109" s="122" t="e">
        <f>VLOOKUP(B109,'Gebouwgegevens Allacker'!$J$5:$Q$83,5,0)</f>
        <v>#N/A</v>
      </c>
      <c r="G109" s="122" t="e">
        <f>VLOOKUP('Verwarming Tabula'!C109,'Gebouwgegevens Allacker'!$A$35:$F$46,5,0)</f>
        <v>#N/A</v>
      </c>
      <c r="H109" s="122" t="e">
        <f>VLOOKUP('Verwarming Tabula'!D109,'Gebouwgegevens Allacker'!$A$35:$F$46,5,0)</f>
        <v>#N/A</v>
      </c>
      <c r="I109" s="122" t="e">
        <f>VLOOKUP(B109,'Gebouwgegevens Allacker'!$J$5:$Q$83,7,0)</f>
        <v>#N/A</v>
      </c>
      <c r="J109" s="118" t="e">
        <f>VLOOKUP(B109,'Gebouwgegevens Allacker'!$J$5:$Q$83,8,0)</f>
        <v>#N/A</v>
      </c>
      <c r="K109" s="118" t="e">
        <f>(G109-H109)/(G109-$B$4)</f>
        <v>#N/A</v>
      </c>
      <c r="L109" s="98"/>
      <c r="M109" s="98"/>
      <c r="N109" s="98"/>
      <c r="O109" s="98"/>
      <c r="P109" s="96"/>
    </row>
    <row r="110" spans="1:16" ht="16.5" customHeight="1" x14ac:dyDescent="0.25">
      <c r="A110" s="95"/>
      <c r="B110" s="121" t="s">
        <v>219</v>
      </c>
      <c r="C110" s="122" t="e">
        <f>IF(VLOOKUP(B110,'Gebouwgegevens Allacker'!$J$5:$Q$83,2,0)=B78,VLOOKUP(B110,'Gebouwgegevens Allacker'!$J$5:$Q$83,2,0),VLOOKUP(B110,'Gebouwgegevens Allacker'!$J$5:$Q$83,3,0))</f>
        <v>#N/A</v>
      </c>
      <c r="D110" s="122" t="e">
        <f>IF(VLOOKUP(B110,'Gebouwgegevens Allacker'!$J$5:$Q$83,2,0)=B78,VLOOKUP(B110,'Gebouwgegevens Allacker'!$J$5:$Q$83,3,0),VLOOKUP(B110,'Gebouwgegevens Allacker'!$J$5:$Q$83,2,0))</f>
        <v>#N/A</v>
      </c>
      <c r="E110" s="122" t="e">
        <f>VLOOKUP(B110,'Gebouwgegevens Allacker'!$J$5:$Q$83,4,0)</f>
        <v>#N/A</v>
      </c>
      <c r="F110" s="122" t="e">
        <f>VLOOKUP(B110,'Gebouwgegevens Allacker'!$J$5:$Q$83,5,0)</f>
        <v>#N/A</v>
      </c>
      <c r="G110" s="122" t="e">
        <f>VLOOKUP('Verwarming Tabula'!C110,'Gebouwgegevens Allacker'!$A$35:$F$46,5,0)</f>
        <v>#N/A</v>
      </c>
      <c r="H110" s="122" t="e">
        <f>VLOOKUP('Verwarming Tabula'!D110,'Gebouwgegevens Allacker'!$A$35:$F$46,5,0)</f>
        <v>#N/A</v>
      </c>
      <c r="I110" s="122" t="e">
        <f>VLOOKUP(B110,'Gebouwgegevens Allacker'!$J$5:$Q$83,7,0)</f>
        <v>#N/A</v>
      </c>
      <c r="J110" s="118" t="e">
        <f>VLOOKUP(B110,'Gebouwgegevens Allacker'!$J$5:$Q$83,8,0)</f>
        <v>#N/A</v>
      </c>
      <c r="K110" s="118" t="e">
        <f>(G110-H110)/(G110-$B$4)</f>
        <v>#N/A</v>
      </c>
      <c r="L110" s="98"/>
      <c r="M110" s="98"/>
      <c r="N110" s="98"/>
      <c r="O110" s="98"/>
      <c r="P110" s="96"/>
    </row>
    <row r="111" spans="1:16" ht="16.5" customHeight="1" x14ac:dyDescent="0.25">
      <c r="A111" s="95"/>
      <c r="B111" s="92" t="s">
        <v>220</v>
      </c>
      <c r="C111" s="122" t="e">
        <f>IF(VLOOKUP(B111,'Gebouwgegevens Allacker'!$J$5:$Q$83,2,0)=B78,VLOOKUP(B111,'Gebouwgegevens Allacker'!$J$5:$Q$83,2,0),VLOOKUP(B111,'Gebouwgegevens Allacker'!$J$5:$Q$83,3,0))</f>
        <v>#N/A</v>
      </c>
      <c r="D111" s="122" t="e">
        <f>IF(VLOOKUP(B111,'Gebouwgegevens Allacker'!$J$5:$Q$83,2,0)=B78,VLOOKUP(B111,'Gebouwgegevens Allacker'!$J$5:$Q$83,3,0),VLOOKUP(B111,'Gebouwgegevens Allacker'!$J$5:$Q$83,2,0))</f>
        <v>#N/A</v>
      </c>
      <c r="E111" s="122" t="e">
        <f>VLOOKUP(B111,'Gebouwgegevens Allacker'!$J$5:$Q$83,4,0)</f>
        <v>#N/A</v>
      </c>
      <c r="F111" s="122" t="e">
        <f>VLOOKUP(B111,'Gebouwgegevens Allacker'!$J$5:$Q$83,5,0)</f>
        <v>#N/A</v>
      </c>
      <c r="G111" s="122" t="e">
        <f>VLOOKUP('Verwarming Tabula'!C111,'Gebouwgegevens Allacker'!$A$35:$F$46,5,0)</f>
        <v>#N/A</v>
      </c>
      <c r="H111" s="122" t="e">
        <f>VLOOKUP('Verwarming Tabula'!D111,'Gebouwgegevens Allacker'!$A$35:$F$46,5,0)</f>
        <v>#N/A</v>
      </c>
      <c r="I111" s="122" t="e">
        <f>VLOOKUP(B111,'Gebouwgegevens Allacker'!$J$5:$Q$83,7,0)</f>
        <v>#N/A</v>
      </c>
      <c r="J111" s="118" t="e">
        <f>VLOOKUP(B111,'Gebouwgegevens Allacker'!$J$5:$Q$83,8,0)</f>
        <v>#N/A</v>
      </c>
      <c r="K111" s="118" t="e">
        <f>(G111-H111)/(G111-$B$4)</f>
        <v>#N/A</v>
      </c>
      <c r="L111" s="98"/>
      <c r="M111" s="98"/>
      <c r="N111" s="98"/>
      <c r="O111" s="98"/>
      <c r="P111" s="96"/>
    </row>
    <row r="112" spans="1:16" ht="16.5" customHeight="1" x14ac:dyDescent="0.25">
      <c r="A112" s="95"/>
      <c r="B112" s="123" t="s">
        <v>221</v>
      </c>
      <c r="C112" s="139" t="e">
        <f>IF(VLOOKUP(B112,'Gebouwgegevens Allacker'!$J$5:$Q$83,2,0)=B78,VLOOKUP(B112,'Gebouwgegevens Allacker'!$J$5:$Q$83,2,0),VLOOKUP(B112,'Gebouwgegevens Allacker'!$J$5:$Q$83,3,0))</f>
        <v>#N/A</v>
      </c>
      <c r="D112" s="122" t="e">
        <f>IF(VLOOKUP(B112,'Gebouwgegevens Allacker'!$J$5:$Q$83,2,0)=B78,VLOOKUP(B112,'Gebouwgegevens Allacker'!$J$5:$Q$83,3,0),VLOOKUP(B112,'Gebouwgegevens Allacker'!$J$5:$Q$83,2,0))</f>
        <v>#N/A</v>
      </c>
      <c r="E112" s="122" t="e">
        <f>VLOOKUP(B112,'Gebouwgegevens Allacker'!$J$5:$Q$83,4,0)</f>
        <v>#N/A</v>
      </c>
      <c r="F112" s="122" t="e">
        <f>VLOOKUP(B112,'Gebouwgegevens Allacker'!$J$5:$Q$83,5,0)</f>
        <v>#N/A</v>
      </c>
      <c r="G112" s="122" t="e">
        <f>VLOOKUP('Verwarming Tabula'!C112,'Gebouwgegevens Allacker'!$A$35:$F$46,5,0)</f>
        <v>#N/A</v>
      </c>
      <c r="H112" s="122" t="e">
        <f>VLOOKUP('Verwarming Tabula'!D112,'Gebouwgegevens Allacker'!$A$35:$F$46,5,0)</f>
        <v>#N/A</v>
      </c>
      <c r="I112" s="122" t="e">
        <f>VLOOKUP(B112,'Gebouwgegevens Allacker'!$J$5:$Q$83,7,0)</f>
        <v>#N/A</v>
      </c>
      <c r="J112" s="118" t="e">
        <f>VLOOKUP(B112,'Gebouwgegevens Allacker'!$J$5:$Q$83,8,0)</f>
        <v>#N/A</v>
      </c>
      <c r="K112" s="118" t="e">
        <f>(G112-H112)/(G112-$B$4)</f>
        <v>#N/A</v>
      </c>
      <c r="L112" s="98"/>
      <c r="M112" s="98"/>
      <c r="N112" s="98"/>
      <c r="O112" s="98"/>
      <c r="P112" s="96"/>
    </row>
    <row r="113" spans="1:16" ht="16.5" customHeight="1" x14ac:dyDescent="0.25">
      <c r="A113" s="95"/>
      <c r="B113" s="123"/>
      <c r="C113" s="139"/>
      <c r="D113" s="122"/>
      <c r="E113" s="122"/>
      <c r="F113" s="122"/>
      <c r="G113" s="122"/>
      <c r="H113" s="122"/>
      <c r="I113" s="122"/>
      <c r="J113" s="118"/>
      <c r="K113" s="118"/>
      <c r="L113" s="98"/>
      <c r="M113" s="98"/>
      <c r="N113" s="98"/>
      <c r="O113" s="98"/>
      <c r="P113" s="96"/>
    </row>
    <row r="114" spans="1:16" ht="16.5" customHeight="1" x14ac:dyDescent="0.25">
      <c r="A114" s="95"/>
      <c r="B114" s="123"/>
      <c r="C114" s="139"/>
      <c r="D114" s="122"/>
      <c r="E114" s="122"/>
      <c r="F114" s="122"/>
      <c r="G114" s="122"/>
      <c r="H114" s="122"/>
      <c r="I114" s="122"/>
      <c r="J114" s="118"/>
      <c r="K114" s="118"/>
      <c r="L114" s="98"/>
      <c r="M114" s="98"/>
      <c r="N114" s="98"/>
      <c r="O114" s="98"/>
      <c r="P114" s="96"/>
    </row>
    <row r="115" spans="1:16" ht="16.5" customHeight="1" x14ac:dyDescent="0.25">
      <c r="A115" s="95"/>
      <c r="B115" s="123"/>
      <c r="C115" s="139"/>
      <c r="D115" s="122"/>
      <c r="E115" s="122"/>
      <c r="F115" s="122"/>
      <c r="G115" s="122"/>
      <c r="H115" s="122"/>
      <c r="I115" s="122"/>
      <c r="J115" s="118"/>
      <c r="K115" s="118"/>
      <c r="L115" s="98"/>
      <c r="M115" s="98"/>
      <c r="N115" s="98"/>
      <c r="O115" s="98"/>
      <c r="P115" s="96"/>
    </row>
    <row r="116" spans="1:16" ht="16.5" customHeight="1" x14ac:dyDescent="0.25">
      <c r="A116" s="95"/>
      <c r="B116" s="123"/>
      <c r="C116" s="139"/>
      <c r="D116" s="122"/>
      <c r="E116" s="122"/>
      <c r="F116" s="122"/>
      <c r="G116" s="122"/>
      <c r="H116" s="122"/>
      <c r="I116" s="122"/>
      <c r="J116" s="118"/>
      <c r="K116" s="118"/>
      <c r="L116" s="98"/>
      <c r="M116" s="98"/>
      <c r="N116" s="98"/>
      <c r="O116" s="98"/>
      <c r="P116" s="96"/>
    </row>
    <row r="117" spans="1:16" ht="16.5" customHeight="1" x14ac:dyDescent="0.25">
      <c r="A117" s="95"/>
      <c r="B117" s="123"/>
      <c r="C117" s="139"/>
      <c r="D117" s="122"/>
      <c r="E117" s="122"/>
      <c r="F117" s="122"/>
      <c r="G117" s="122"/>
      <c r="H117" s="122"/>
      <c r="I117" s="122"/>
      <c r="J117" s="118"/>
      <c r="K117" s="118"/>
      <c r="L117" s="98"/>
      <c r="M117" s="98"/>
      <c r="N117" s="98"/>
      <c r="O117" s="98"/>
      <c r="P117" s="96"/>
    </row>
    <row r="118" spans="1:16" ht="15.75" customHeight="1" x14ac:dyDescent="0.25">
      <c r="A118" s="95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8"/>
      <c r="M118" s="98"/>
      <c r="N118" s="98"/>
      <c r="O118" s="98"/>
      <c r="P118" s="96"/>
    </row>
    <row r="119" spans="1:16" ht="15" customHeight="1" x14ac:dyDescent="0.25">
      <c r="A119" s="95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6"/>
    </row>
    <row r="120" spans="1:16" ht="15.75" customHeight="1" x14ac:dyDescent="0.25">
      <c r="A120" s="103" t="s">
        <v>192</v>
      </c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6"/>
    </row>
    <row r="121" spans="1:16" ht="16.5" customHeight="1" x14ac:dyDescent="0.25">
      <c r="A121" s="124" t="s">
        <v>193</v>
      </c>
      <c r="B121" s="118" t="e">
        <f>SUMPRODUCT(H84:H95,I84:I95)+SUMPRODUCT(G100:G104,H100:H104)+SUMPRODUCT(J108:J117,K108:K117)</f>
        <v>#N/A</v>
      </c>
      <c r="C121" s="118" t="s">
        <v>107</v>
      </c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6"/>
    </row>
    <row r="122" spans="1:16" ht="16.5" customHeight="1" x14ac:dyDescent="0.25">
      <c r="A122" s="124" t="s">
        <v>167</v>
      </c>
      <c r="B122" s="118" t="e">
        <f>B121*(G111-$B$4)</f>
        <v>#N/A</v>
      </c>
      <c r="C122" s="118" t="s">
        <v>169</v>
      </c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6"/>
    </row>
    <row r="123" spans="1:16" ht="15.75" customHeight="1" x14ac:dyDescent="0.25">
      <c r="A123" s="109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1"/>
    </row>
    <row r="124" spans="1:16" ht="15.75" customHeight="1" x14ac:dyDescent="0.25">
      <c r="A124" s="343" t="s">
        <v>194</v>
      </c>
      <c r="B124" s="343"/>
      <c r="C124" s="343"/>
      <c r="D124" s="125" t="s">
        <v>222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94"/>
    </row>
    <row r="125" spans="1:16" ht="15" customHeight="1" x14ac:dyDescent="0.25">
      <c r="A125" s="95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6"/>
    </row>
    <row r="126" spans="1:16" ht="15" customHeight="1" x14ac:dyDescent="0.25">
      <c r="A126" s="126" t="s">
        <v>195</v>
      </c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6"/>
    </row>
    <row r="127" spans="1:16" ht="15" customHeight="1" x14ac:dyDescent="0.25">
      <c r="A127" s="127" t="s">
        <v>196</v>
      </c>
      <c r="B127" s="121">
        <v>8</v>
      </c>
      <c r="C127" s="120" t="s">
        <v>197</v>
      </c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6"/>
    </row>
    <row r="128" spans="1:16" ht="15" customHeight="1" x14ac:dyDescent="0.25">
      <c r="A128" s="127" t="s">
        <v>198</v>
      </c>
      <c r="B128" s="121">
        <v>0.03</v>
      </c>
      <c r="C128" s="120" t="s">
        <v>199</v>
      </c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6"/>
    </row>
    <row r="129" spans="1:16" ht="15.75" customHeight="1" x14ac:dyDescent="0.25">
      <c r="A129" s="127" t="s">
        <v>200</v>
      </c>
      <c r="B129" s="121">
        <v>1</v>
      </c>
      <c r="C129" s="120" t="s">
        <v>201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6"/>
    </row>
    <row r="130" spans="1:16" ht="16.5" customHeight="1" x14ac:dyDescent="0.25">
      <c r="A130" s="124" t="s">
        <v>202</v>
      </c>
      <c r="B130" s="118">
        <f>2*VLOOKUP(B78,'Gebouwgegevens Allacker'!$A$35:$F$46,6,0)*B127*B128*B129</f>
        <v>0</v>
      </c>
      <c r="C130" s="118" t="s">
        <v>203</v>
      </c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6"/>
    </row>
    <row r="131" spans="1:16" ht="15.75" customHeight="1" x14ac:dyDescent="0.25">
      <c r="A131" s="95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6"/>
    </row>
    <row r="132" spans="1:16" ht="15" customHeight="1" x14ac:dyDescent="0.25">
      <c r="A132" s="126" t="s">
        <v>204</v>
      </c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6"/>
    </row>
    <row r="133" spans="1:16" ht="15.75" customHeight="1" x14ac:dyDescent="0.25">
      <c r="A133" s="95" t="s">
        <v>180</v>
      </c>
      <c r="B133" s="98">
        <f>VLOOKUP(B78,'Gebouwgegevens Allacker'!$A$35:$F$46,6,0)</f>
        <v>0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6"/>
    </row>
    <row r="134" spans="1:16" ht="16.5" customHeight="1" x14ac:dyDescent="0.25">
      <c r="A134" s="124" t="s">
        <v>205</v>
      </c>
      <c r="B134" s="128">
        <v>50</v>
      </c>
      <c r="C134" s="118" t="s">
        <v>203</v>
      </c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6"/>
    </row>
    <row r="135" spans="1:16" ht="15.75" customHeight="1" x14ac:dyDescent="0.25">
      <c r="A135" s="95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6"/>
    </row>
    <row r="136" spans="1:16" ht="15.75" customHeight="1" x14ac:dyDescent="0.25">
      <c r="A136" s="95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6"/>
    </row>
    <row r="137" spans="1:16" ht="16.5" customHeight="1" x14ac:dyDescent="0.25">
      <c r="A137" s="124" t="s">
        <v>207</v>
      </c>
      <c r="B137" s="118">
        <f>MAX(B130,B134)</f>
        <v>50</v>
      </c>
      <c r="C137" s="118" t="s">
        <v>203</v>
      </c>
      <c r="D137" s="98"/>
      <c r="E137" s="98"/>
      <c r="F137" s="118" t="s">
        <v>208</v>
      </c>
      <c r="G137" s="118">
        <f>B137/VLOOKUP(B78,'Gebouwgegevens Allacker'!$A$35:$B$46,2,0)</f>
        <v>0.31350321027287315</v>
      </c>
      <c r="H137" s="98"/>
      <c r="I137" s="98"/>
      <c r="J137" s="98"/>
      <c r="K137" s="98"/>
      <c r="L137" s="98"/>
      <c r="M137" s="98"/>
      <c r="N137" s="98"/>
      <c r="O137" s="98"/>
      <c r="P137" s="96"/>
    </row>
    <row r="138" spans="1:16" ht="16.5" customHeight="1" x14ac:dyDescent="0.25">
      <c r="A138" s="95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6"/>
    </row>
    <row r="139" spans="1:16" ht="16.5" customHeight="1" x14ac:dyDescent="0.25">
      <c r="A139" s="124" t="s">
        <v>209</v>
      </c>
      <c r="B139" s="118">
        <f>0.34*B137</f>
        <v>17</v>
      </c>
      <c r="C139" s="118" t="s">
        <v>107</v>
      </c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6"/>
    </row>
    <row r="140" spans="1:16" ht="16.5" customHeight="1" x14ac:dyDescent="0.25">
      <c r="A140" s="124" t="s">
        <v>167</v>
      </c>
      <c r="B140" s="118">
        <f>B139*('Gebouwgegevens Allacker'!E100-$B$4)</f>
        <v>136</v>
      </c>
      <c r="C140" s="118" t="s">
        <v>169</v>
      </c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6"/>
    </row>
    <row r="141" spans="1:16" ht="15.75" customHeight="1" x14ac:dyDescent="0.25">
      <c r="A141" s="109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1"/>
    </row>
    <row r="142" spans="1:16" ht="15.75" customHeight="1" x14ac:dyDescent="0.25">
      <c r="A142" s="343" t="s">
        <v>210</v>
      </c>
      <c r="B142" s="343"/>
      <c r="C142" s="343"/>
      <c r="D142" s="343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6"/>
    </row>
    <row r="143" spans="1:16" ht="15" customHeight="1" x14ac:dyDescent="0.25">
      <c r="A143" s="95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6"/>
    </row>
    <row r="144" spans="1:16" ht="15" customHeight="1" x14ac:dyDescent="0.25">
      <c r="A144" s="127" t="s">
        <v>211</v>
      </c>
      <c r="B144" s="121">
        <v>45</v>
      </c>
      <c r="C144" s="58" t="s">
        <v>212</v>
      </c>
      <c r="D144" s="5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6"/>
    </row>
    <row r="145" spans="1:16" ht="15.75" customHeight="1" x14ac:dyDescent="0.25">
      <c r="A145" s="127" t="s">
        <v>113</v>
      </c>
      <c r="B145" s="121">
        <f>VLOOKUP(B78,'Gebouwgegevens Allacker'!$A$35:$F$46,6,0)</f>
        <v>0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6"/>
    </row>
    <row r="146" spans="1:16" ht="16.5" customHeight="1" x14ac:dyDescent="0.25">
      <c r="A146" s="124" t="s">
        <v>213</v>
      </c>
      <c r="B146" s="118">
        <f>B147/('Gebouwgegevens Allacker'!E100-'Verwarming Tabula'!$B$4)</f>
        <v>0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6"/>
    </row>
    <row r="147" spans="1:16" ht="16.5" customHeight="1" x14ac:dyDescent="0.25">
      <c r="A147" s="124" t="s">
        <v>167</v>
      </c>
      <c r="B147" s="118">
        <f>B144*B145</f>
        <v>0</v>
      </c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6"/>
    </row>
    <row r="148" spans="1:16" ht="15.75" customHeight="1" x14ac:dyDescent="0.25">
      <c r="A148" s="95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6"/>
    </row>
    <row r="149" spans="1:16" ht="15.75" customHeight="1" x14ac:dyDescent="0.25">
      <c r="A149" s="95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6"/>
    </row>
    <row r="150" spans="1:16" ht="15.75" customHeight="1" x14ac:dyDescent="0.25">
      <c r="A150" s="129" t="s">
        <v>214</v>
      </c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1"/>
    </row>
    <row r="151" spans="1:16" ht="16.5" customHeight="1" x14ac:dyDescent="0.25">
      <c r="A151" s="124" t="s">
        <v>215</v>
      </c>
      <c r="B151" s="118" t="e">
        <f>SUM(B121,B139,B146)</f>
        <v>#N/A</v>
      </c>
      <c r="C151" s="118" t="s">
        <v>107</v>
      </c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3"/>
    </row>
    <row r="152" spans="1:16" ht="16.5" customHeight="1" x14ac:dyDescent="0.25">
      <c r="A152" s="124" t="s">
        <v>167</v>
      </c>
      <c r="B152" s="118" t="e">
        <f>SUM(B122,B140,B147)</f>
        <v>#N/A</v>
      </c>
      <c r="C152" s="118" t="s">
        <v>169</v>
      </c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3"/>
    </row>
    <row r="153" spans="1:16" ht="16.5" customHeight="1" x14ac:dyDescent="0.25">
      <c r="A153" s="134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6"/>
    </row>
    <row r="154" spans="1:16" ht="15" customHeight="1" x14ac:dyDescent="0.25">
      <c r="A154" s="137"/>
      <c r="B154" s="137"/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</row>
    <row r="155" spans="1:16" ht="15" customHeight="1" x14ac:dyDescent="0.25">
      <c r="A155" s="137"/>
      <c r="B155" s="137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</row>
    <row r="156" spans="1:16" ht="15.75" customHeight="1" x14ac:dyDescent="0.25">
      <c r="A156" s="137"/>
      <c r="B156" s="137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</row>
    <row r="157" spans="1:16" ht="15" customHeight="1" x14ac:dyDescent="0.25">
      <c r="A157" s="93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94"/>
    </row>
    <row r="158" spans="1:16" ht="17.25" customHeight="1" x14ac:dyDescent="0.3">
      <c r="A158" s="97" t="s">
        <v>166</v>
      </c>
      <c r="B158" s="92">
        <v>3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6"/>
    </row>
    <row r="159" spans="1:16" ht="15.75" customHeight="1" x14ac:dyDescent="0.25">
      <c r="A159" s="343" t="s">
        <v>168</v>
      </c>
      <c r="B159" s="343"/>
      <c r="C159" s="343"/>
      <c r="D159" s="343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94"/>
    </row>
    <row r="160" spans="1:16" ht="15" customHeight="1" x14ac:dyDescent="0.25">
      <c r="A160" s="95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6"/>
    </row>
    <row r="161" spans="1:16" ht="15" customHeight="1" x14ac:dyDescent="0.25">
      <c r="A161" s="103" t="s">
        <v>170</v>
      </c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6"/>
    </row>
    <row r="162" spans="1:16" ht="15" customHeight="1" x14ac:dyDescent="0.25">
      <c r="A162" s="95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6"/>
    </row>
    <row r="163" spans="1:16" ht="15.75" customHeight="1" x14ac:dyDescent="0.25">
      <c r="A163" s="95"/>
      <c r="B163" s="104" t="s">
        <v>10</v>
      </c>
      <c r="C163" s="104" t="s">
        <v>171</v>
      </c>
      <c r="D163" s="104" t="s">
        <v>172</v>
      </c>
      <c r="E163" s="104" t="s">
        <v>173</v>
      </c>
      <c r="F163" s="104" t="s">
        <v>174</v>
      </c>
      <c r="G163" s="104" t="s">
        <v>16</v>
      </c>
      <c r="H163" s="105" t="s">
        <v>17</v>
      </c>
      <c r="I163" s="105" t="s">
        <v>175</v>
      </c>
      <c r="J163" s="98"/>
      <c r="K163" s="98"/>
      <c r="L163" s="98"/>
      <c r="M163" s="98"/>
      <c r="N163" s="98"/>
      <c r="O163" s="98"/>
      <c r="P163" s="96"/>
    </row>
    <row r="164" spans="1:16" ht="16.5" customHeight="1" x14ac:dyDescent="0.25">
      <c r="A164" s="95"/>
      <c r="B164" s="106" t="s">
        <v>66</v>
      </c>
      <c r="C164" s="107">
        <f>VLOOKUP(B164,'Gebouwgegevens Allacker'!$J$5:$Q$83,3,0)</f>
        <v>1</v>
      </c>
      <c r="D164" s="107" t="str">
        <f>VLOOKUP(B164,'Gebouwgegevens Allacker'!$J$5:$Q$83,4,0)</f>
        <v>Roof</v>
      </c>
      <c r="E164" s="107">
        <f>VLOOKUP(B164,'Gebouwgegevens Allacker'!$J$5:$Q$83,5,0)</f>
        <v>29</v>
      </c>
      <c r="F164" s="107">
        <f>VLOOKUP(B164,'Gebouwgegevens Allacker'!$J$5:$Q$83,6,0)</f>
        <v>0</v>
      </c>
      <c r="G164" s="107">
        <f>VLOOKUP(B164,'Gebouwgegevens Allacker'!$J$5:$Q$83,7,0)</f>
        <v>1.6975498473547073</v>
      </c>
      <c r="H164" s="108">
        <f>VLOOKUP(B164,'Gebouwgegevens Allacker'!$J$5:$Q$83,8,0)</f>
        <v>49.228945573286509</v>
      </c>
      <c r="I164" s="108">
        <v>1</v>
      </c>
      <c r="J164" s="98"/>
      <c r="K164" s="98"/>
      <c r="L164" s="98"/>
      <c r="M164" s="98"/>
      <c r="N164" s="98"/>
      <c r="O164" s="98"/>
      <c r="P164" s="96"/>
    </row>
    <row r="165" spans="1:16" ht="16.5" customHeight="1" x14ac:dyDescent="0.25">
      <c r="A165" s="95"/>
      <c r="B165" s="106" t="s">
        <v>67</v>
      </c>
      <c r="C165" s="107">
        <f>VLOOKUP(B165,'Gebouwgegevens Allacker'!$J$5:$Q$83,3,0)</f>
        <v>1</v>
      </c>
      <c r="D165" s="107" t="str">
        <f>VLOOKUP(B165,'Gebouwgegevens Allacker'!$J$5:$Q$83,4,0)</f>
        <v>Door</v>
      </c>
      <c r="E165" s="107">
        <f>VLOOKUP(B165,'Gebouwgegevens Allacker'!$J$5:$Q$83,5,0)</f>
        <v>7.5</v>
      </c>
      <c r="F165" s="107">
        <f>VLOOKUP(B165,'Gebouwgegevens Allacker'!$J$5:$Q$83,6,0)</f>
        <v>0</v>
      </c>
      <c r="G165" s="107">
        <f>VLOOKUP(B165,'Gebouwgegevens Allacker'!$J$5:$Q$83,7,0)</f>
        <v>4</v>
      </c>
      <c r="H165" s="108">
        <f>VLOOKUP(B165,'Gebouwgegevens Allacker'!$J$5:$Q$83,8,0)</f>
        <v>30</v>
      </c>
      <c r="I165" s="108">
        <v>1</v>
      </c>
      <c r="J165" s="98"/>
      <c r="K165" s="98"/>
      <c r="L165" s="98"/>
      <c r="M165" s="98"/>
      <c r="N165" s="98"/>
      <c r="O165" s="98"/>
      <c r="P165" s="96"/>
    </row>
    <row r="166" spans="1:16" ht="16.5" customHeight="1" x14ac:dyDescent="0.25">
      <c r="A166" s="95"/>
      <c r="B166" s="106"/>
      <c r="C166" s="107"/>
      <c r="D166" s="107"/>
      <c r="E166" s="107"/>
      <c r="F166" s="107"/>
      <c r="G166" s="107"/>
      <c r="H166" s="108"/>
      <c r="I166" s="108"/>
      <c r="J166" s="98"/>
      <c r="K166" s="98"/>
      <c r="L166" s="98"/>
      <c r="M166" s="98"/>
      <c r="N166" s="98"/>
      <c r="O166" s="98"/>
      <c r="P166" s="96"/>
    </row>
    <row r="167" spans="1:16" ht="16.5" customHeight="1" x14ac:dyDescent="0.25">
      <c r="A167" s="95"/>
      <c r="B167" s="106"/>
      <c r="C167" s="107"/>
      <c r="D167" s="107"/>
      <c r="E167" s="107"/>
      <c r="F167" s="107"/>
      <c r="G167" s="107"/>
      <c r="H167" s="108"/>
      <c r="I167" s="108"/>
      <c r="J167" s="98"/>
      <c r="K167" s="98"/>
      <c r="L167" s="98"/>
      <c r="M167" s="98"/>
      <c r="N167" s="98"/>
      <c r="O167" s="98"/>
      <c r="P167" s="96"/>
    </row>
    <row r="168" spans="1:16" ht="16.5" customHeight="1" x14ac:dyDescent="0.25">
      <c r="A168" s="95"/>
      <c r="B168" s="106"/>
      <c r="C168" s="107"/>
      <c r="D168" s="107"/>
      <c r="E168" s="107"/>
      <c r="F168" s="107"/>
      <c r="G168" s="107"/>
      <c r="H168" s="108"/>
      <c r="I168" s="108"/>
      <c r="J168" s="98"/>
      <c r="K168" s="98"/>
      <c r="L168" s="98"/>
      <c r="M168" s="98"/>
      <c r="N168" s="98"/>
      <c r="O168" s="98"/>
      <c r="P168" s="96"/>
    </row>
    <row r="169" spans="1:16" ht="16.5" customHeight="1" x14ac:dyDescent="0.25">
      <c r="A169" s="95"/>
      <c r="B169" s="106"/>
      <c r="C169" s="107"/>
      <c r="D169" s="107"/>
      <c r="E169" s="107"/>
      <c r="F169" s="107"/>
      <c r="G169" s="107"/>
      <c r="H169" s="108"/>
      <c r="I169" s="108"/>
      <c r="J169" s="98"/>
      <c r="K169" s="98"/>
      <c r="L169" s="98"/>
      <c r="M169" s="98"/>
      <c r="N169" s="98"/>
      <c r="O169" s="98"/>
      <c r="P169" s="96"/>
    </row>
    <row r="170" spans="1:16" ht="16.5" customHeight="1" x14ac:dyDescent="0.25">
      <c r="A170" s="95"/>
      <c r="B170" s="106"/>
      <c r="C170" s="107"/>
      <c r="D170" s="107"/>
      <c r="E170" s="107"/>
      <c r="F170" s="107"/>
      <c r="G170" s="107"/>
      <c r="H170" s="108"/>
      <c r="I170" s="108"/>
      <c r="J170" s="98"/>
      <c r="K170" s="98"/>
      <c r="L170" s="98"/>
      <c r="M170" s="98"/>
      <c r="N170" s="98"/>
      <c r="O170" s="98"/>
      <c r="P170" s="96"/>
    </row>
    <row r="171" spans="1:16" ht="16.5" customHeight="1" x14ac:dyDescent="0.25">
      <c r="A171" s="95"/>
      <c r="B171" s="106"/>
      <c r="C171" s="107"/>
      <c r="D171" s="107"/>
      <c r="E171" s="107"/>
      <c r="F171" s="107"/>
      <c r="G171" s="107"/>
      <c r="H171" s="108"/>
      <c r="I171" s="108"/>
      <c r="J171" s="98"/>
      <c r="K171" s="98"/>
      <c r="L171" s="98"/>
      <c r="M171" s="98"/>
      <c r="N171" s="98"/>
      <c r="O171" s="98"/>
      <c r="P171" s="96"/>
    </row>
    <row r="172" spans="1:16" ht="16.5" customHeight="1" x14ac:dyDescent="0.25">
      <c r="A172" s="95"/>
      <c r="B172" s="106"/>
      <c r="C172" s="107"/>
      <c r="D172" s="107"/>
      <c r="E172" s="107"/>
      <c r="F172" s="107"/>
      <c r="G172" s="107"/>
      <c r="H172" s="108"/>
      <c r="I172" s="108"/>
      <c r="J172" s="98"/>
      <c r="K172" s="98"/>
      <c r="L172" s="98"/>
      <c r="M172" s="98"/>
      <c r="N172" s="98"/>
      <c r="O172" s="98"/>
      <c r="P172" s="96"/>
    </row>
    <row r="173" spans="1:16" ht="16.5" customHeight="1" x14ac:dyDescent="0.25">
      <c r="A173" s="95"/>
      <c r="B173" s="106"/>
      <c r="C173" s="107"/>
      <c r="D173" s="107"/>
      <c r="E173" s="107"/>
      <c r="F173" s="107"/>
      <c r="G173" s="107"/>
      <c r="H173" s="108"/>
      <c r="I173" s="108"/>
      <c r="J173" s="98"/>
      <c r="K173" s="98"/>
      <c r="L173" s="98"/>
      <c r="M173" s="98"/>
      <c r="N173" s="98"/>
      <c r="O173" s="98"/>
      <c r="P173" s="96"/>
    </row>
    <row r="174" spans="1:16" ht="16.5" customHeight="1" x14ac:dyDescent="0.25">
      <c r="A174" s="95"/>
      <c r="B174" s="106"/>
      <c r="C174" s="107"/>
      <c r="D174" s="107"/>
      <c r="E174" s="107"/>
      <c r="F174" s="107"/>
      <c r="G174" s="107"/>
      <c r="H174" s="108"/>
      <c r="I174" s="108"/>
      <c r="J174" s="98"/>
      <c r="K174" s="98"/>
      <c r="L174" s="98"/>
      <c r="M174" s="98"/>
      <c r="N174" s="98"/>
      <c r="O174" s="98"/>
      <c r="P174" s="96"/>
    </row>
    <row r="175" spans="1:16" ht="16.5" customHeight="1" x14ac:dyDescent="0.25">
      <c r="A175" s="95"/>
      <c r="B175" s="106"/>
      <c r="C175" s="107"/>
      <c r="D175" s="107"/>
      <c r="E175" s="107"/>
      <c r="F175" s="107"/>
      <c r="G175" s="107"/>
      <c r="H175" s="108"/>
      <c r="I175" s="108"/>
      <c r="J175" s="98"/>
      <c r="K175" s="98"/>
      <c r="L175" s="98"/>
      <c r="M175" s="98"/>
      <c r="N175" s="98"/>
      <c r="O175" s="98"/>
      <c r="P175" s="96"/>
    </row>
    <row r="176" spans="1:16" ht="15.75" customHeight="1" x14ac:dyDescent="0.25">
      <c r="A176" s="95"/>
      <c r="B176" s="58"/>
      <c r="C176" s="58"/>
      <c r="D176" s="58"/>
      <c r="E176" s="58"/>
      <c r="F176" s="58"/>
      <c r="G176" s="114"/>
      <c r="H176" s="58"/>
      <c r="I176" s="58"/>
      <c r="J176" s="98"/>
      <c r="K176" s="98"/>
      <c r="L176" s="98"/>
      <c r="M176" s="98"/>
      <c r="N176" s="98"/>
      <c r="O176" s="98"/>
      <c r="P176" s="96"/>
    </row>
    <row r="177" spans="1:16" ht="15" customHeight="1" x14ac:dyDescent="0.25">
      <c r="A177" s="95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6"/>
    </row>
    <row r="178" spans="1:16" ht="15" customHeight="1" x14ac:dyDescent="0.25">
      <c r="A178" s="103" t="s">
        <v>177</v>
      </c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6"/>
    </row>
    <row r="179" spans="1:16" ht="15.75" customHeight="1" x14ac:dyDescent="0.25">
      <c r="A179" s="95"/>
      <c r="B179" s="58" t="s">
        <v>10</v>
      </c>
      <c r="C179" s="58" t="s">
        <v>178</v>
      </c>
      <c r="D179" s="58" t="s">
        <v>172</v>
      </c>
      <c r="E179" s="58" t="s">
        <v>179</v>
      </c>
      <c r="F179" s="58" t="s">
        <v>16</v>
      </c>
      <c r="G179" s="114" t="s">
        <v>17</v>
      </c>
      <c r="H179" s="114" t="s">
        <v>175</v>
      </c>
      <c r="I179" s="58" t="s">
        <v>180</v>
      </c>
      <c r="J179" s="58" t="s">
        <v>181</v>
      </c>
      <c r="K179" s="58" t="s">
        <v>182</v>
      </c>
      <c r="L179" s="115" t="s">
        <v>183</v>
      </c>
      <c r="M179" s="115" t="s">
        <v>184</v>
      </c>
      <c r="N179" s="115" t="s">
        <v>185</v>
      </c>
      <c r="O179" s="98"/>
      <c r="P179" s="96"/>
    </row>
    <row r="180" spans="1:16" ht="16.5" customHeight="1" x14ac:dyDescent="0.25">
      <c r="A180" s="95"/>
      <c r="B180" s="116" t="s">
        <v>223</v>
      </c>
      <c r="C180" s="117" t="e">
        <f>VLOOKUP(B180,'Gebouwgegevens Allacker'!$J$5:$Q$83,3,0)</f>
        <v>#N/A</v>
      </c>
      <c r="D180" s="117" t="e">
        <f>VLOOKUP(B180,'Gebouwgegevens Allacker'!$J$5:$Q$83,4,0)</f>
        <v>#N/A</v>
      </c>
      <c r="E180" s="117" t="e">
        <f>VLOOKUP(B180,'Gebouwgegevens Allacker'!$J$5:$Q$83,5,0)</f>
        <v>#N/A</v>
      </c>
      <c r="F180" s="117" t="e">
        <f>VLOOKUP(B180,'Gebouwgegevens Allacker'!$J$5:$Q$83,7,0)</f>
        <v>#N/A</v>
      </c>
      <c r="G180" s="118" t="e">
        <f>VLOOKUP(B180,'Gebouwgegevens Allacker'!$J$5:$Q$83,8,0)</f>
        <v>#N/A</v>
      </c>
      <c r="H180" s="118" t="e">
        <f>N180/F180</f>
        <v>#N/A</v>
      </c>
      <c r="I180" s="117" t="e">
        <f>VLOOKUP(C180,'Gebouwgegevens Allacker'!$A$35:$F$46,6,0)</f>
        <v>#N/A</v>
      </c>
      <c r="J180" s="116">
        <v>1.05</v>
      </c>
      <c r="K180" s="116">
        <v>0.33</v>
      </c>
      <c r="L180" s="119" t="e">
        <f>I180/(0.5*J180)</f>
        <v>#N/A</v>
      </c>
      <c r="M180" s="119" t="e">
        <f>K180+2*(1/F180)</f>
        <v>#N/A</v>
      </c>
      <c r="N180" s="120" t="e">
        <f>IF(M180&lt;L180,2*2/(PI()*L180+M180)*LN(PI()*L180/M180+1),2/(0.457*L180+M180))</f>
        <v>#N/A</v>
      </c>
      <c r="O180" s="98"/>
      <c r="P180" s="96"/>
    </row>
    <row r="181" spans="1:16" ht="16.5" customHeight="1" x14ac:dyDescent="0.25">
      <c r="A181" s="95"/>
      <c r="B181" s="116"/>
      <c r="C181" s="117"/>
      <c r="D181" s="117"/>
      <c r="E181" s="117"/>
      <c r="F181" s="117"/>
      <c r="G181" s="118"/>
      <c r="H181" s="118"/>
      <c r="I181" s="117"/>
      <c r="J181" s="116"/>
      <c r="K181" s="116"/>
      <c r="L181" s="119"/>
      <c r="M181" s="119"/>
      <c r="N181" s="120"/>
      <c r="O181" s="98"/>
      <c r="P181" s="96"/>
    </row>
    <row r="182" spans="1:16" ht="16.5" customHeight="1" x14ac:dyDescent="0.25">
      <c r="A182" s="95"/>
      <c r="B182" s="116"/>
      <c r="C182" s="117"/>
      <c r="D182" s="117"/>
      <c r="E182" s="117"/>
      <c r="F182" s="117"/>
      <c r="G182" s="118"/>
      <c r="H182" s="118"/>
      <c r="I182" s="117"/>
      <c r="J182" s="116"/>
      <c r="K182" s="116"/>
      <c r="L182" s="119"/>
      <c r="M182" s="119"/>
      <c r="N182" s="120"/>
      <c r="O182" s="98"/>
      <c r="P182" s="96"/>
    </row>
    <row r="183" spans="1:16" ht="16.5" customHeight="1" x14ac:dyDescent="0.25">
      <c r="A183" s="95"/>
      <c r="B183" s="116"/>
      <c r="C183" s="117"/>
      <c r="D183" s="117"/>
      <c r="E183" s="117"/>
      <c r="F183" s="117"/>
      <c r="G183" s="118"/>
      <c r="H183" s="118"/>
      <c r="I183" s="117"/>
      <c r="J183" s="116"/>
      <c r="K183" s="116"/>
      <c r="L183" s="119"/>
      <c r="M183" s="119"/>
      <c r="N183" s="120"/>
      <c r="O183" s="98"/>
      <c r="P183" s="96"/>
    </row>
    <row r="184" spans="1:16" ht="16.5" customHeight="1" x14ac:dyDescent="0.25">
      <c r="A184" s="138"/>
      <c r="B184" s="116"/>
      <c r="C184" s="117"/>
      <c r="D184" s="117"/>
      <c r="E184" s="117"/>
      <c r="F184" s="117"/>
      <c r="G184" s="118"/>
      <c r="H184" s="118"/>
      <c r="I184" s="117"/>
      <c r="J184" s="116"/>
      <c r="K184" s="116"/>
      <c r="L184" s="119"/>
      <c r="M184" s="119"/>
      <c r="N184" s="120"/>
      <c r="O184" s="98"/>
      <c r="P184" s="96"/>
    </row>
    <row r="185" spans="1:16" ht="15.75" customHeight="1" x14ac:dyDescent="0.25">
      <c r="A185" s="95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6"/>
    </row>
    <row r="186" spans="1:16" ht="15" customHeight="1" x14ac:dyDescent="0.25">
      <c r="A186" s="103" t="s">
        <v>186</v>
      </c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6"/>
    </row>
    <row r="187" spans="1:16" ht="15.75" customHeight="1" x14ac:dyDescent="0.25">
      <c r="A187" s="95"/>
      <c r="B187" s="58" t="s">
        <v>10</v>
      </c>
      <c r="C187" s="58" t="s">
        <v>187</v>
      </c>
      <c r="D187" s="58" t="s">
        <v>188</v>
      </c>
      <c r="E187" s="58" t="s">
        <v>135</v>
      </c>
      <c r="F187" s="58" t="s">
        <v>189</v>
      </c>
      <c r="G187" s="58" t="s">
        <v>190</v>
      </c>
      <c r="H187" s="58" t="s">
        <v>191</v>
      </c>
      <c r="I187" s="58" t="s">
        <v>16</v>
      </c>
      <c r="J187" s="114" t="s">
        <v>17</v>
      </c>
      <c r="K187" s="114" t="s">
        <v>175</v>
      </c>
      <c r="L187" s="98"/>
      <c r="M187" s="98"/>
      <c r="N187" s="98"/>
      <c r="O187" s="98"/>
      <c r="P187" s="96"/>
    </row>
    <row r="188" spans="1:16" ht="16.5" customHeight="1" x14ac:dyDescent="0.25">
      <c r="A188" s="95"/>
      <c r="B188" s="121" t="s">
        <v>224</v>
      </c>
      <c r="C188" s="122" t="e">
        <f>IF(VLOOKUP(B188,'Gebouwgegevens Allacker'!$J$5:$Q$83,2,0)=$B$158,VLOOKUP(B188,'Gebouwgegevens Allacker'!$J$5:$Q$83,2,0),VLOOKUP(B188,'Gebouwgegevens Allacker'!$J$5:$Q$83,3,0))</f>
        <v>#N/A</v>
      </c>
      <c r="D188" s="122" t="e">
        <f>IF(VLOOKUP(B188,'Gebouwgegevens Allacker'!$J$5:$Q$83,2,0)=$B$158,VLOOKUP(B188,'Gebouwgegevens Allacker'!$J$5:$Q$83,3,0),VLOOKUP(B188,'Gebouwgegevens Allacker'!$J$5:$Q$83,2,0))</f>
        <v>#N/A</v>
      </c>
      <c r="E188" s="122" t="e">
        <f>VLOOKUP(B188,'Gebouwgegevens Allacker'!$J$5:$Q$83,4,0)</f>
        <v>#N/A</v>
      </c>
      <c r="F188" s="122" t="e">
        <f>VLOOKUP(B188,'Gebouwgegevens Allacker'!$J$5:$Q$83,5,0)</f>
        <v>#N/A</v>
      </c>
      <c r="G188" s="122" t="e">
        <f>VLOOKUP('Verwarming Tabula'!C188,'Gebouwgegevens Allacker'!$A$35:$F$46,5,0)</f>
        <v>#N/A</v>
      </c>
      <c r="H188" s="122" t="e">
        <f>VLOOKUP('Verwarming Tabula'!D188,'Gebouwgegevens Allacker'!$A$35:$F$46,5,0)</f>
        <v>#N/A</v>
      </c>
      <c r="I188" s="122" t="e">
        <f>VLOOKUP(B188,'Gebouwgegevens Allacker'!$J$5:$Q$83,7,0)</f>
        <v>#N/A</v>
      </c>
      <c r="J188" s="118" t="e">
        <f>VLOOKUP(B188,'Gebouwgegevens Allacker'!$J$5:$Q$83,8,0)</f>
        <v>#N/A</v>
      </c>
      <c r="K188" s="118" t="e">
        <f>(G188-H188)/(G188-$B$4)</f>
        <v>#N/A</v>
      </c>
      <c r="L188" s="98"/>
      <c r="M188" s="98"/>
      <c r="N188" s="98"/>
      <c r="O188" s="98"/>
      <c r="P188" s="96"/>
    </row>
    <row r="189" spans="1:16" ht="16.5" customHeight="1" x14ac:dyDescent="0.25">
      <c r="A189" s="95"/>
      <c r="B189" s="121" t="s">
        <v>225</v>
      </c>
      <c r="C189" s="122" t="e">
        <f>IF(VLOOKUP(B189,'Gebouwgegevens Allacker'!$J$5:$Q$83,2,0)=$B$158,VLOOKUP(B189,'Gebouwgegevens Allacker'!$J$5:$Q$83,2,0),VLOOKUP(B189,'Gebouwgegevens Allacker'!$J$5:$Q$83,3,0))</f>
        <v>#N/A</v>
      </c>
      <c r="D189" s="122" t="e">
        <f>IF(VLOOKUP(B189,'Gebouwgegevens Allacker'!$J$5:$Q$83,2,0)=$B$158,VLOOKUP(B189,'Gebouwgegevens Allacker'!$J$5:$Q$83,3,0),VLOOKUP(B189,'Gebouwgegevens Allacker'!$J$5:$Q$83,2,0))</f>
        <v>#N/A</v>
      </c>
      <c r="E189" s="122" t="e">
        <f>VLOOKUP(B189,'Gebouwgegevens Allacker'!$J$5:$Q$83,4,0)</f>
        <v>#N/A</v>
      </c>
      <c r="F189" s="122" t="e">
        <f>VLOOKUP(B189,'Gebouwgegevens Allacker'!$J$5:$Q$83,5,0)</f>
        <v>#N/A</v>
      </c>
      <c r="G189" s="122" t="e">
        <f>VLOOKUP('Verwarming Tabula'!C189,'Gebouwgegevens Allacker'!$A$35:$F$46,5,0)</f>
        <v>#N/A</v>
      </c>
      <c r="H189" s="122" t="e">
        <f>VLOOKUP('Verwarming Tabula'!D189,'Gebouwgegevens Allacker'!$A$35:$F$46,5,0)</f>
        <v>#N/A</v>
      </c>
      <c r="I189" s="122" t="e">
        <f>VLOOKUP(B189,'Gebouwgegevens Allacker'!$J$5:$Q$83,7,0)</f>
        <v>#N/A</v>
      </c>
      <c r="J189" s="118" t="e">
        <f>VLOOKUP(B189,'Gebouwgegevens Allacker'!$J$5:$Q$83,8,0)</f>
        <v>#N/A</v>
      </c>
      <c r="K189" s="118" t="e">
        <f>(G189-H189)/(G189-$B$4)</f>
        <v>#N/A</v>
      </c>
      <c r="L189" s="98"/>
      <c r="M189" s="98"/>
      <c r="N189" s="98"/>
      <c r="O189" s="98"/>
      <c r="P189" s="96"/>
    </row>
    <row r="190" spans="1:16" ht="16.5" customHeight="1" x14ac:dyDescent="0.25">
      <c r="A190" s="95"/>
      <c r="B190" s="121" t="s">
        <v>226</v>
      </c>
      <c r="C190" s="122" t="e">
        <f>IF(VLOOKUP(B190,'Gebouwgegevens Allacker'!$J$5:$Q$83,2,0)=$B$158,VLOOKUP(B190,'Gebouwgegevens Allacker'!$J$5:$Q$83,2,0),VLOOKUP(B190,'Gebouwgegevens Allacker'!$J$5:$Q$83,3,0))</f>
        <v>#N/A</v>
      </c>
      <c r="D190" s="122" t="e">
        <f>IF(VLOOKUP(B190,'Gebouwgegevens Allacker'!$J$5:$Q$83,2,0)=$B$158,VLOOKUP(B190,'Gebouwgegevens Allacker'!$J$5:$Q$83,3,0),VLOOKUP(B190,'Gebouwgegevens Allacker'!$J$5:$Q$83,2,0))</f>
        <v>#N/A</v>
      </c>
      <c r="E190" s="122" t="e">
        <f>VLOOKUP(B190,'Gebouwgegevens Allacker'!$J$5:$Q$83,4,0)</f>
        <v>#N/A</v>
      </c>
      <c r="F190" s="122" t="e">
        <f>VLOOKUP(B190,'Gebouwgegevens Allacker'!$J$5:$Q$83,5,0)</f>
        <v>#N/A</v>
      </c>
      <c r="G190" s="122" t="e">
        <f>VLOOKUP('Verwarming Tabula'!C190,'Gebouwgegevens Allacker'!$A$35:$F$46,5,0)</f>
        <v>#N/A</v>
      </c>
      <c r="H190" s="122" t="e">
        <f>VLOOKUP('Verwarming Tabula'!D190,'Gebouwgegevens Allacker'!$A$35:$F$46,5,0)</f>
        <v>#N/A</v>
      </c>
      <c r="I190" s="122" t="e">
        <f>VLOOKUP(B190,'Gebouwgegevens Allacker'!$J$5:$Q$83,7,0)</f>
        <v>#N/A</v>
      </c>
      <c r="J190" s="118" t="e">
        <f>VLOOKUP(B190,'Gebouwgegevens Allacker'!$J$5:$Q$83,8,0)</f>
        <v>#N/A</v>
      </c>
      <c r="K190" s="118" t="e">
        <f>(G190-H190)/(G190-$B$4)</f>
        <v>#N/A</v>
      </c>
      <c r="L190" s="98"/>
      <c r="M190" s="98"/>
      <c r="N190" s="98"/>
      <c r="O190" s="98"/>
      <c r="P190" s="96"/>
    </row>
    <row r="191" spans="1:16" ht="16.5" customHeight="1" x14ac:dyDescent="0.25">
      <c r="A191" s="95"/>
      <c r="B191" s="92"/>
      <c r="C191" s="122"/>
      <c r="D191" s="122"/>
      <c r="E191" s="122"/>
      <c r="F191" s="122"/>
      <c r="G191" s="122"/>
      <c r="H191" s="122"/>
      <c r="I191" s="122"/>
      <c r="J191" s="118"/>
      <c r="K191" s="118"/>
      <c r="L191" s="98"/>
      <c r="M191" s="98"/>
      <c r="N191" s="98"/>
      <c r="O191" s="98"/>
      <c r="P191" s="96"/>
    </row>
    <row r="192" spans="1:16" ht="16.5" customHeight="1" x14ac:dyDescent="0.25">
      <c r="A192" s="95"/>
      <c r="B192" s="123"/>
      <c r="C192" s="139"/>
      <c r="D192" s="122"/>
      <c r="E192" s="122"/>
      <c r="F192" s="122"/>
      <c r="G192" s="122"/>
      <c r="H192" s="122"/>
      <c r="I192" s="122"/>
      <c r="J192" s="118"/>
      <c r="K192" s="118"/>
      <c r="L192" s="98"/>
      <c r="M192" s="98"/>
      <c r="N192" s="98"/>
      <c r="O192" s="98"/>
      <c r="P192" s="96"/>
    </row>
    <row r="193" spans="1:16" ht="16.5" customHeight="1" x14ac:dyDescent="0.25">
      <c r="A193" s="95"/>
      <c r="B193" s="123"/>
      <c r="C193" s="139"/>
      <c r="D193" s="122"/>
      <c r="E193" s="122"/>
      <c r="F193" s="122"/>
      <c r="G193" s="122"/>
      <c r="H193" s="122"/>
      <c r="I193" s="122"/>
      <c r="J193" s="118"/>
      <c r="K193" s="118"/>
      <c r="L193" s="98"/>
      <c r="M193" s="98"/>
      <c r="N193" s="98"/>
      <c r="O193" s="98"/>
      <c r="P193" s="96"/>
    </row>
    <row r="194" spans="1:16" ht="16.5" customHeight="1" x14ac:dyDescent="0.25">
      <c r="A194" s="95"/>
      <c r="B194" s="123"/>
      <c r="C194" s="139"/>
      <c r="D194" s="122"/>
      <c r="E194" s="122"/>
      <c r="F194" s="122"/>
      <c r="G194" s="122"/>
      <c r="H194" s="122"/>
      <c r="I194" s="122"/>
      <c r="J194" s="118"/>
      <c r="K194" s="118"/>
      <c r="L194" s="98"/>
      <c r="M194" s="98"/>
      <c r="N194" s="98"/>
      <c r="O194" s="98"/>
      <c r="P194" s="96"/>
    </row>
    <row r="195" spans="1:16" ht="16.5" customHeight="1" x14ac:dyDescent="0.25">
      <c r="A195" s="95"/>
      <c r="B195" s="123"/>
      <c r="C195" s="139"/>
      <c r="D195" s="122"/>
      <c r="E195" s="122"/>
      <c r="F195" s="122"/>
      <c r="G195" s="122"/>
      <c r="H195" s="122"/>
      <c r="I195" s="122"/>
      <c r="J195" s="118"/>
      <c r="K195" s="118"/>
      <c r="L195" s="98"/>
      <c r="M195" s="98"/>
      <c r="N195" s="98"/>
      <c r="O195" s="98"/>
      <c r="P195" s="96"/>
    </row>
    <row r="196" spans="1:16" ht="16.5" customHeight="1" x14ac:dyDescent="0.25">
      <c r="A196" s="95"/>
      <c r="B196" s="123"/>
      <c r="C196" s="139"/>
      <c r="D196" s="122"/>
      <c r="E196" s="122"/>
      <c r="F196" s="122"/>
      <c r="G196" s="122"/>
      <c r="H196" s="122"/>
      <c r="I196" s="122"/>
      <c r="J196" s="118"/>
      <c r="K196" s="118"/>
      <c r="L196" s="98"/>
      <c r="M196" s="98"/>
      <c r="N196" s="98"/>
      <c r="O196" s="98"/>
      <c r="P196" s="96"/>
    </row>
    <row r="197" spans="1:16" ht="16.5" customHeight="1" x14ac:dyDescent="0.25">
      <c r="A197" s="95"/>
      <c r="B197" s="123"/>
      <c r="C197" s="139"/>
      <c r="D197" s="122"/>
      <c r="E197" s="122"/>
      <c r="F197" s="122"/>
      <c r="G197" s="122"/>
      <c r="H197" s="122"/>
      <c r="I197" s="122"/>
      <c r="J197" s="118"/>
      <c r="K197" s="118"/>
      <c r="L197" s="98"/>
      <c r="M197" s="98"/>
      <c r="N197" s="98"/>
      <c r="O197" s="98"/>
      <c r="P197" s="96"/>
    </row>
    <row r="198" spans="1:16" ht="15.75" customHeight="1" x14ac:dyDescent="0.25">
      <c r="A198" s="95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8"/>
      <c r="M198" s="98"/>
      <c r="N198" s="98"/>
      <c r="O198" s="98"/>
      <c r="P198" s="96"/>
    </row>
    <row r="199" spans="1:16" ht="15" customHeight="1" x14ac:dyDescent="0.25">
      <c r="A199" s="95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6"/>
    </row>
    <row r="200" spans="1:16" ht="15.75" customHeight="1" x14ac:dyDescent="0.25">
      <c r="A200" s="103" t="s">
        <v>192</v>
      </c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6"/>
    </row>
    <row r="201" spans="1:16" ht="16.5" customHeight="1" x14ac:dyDescent="0.25">
      <c r="A201" s="124" t="s">
        <v>193</v>
      </c>
      <c r="B201" s="118" t="e">
        <f>SUMPRODUCT(H164:H175,I164:I175)+SUMPRODUCT(G180:G184,H180:H184)+SUMPRODUCT(J188:J197,K188:K197)</f>
        <v>#N/A</v>
      </c>
      <c r="C201" s="118" t="s">
        <v>107</v>
      </c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6"/>
    </row>
    <row r="202" spans="1:16" ht="16.5" customHeight="1" x14ac:dyDescent="0.25">
      <c r="A202" s="124" t="s">
        <v>167</v>
      </c>
      <c r="B202" s="118" t="e">
        <f>B201*(G188-$B$4)</f>
        <v>#N/A</v>
      </c>
      <c r="C202" s="118" t="s">
        <v>169</v>
      </c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6"/>
    </row>
    <row r="203" spans="1:16" ht="15.75" customHeight="1" x14ac:dyDescent="0.25">
      <c r="A203" s="109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1"/>
    </row>
    <row r="204" spans="1:16" ht="15.75" customHeight="1" x14ac:dyDescent="0.25">
      <c r="A204" s="343" t="s">
        <v>194</v>
      </c>
      <c r="B204" s="343"/>
      <c r="C204" s="343"/>
      <c r="D204" s="125" t="s">
        <v>222</v>
      </c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94"/>
    </row>
    <row r="205" spans="1:16" ht="15" customHeight="1" x14ac:dyDescent="0.25">
      <c r="A205" s="95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6"/>
    </row>
    <row r="206" spans="1:16" ht="15" customHeight="1" x14ac:dyDescent="0.25">
      <c r="A206" s="126" t="s">
        <v>195</v>
      </c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6"/>
    </row>
    <row r="207" spans="1:16" ht="15" customHeight="1" x14ac:dyDescent="0.25">
      <c r="A207" s="127" t="s">
        <v>196</v>
      </c>
      <c r="B207" s="121">
        <v>8</v>
      </c>
      <c r="C207" s="120" t="s">
        <v>197</v>
      </c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6"/>
    </row>
    <row r="208" spans="1:16" ht="15" customHeight="1" x14ac:dyDescent="0.25">
      <c r="A208" s="127" t="s">
        <v>198</v>
      </c>
      <c r="B208" s="121">
        <v>0.03</v>
      </c>
      <c r="C208" s="120" t="s">
        <v>199</v>
      </c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6"/>
    </row>
    <row r="209" spans="1:16" ht="15.75" customHeight="1" x14ac:dyDescent="0.25">
      <c r="A209" s="127" t="s">
        <v>200</v>
      </c>
      <c r="B209" s="121">
        <v>1</v>
      </c>
      <c r="C209" s="120" t="s">
        <v>201</v>
      </c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6"/>
    </row>
    <row r="210" spans="1:16" ht="16.5" customHeight="1" x14ac:dyDescent="0.25">
      <c r="A210" s="124" t="s">
        <v>202</v>
      </c>
      <c r="B210" s="118">
        <f>2*VLOOKUP(B158,'Gebouwgegevens Allacker'!$A$35:$F$46,6,0)*B207*B208*B209</f>
        <v>0</v>
      </c>
      <c r="C210" s="118" t="s">
        <v>203</v>
      </c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6"/>
    </row>
    <row r="211" spans="1:16" ht="15.75" customHeight="1" x14ac:dyDescent="0.25">
      <c r="A211" s="95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6"/>
    </row>
    <row r="212" spans="1:16" ht="15" customHeight="1" x14ac:dyDescent="0.25">
      <c r="A212" s="126" t="s">
        <v>204</v>
      </c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6"/>
    </row>
    <row r="213" spans="1:16" ht="15.75" customHeight="1" x14ac:dyDescent="0.25">
      <c r="A213" s="95" t="s">
        <v>180</v>
      </c>
      <c r="B213" s="98">
        <f>VLOOKUP(B158,'Gebouwgegevens Allacker'!$A$35:$F$46,6,0)</f>
        <v>0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6"/>
    </row>
    <row r="214" spans="1:16" ht="16.5" customHeight="1" x14ac:dyDescent="0.25">
      <c r="A214" s="124" t="s">
        <v>205</v>
      </c>
      <c r="B214" s="128">
        <v>25</v>
      </c>
      <c r="C214" s="118" t="s">
        <v>203</v>
      </c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6"/>
    </row>
    <row r="215" spans="1:16" ht="15.75" customHeight="1" x14ac:dyDescent="0.25">
      <c r="A215" s="95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6"/>
    </row>
    <row r="216" spans="1:16" ht="15.75" customHeight="1" x14ac:dyDescent="0.25">
      <c r="A216" s="95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6"/>
    </row>
    <row r="217" spans="1:16" ht="16.5" customHeight="1" x14ac:dyDescent="0.25">
      <c r="A217" s="124" t="s">
        <v>207</v>
      </c>
      <c r="B217" s="118">
        <f>MAX(B210,B214)</f>
        <v>25</v>
      </c>
      <c r="C217" s="118" t="s">
        <v>203</v>
      </c>
      <c r="D217" s="98"/>
      <c r="E217" s="98"/>
      <c r="F217" s="118" t="s">
        <v>208</v>
      </c>
      <c r="G217" s="118">
        <f>B217/VLOOKUP(B158,'Gebouwgegevens Allacker'!$A$35:$B$46,2,0)</f>
        <v>0.16407644649795233</v>
      </c>
      <c r="H217" s="98"/>
      <c r="I217" s="98"/>
      <c r="J217" s="98"/>
      <c r="K217" s="98"/>
      <c r="L217" s="98"/>
      <c r="M217" s="98"/>
      <c r="N217" s="98"/>
      <c r="O217" s="98"/>
      <c r="P217" s="96"/>
    </row>
    <row r="218" spans="1:16" ht="16.5" customHeight="1" x14ac:dyDescent="0.25">
      <c r="A218" s="95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6"/>
    </row>
    <row r="219" spans="1:16" ht="16.5" customHeight="1" x14ac:dyDescent="0.25">
      <c r="A219" s="124" t="s">
        <v>209</v>
      </c>
      <c r="B219" s="118">
        <f>0.34*B217</f>
        <v>8.5</v>
      </c>
      <c r="C219" s="118" t="s">
        <v>107</v>
      </c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6"/>
    </row>
    <row r="220" spans="1:16" ht="16.5" customHeight="1" x14ac:dyDescent="0.25">
      <c r="A220" s="124" t="s">
        <v>167</v>
      </c>
      <c r="B220" s="118">
        <f>B219*('Gebouwgegevens Allacker'!E180-$B$4)</f>
        <v>68</v>
      </c>
      <c r="C220" s="118" t="s">
        <v>169</v>
      </c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6"/>
    </row>
    <row r="221" spans="1:16" ht="15.75" customHeight="1" x14ac:dyDescent="0.25">
      <c r="A221" s="140"/>
      <c r="B221" s="141"/>
      <c r="C221" s="141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1"/>
    </row>
    <row r="222" spans="1:16" ht="15.75" customHeight="1" x14ac:dyDescent="0.25">
      <c r="A222" s="343" t="s">
        <v>210</v>
      </c>
      <c r="B222" s="343"/>
      <c r="C222" s="343"/>
      <c r="D222" s="343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6"/>
    </row>
    <row r="223" spans="1:16" ht="15" customHeight="1" x14ac:dyDescent="0.25">
      <c r="A223" s="95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6"/>
    </row>
    <row r="224" spans="1:16" ht="15" customHeight="1" x14ac:dyDescent="0.25">
      <c r="A224" s="127" t="s">
        <v>211</v>
      </c>
      <c r="B224" s="121">
        <v>0</v>
      </c>
      <c r="C224" s="58" t="s">
        <v>227</v>
      </c>
      <c r="D224" s="5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6"/>
    </row>
    <row r="225" spans="1:16" ht="15.75" customHeight="1" x14ac:dyDescent="0.25">
      <c r="A225" s="3" t="s">
        <v>113</v>
      </c>
      <c r="B225" s="58">
        <f>VLOOKUP(B158,'Gebouwgegevens Allacker'!$A$35:$F$46,6,0)</f>
        <v>0</v>
      </c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6"/>
    </row>
    <row r="226" spans="1:16" ht="16.5" customHeight="1" x14ac:dyDescent="0.25">
      <c r="A226" s="124" t="s">
        <v>213</v>
      </c>
      <c r="B226" s="118">
        <f>B227/('Gebouwgegevens Allacker'!E180-'Verwarming Tabula'!$B$4)</f>
        <v>0</v>
      </c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6"/>
    </row>
    <row r="227" spans="1:16" ht="16.5" customHeight="1" x14ac:dyDescent="0.25">
      <c r="A227" s="124" t="s">
        <v>167</v>
      </c>
      <c r="B227" s="118">
        <f>B224*B225</f>
        <v>0</v>
      </c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6"/>
    </row>
    <row r="228" spans="1:16" ht="15.75" customHeight="1" x14ac:dyDescent="0.25">
      <c r="A228" s="95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6"/>
    </row>
    <row r="229" spans="1:16" ht="15.75" customHeight="1" x14ac:dyDescent="0.25">
      <c r="A229" s="95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6"/>
    </row>
    <row r="230" spans="1:16" ht="15.75" customHeight="1" x14ac:dyDescent="0.25">
      <c r="A230" s="129" t="s">
        <v>214</v>
      </c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1"/>
    </row>
    <row r="231" spans="1:16" ht="16.5" customHeight="1" x14ac:dyDescent="0.25">
      <c r="A231" s="124" t="s">
        <v>215</v>
      </c>
      <c r="B231" s="118" t="e">
        <f>SUM(B201,B219,B226)</f>
        <v>#N/A</v>
      </c>
      <c r="C231" s="118" t="s">
        <v>107</v>
      </c>
      <c r="D231" s="132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3"/>
    </row>
    <row r="232" spans="1:16" ht="16.5" customHeight="1" x14ac:dyDescent="0.25">
      <c r="A232" s="124" t="s">
        <v>167</v>
      </c>
      <c r="B232" s="118" t="e">
        <f>SUM(B202,B220,B227)</f>
        <v>#N/A</v>
      </c>
      <c r="C232" s="118" t="s">
        <v>169</v>
      </c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3"/>
    </row>
    <row r="233" spans="1:16" ht="16.5" customHeight="1" x14ac:dyDescent="0.25">
      <c r="A233" s="134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6"/>
    </row>
    <row r="234" spans="1:16" ht="15" customHeight="1" x14ac:dyDescent="0.25">
      <c r="A234" s="137"/>
      <c r="B234" s="137"/>
      <c r="C234" s="137"/>
      <c r="D234" s="137"/>
      <c r="E234" s="137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</row>
    <row r="235" spans="1:16" ht="15.75" customHeight="1" x14ac:dyDescent="0.25">
      <c r="A235" s="137"/>
      <c r="B235" s="137"/>
      <c r="C235" s="137"/>
      <c r="D235" s="137"/>
      <c r="E235" s="137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</row>
    <row r="236" spans="1:16" ht="15" customHeight="1" x14ac:dyDescent="0.25">
      <c r="A236" s="93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94"/>
    </row>
    <row r="237" spans="1:16" ht="17.25" customHeight="1" x14ac:dyDescent="0.3">
      <c r="A237" s="97" t="s">
        <v>166</v>
      </c>
      <c r="B237" s="92">
        <v>4</v>
      </c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6"/>
    </row>
    <row r="238" spans="1:16" ht="15.75" customHeight="1" x14ac:dyDescent="0.25">
      <c r="A238" s="343" t="s">
        <v>168</v>
      </c>
      <c r="B238" s="343"/>
      <c r="C238" s="343"/>
      <c r="D238" s="343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94"/>
    </row>
    <row r="239" spans="1:16" ht="15" customHeight="1" x14ac:dyDescent="0.25">
      <c r="A239" s="95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6"/>
    </row>
    <row r="240" spans="1:16" ht="15" customHeight="1" x14ac:dyDescent="0.25">
      <c r="A240" s="103" t="s">
        <v>170</v>
      </c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6"/>
    </row>
    <row r="241" spans="1:16" ht="15" customHeight="1" x14ac:dyDescent="0.25">
      <c r="A241" s="95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6"/>
    </row>
    <row r="242" spans="1:16" ht="15.75" customHeight="1" x14ac:dyDescent="0.25">
      <c r="A242" s="95"/>
      <c r="B242" s="104" t="s">
        <v>10</v>
      </c>
      <c r="C242" s="104" t="s">
        <v>171</v>
      </c>
      <c r="D242" s="104" t="s">
        <v>172</v>
      </c>
      <c r="E242" s="104" t="s">
        <v>173</v>
      </c>
      <c r="F242" s="104" t="s">
        <v>174</v>
      </c>
      <c r="G242" s="104" t="s">
        <v>16</v>
      </c>
      <c r="H242" s="105" t="s">
        <v>17</v>
      </c>
      <c r="I242" s="105" t="s">
        <v>175</v>
      </c>
      <c r="J242" s="98"/>
      <c r="K242" s="98"/>
      <c r="L242" s="98"/>
      <c r="M242" s="98"/>
      <c r="N242" s="98"/>
      <c r="O242" s="98"/>
      <c r="P242" s="96"/>
    </row>
    <row r="243" spans="1:16" ht="16.5" customHeight="1" x14ac:dyDescent="0.25">
      <c r="A243" s="95"/>
      <c r="B243" s="106" t="s">
        <v>71</v>
      </c>
      <c r="C243" s="107">
        <f>VLOOKUP(B243,'Gebouwgegevens Allacker'!$J$5:$Q$83,3,0)</f>
        <v>3</v>
      </c>
      <c r="D243" s="107" t="str">
        <f>VLOOKUP(B243,'Gebouwgegevens Allacker'!$J$5:$Q$83,4,0)</f>
        <v>Wall External</v>
      </c>
      <c r="E243" s="107">
        <f>VLOOKUP(B243,'Gebouwgegevens Allacker'!$J$5:$Q$83,5,0)</f>
        <v>0</v>
      </c>
      <c r="F243" s="107" t="str">
        <f>VLOOKUP(B243,'Gebouwgegevens Allacker'!$J$5:$Q$83,6,0)</f>
        <v>front</v>
      </c>
      <c r="G243" s="107">
        <f>VLOOKUP(B243,'Gebouwgegevens Allacker'!$J$5:$Q$83,7,0)</f>
        <v>2.2022341505875525</v>
      </c>
      <c r="H243" s="108">
        <f>VLOOKUP(B243,'Gebouwgegevens Allacker'!$J$5:$Q$83,8,0)</f>
        <v>0</v>
      </c>
      <c r="I243" s="108">
        <v>1</v>
      </c>
      <c r="J243" s="98"/>
      <c r="K243" s="98"/>
      <c r="L243" s="98"/>
      <c r="M243" s="98"/>
      <c r="N243" s="98"/>
      <c r="O243" s="98"/>
      <c r="P243" s="96"/>
    </row>
    <row r="244" spans="1:16" ht="16.5" customHeight="1" x14ac:dyDescent="0.25">
      <c r="A244" s="95"/>
      <c r="B244" s="106" t="s">
        <v>75</v>
      </c>
      <c r="C244" s="107">
        <f>VLOOKUP(B244,'Gebouwgegevens Allacker'!$J$5:$Q$83,3,0)</f>
        <v>3</v>
      </c>
      <c r="D244" s="107" t="str">
        <f>VLOOKUP(B244,'Gebouwgegevens Allacker'!$J$5:$Q$83,4,0)</f>
        <v>Wall External</v>
      </c>
      <c r="E244" s="107">
        <f>VLOOKUP(B244,'Gebouwgegevens Allacker'!$J$5:$Q$83,5,0)</f>
        <v>14.24</v>
      </c>
      <c r="F244" s="107" t="str">
        <f>VLOOKUP(B244,'Gebouwgegevens Allacker'!$J$5:$Q$83,6,0)</f>
        <v>right</v>
      </c>
      <c r="G244" s="107">
        <f>VLOOKUP(B244,'Gebouwgegevens Allacker'!$J$5:$Q$83,7,0)</f>
        <v>2.2022341505875525</v>
      </c>
      <c r="H244" s="108">
        <f>VLOOKUP(B244,'Gebouwgegevens Allacker'!$J$5:$Q$83,8,0)</f>
        <v>31.359814304366747</v>
      </c>
      <c r="I244" s="108">
        <v>1</v>
      </c>
      <c r="J244" s="98"/>
      <c r="K244" s="98"/>
      <c r="L244" s="98"/>
      <c r="M244" s="98"/>
      <c r="N244" s="98"/>
      <c r="O244" s="98"/>
      <c r="P244" s="96"/>
    </row>
    <row r="245" spans="1:16" ht="16.5" customHeight="1" x14ac:dyDescent="0.25">
      <c r="A245" s="95"/>
      <c r="B245" s="106" t="s">
        <v>79</v>
      </c>
      <c r="C245" s="107">
        <f>VLOOKUP(B245,'Gebouwgegevens Allacker'!$J$5:$Q$83,3,0)</f>
        <v>3</v>
      </c>
      <c r="D245" s="107" t="str">
        <f>VLOOKUP(B245,'Gebouwgegevens Allacker'!$J$5:$Q$83,4,0)</f>
        <v>Wall External</v>
      </c>
      <c r="E245" s="107">
        <f>VLOOKUP(B245,'Gebouwgegevens Allacker'!$J$5:$Q$83,5,0)</f>
        <v>0</v>
      </c>
      <c r="F245" s="107" t="str">
        <f>VLOOKUP(B245,'Gebouwgegevens Allacker'!$J$5:$Q$83,6,0)</f>
        <v>back</v>
      </c>
      <c r="G245" s="107">
        <f>VLOOKUP(B245,'Gebouwgegevens Allacker'!$J$5:$Q$83,7,0)</f>
        <v>2.2022341505875525</v>
      </c>
      <c r="H245" s="108">
        <f>VLOOKUP(B245,'Gebouwgegevens Allacker'!$J$5:$Q$83,8,0)</f>
        <v>0</v>
      </c>
      <c r="I245" s="108">
        <v>1</v>
      </c>
      <c r="J245" s="98"/>
      <c r="K245" s="98"/>
      <c r="L245" s="98"/>
      <c r="M245" s="98"/>
      <c r="N245" s="98"/>
      <c r="O245" s="98"/>
      <c r="P245" s="96"/>
    </row>
    <row r="246" spans="1:16" ht="16.5" customHeight="1" x14ac:dyDescent="0.25">
      <c r="A246" s="95"/>
      <c r="B246" s="142" t="s">
        <v>82</v>
      </c>
      <c r="C246" s="107">
        <f>VLOOKUP(B246,'Gebouwgegevens Allacker'!$J$5:$Q$83,3,0)</f>
        <v>3</v>
      </c>
      <c r="D246" s="107" t="str">
        <f>VLOOKUP(B246,'Gebouwgegevens Allacker'!$J$5:$Q$83,4,0)</f>
        <v>Wall External</v>
      </c>
      <c r="E246" s="107">
        <f>VLOOKUP(B246,'Gebouwgegevens Allacker'!$J$5:$Q$83,5,0)</f>
        <v>14.24</v>
      </c>
      <c r="F246" s="107" t="str">
        <f>VLOOKUP(B246,'Gebouwgegevens Allacker'!$J$5:$Q$83,6,0)</f>
        <v>left</v>
      </c>
      <c r="G246" s="107">
        <f>VLOOKUP(B246,'Gebouwgegevens Allacker'!$J$5:$Q$83,7,0)</f>
        <v>2.2022341505875525</v>
      </c>
      <c r="H246" s="108">
        <f>VLOOKUP(B246,'Gebouwgegevens Allacker'!$J$5:$Q$83,8,0)</f>
        <v>31.359814304366747</v>
      </c>
      <c r="I246" s="108">
        <v>1</v>
      </c>
      <c r="J246" s="98"/>
      <c r="K246" s="98"/>
      <c r="L246" s="98"/>
      <c r="M246" s="98"/>
      <c r="N246" s="98"/>
      <c r="O246" s="98"/>
      <c r="P246" s="96"/>
    </row>
    <row r="247" spans="1:16" ht="16.5" customHeight="1" x14ac:dyDescent="0.25">
      <c r="A247" s="95"/>
      <c r="B247" s="143"/>
      <c r="C247" s="144"/>
      <c r="D247" s="107"/>
      <c r="E247" s="107"/>
      <c r="F247" s="107"/>
      <c r="G247" s="107"/>
      <c r="H247" s="108"/>
      <c r="I247" s="108"/>
      <c r="J247" s="98"/>
      <c r="K247" s="98"/>
      <c r="L247" s="98"/>
      <c r="M247" s="98"/>
      <c r="N247" s="98"/>
      <c r="O247" s="98"/>
      <c r="P247" s="96"/>
    </row>
    <row r="248" spans="1:16" ht="16.5" customHeight="1" x14ac:dyDescent="0.25">
      <c r="A248" s="95"/>
      <c r="B248" s="143"/>
      <c r="C248" s="144"/>
      <c r="D248" s="107"/>
      <c r="E248" s="107"/>
      <c r="F248" s="107"/>
      <c r="G248" s="107"/>
      <c r="H248" s="108"/>
      <c r="I248" s="108"/>
      <c r="J248" s="98"/>
      <c r="K248" s="98"/>
      <c r="L248" s="98"/>
      <c r="M248" s="98"/>
      <c r="N248" s="98"/>
      <c r="O248" s="98"/>
      <c r="P248" s="96"/>
    </row>
    <row r="249" spans="1:16" ht="16.5" customHeight="1" x14ac:dyDescent="0.25">
      <c r="A249" s="95"/>
      <c r="B249" s="143"/>
      <c r="C249" s="144"/>
      <c r="D249" s="107"/>
      <c r="E249" s="107"/>
      <c r="F249" s="107"/>
      <c r="G249" s="107"/>
      <c r="H249" s="108"/>
      <c r="I249" s="108"/>
      <c r="J249" s="98"/>
      <c r="K249" s="98"/>
      <c r="L249" s="98"/>
      <c r="M249" s="98"/>
      <c r="N249" s="98"/>
      <c r="O249" s="98"/>
      <c r="P249" s="96"/>
    </row>
    <row r="250" spans="1:16" ht="16.5" customHeight="1" x14ac:dyDescent="0.25">
      <c r="A250" s="95"/>
      <c r="B250" s="143"/>
      <c r="C250" s="144"/>
      <c r="D250" s="107"/>
      <c r="E250" s="107"/>
      <c r="F250" s="107"/>
      <c r="G250" s="107"/>
      <c r="H250" s="108"/>
      <c r="I250" s="108"/>
      <c r="J250" s="98"/>
      <c r="K250" s="98"/>
      <c r="L250" s="98"/>
      <c r="M250" s="98"/>
      <c r="N250" s="98"/>
      <c r="O250" s="98"/>
      <c r="P250" s="96"/>
    </row>
    <row r="251" spans="1:16" ht="16.5" customHeight="1" x14ac:dyDescent="0.25">
      <c r="A251" s="95"/>
      <c r="B251" s="143"/>
      <c r="C251" s="144"/>
      <c r="D251" s="107"/>
      <c r="E251" s="107"/>
      <c r="F251" s="107"/>
      <c r="G251" s="107"/>
      <c r="H251" s="108"/>
      <c r="I251" s="108"/>
      <c r="J251" s="98"/>
      <c r="K251" s="98"/>
      <c r="L251" s="98"/>
      <c r="M251" s="98"/>
      <c r="N251" s="98"/>
      <c r="O251" s="98"/>
      <c r="P251" s="96"/>
    </row>
    <row r="252" spans="1:16" ht="16.5" customHeight="1" x14ac:dyDescent="0.25">
      <c r="A252" s="95"/>
      <c r="B252" s="143"/>
      <c r="C252" s="144"/>
      <c r="D252" s="107"/>
      <c r="E252" s="107"/>
      <c r="F252" s="107"/>
      <c r="G252" s="107"/>
      <c r="H252" s="108"/>
      <c r="I252" s="108"/>
      <c r="J252" s="98"/>
      <c r="K252" s="98"/>
      <c r="L252" s="98"/>
      <c r="M252" s="98"/>
      <c r="N252" s="98"/>
      <c r="O252" s="98"/>
      <c r="P252" s="96"/>
    </row>
    <row r="253" spans="1:16" ht="16.5" customHeight="1" x14ac:dyDescent="0.25">
      <c r="A253" s="95"/>
      <c r="B253" s="143"/>
      <c r="C253" s="144"/>
      <c r="D253" s="107"/>
      <c r="E253" s="107"/>
      <c r="F253" s="107"/>
      <c r="G253" s="107"/>
      <c r="H253" s="108"/>
      <c r="I253" s="108"/>
      <c r="J253" s="98"/>
      <c r="K253" s="98"/>
      <c r="L253" s="98"/>
      <c r="M253" s="98"/>
      <c r="N253" s="98"/>
      <c r="O253" s="98"/>
      <c r="P253" s="96"/>
    </row>
    <row r="254" spans="1:16" ht="16.5" customHeight="1" x14ac:dyDescent="0.25">
      <c r="A254" s="95"/>
      <c r="B254" s="143"/>
      <c r="C254" s="144"/>
      <c r="D254" s="107"/>
      <c r="E254" s="107"/>
      <c r="F254" s="107"/>
      <c r="G254" s="107"/>
      <c r="H254" s="108"/>
      <c r="I254" s="108"/>
      <c r="J254" s="98"/>
      <c r="K254" s="98"/>
      <c r="L254" s="98"/>
      <c r="M254" s="98"/>
      <c r="N254" s="98"/>
      <c r="O254" s="98"/>
      <c r="P254" s="96"/>
    </row>
    <row r="255" spans="1:16" ht="15.75" customHeight="1" x14ac:dyDescent="0.25">
      <c r="A255" s="95"/>
      <c r="B255" s="58"/>
      <c r="C255" s="58"/>
      <c r="D255" s="58"/>
      <c r="E255" s="58"/>
      <c r="F255" s="58"/>
      <c r="G255" s="114"/>
      <c r="H255" s="58"/>
      <c r="I255" s="58"/>
      <c r="J255" s="98"/>
      <c r="K255" s="98"/>
      <c r="L255" s="98"/>
      <c r="M255" s="98"/>
      <c r="N255" s="98"/>
      <c r="O255" s="98"/>
      <c r="P255" s="96"/>
    </row>
    <row r="256" spans="1:16" ht="15" customHeight="1" x14ac:dyDescent="0.25">
      <c r="A256" s="95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6"/>
    </row>
    <row r="257" spans="1:16" ht="15" customHeight="1" x14ac:dyDescent="0.25">
      <c r="A257" s="103" t="s">
        <v>177</v>
      </c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6"/>
    </row>
    <row r="258" spans="1:16" ht="15.75" customHeight="1" x14ac:dyDescent="0.25">
      <c r="A258" s="95"/>
      <c r="B258" s="58" t="s">
        <v>10</v>
      </c>
      <c r="C258" s="58" t="s">
        <v>178</v>
      </c>
      <c r="D258" s="58" t="s">
        <v>172</v>
      </c>
      <c r="E258" s="58" t="s">
        <v>179</v>
      </c>
      <c r="F258" s="58" t="s">
        <v>16</v>
      </c>
      <c r="G258" s="114" t="s">
        <v>17</v>
      </c>
      <c r="H258" s="114" t="s">
        <v>175</v>
      </c>
      <c r="I258" s="58" t="s">
        <v>180</v>
      </c>
      <c r="J258" s="58" t="s">
        <v>181</v>
      </c>
      <c r="K258" s="58" t="s">
        <v>182</v>
      </c>
      <c r="L258" s="115" t="s">
        <v>183</v>
      </c>
      <c r="M258" s="115" t="s">
        <v>184</v>
      </c>
      <c r="N258" s="115" t="s">
        <v>185</v>
      </c>
      <c r="O258" s="98"/>
      <c r="P258" s="96"/>
    </row>
    <row r="259" spans="1:16" ht="16.5" customHeight="1" x14ac:dyDescent="0.25">
      <c r="A259" s="95"/>
      <c r="B259" s="116"/>
      <c r="C259" s="117"/>
      <c r="D259" s="117"/>
      <c r="E259" s="117"/>
      <c r="F259" s="117"/>
      <c r="G259" s="118"/>
      <c r="H259" s="118"/>
      <c r="I259" s="117"/>
      <c r="J259" s="116"/>
      <c r="K259" s="116"/>
      <c r="L259" s="119"/>
      <c r="M259" s="119"/>
      <c r="N259" s="120"/>
      <c r="O259" s="98"/>
      <c r="P259" s="96"/>
    </row>
    <row r="260" spans="1:16" ht="16.5" customHeight="1" x14ac:dyDescent="0.25">
      <c r="A260" s="95"/>
      <c r="B260" s="116"/>
      <c r="C260" s="117"/>
      <c r="D260" s="117"/>
      <c r="E260" s="117"/>
      <c r="F260" s="117"/>
      <c r="G260" s="118"/>
      <c r="H260" s="118"/>
      <c r="I260" s="117"/>
      <c r="J260" s="116"/>
      <c r="K260" s="116"/>
      <c r="L260" s="119"/>
      <c r="M260" s="119"/>
      <c r="N260" s="120"/>
      <c r="O260" s="98"/>
      <c r="P260" s="96"/>
    </row>
    <row r="261" spans="1:16" ht="16.5" customHeight="1" x14ac:dyDescent="0.25">
      <c r="A261" s="95"/>
      <c r="B261" s="116"/>
      <c r="C261" s="117"/>
      <c r="D261" s="117"/>
      <c r="E261" s="117"/>
      <c r="F261" s="117"/>
      <c r="G261" s="118"/>
      <c r="H261" s="118"/>
      <c r="I261" s="117"/>
      <c r="J261" s="116"/>
      <c r="K261" s="116"/>
      <c r="L261" s="119"/>
      <c r="M261" s="119"/>
      <c r="N261" s="120"/>
      <c r="O261" s="98"/>
      <c r="P261" s="96"/>
    </row>
    <row r="262" spans="1:16" ht="16.5" customHeight="1" x14ac:dyDescent="0.25">
      <c r="A262" s="95"/>
      <c r="B262" s="116"/>
      <c r="C262" s="117"/>
      <c r="D262" s="117"/>
      <c r="E262" s="117"/>
      <c r="F262" s="117"/>
      <c r="G262" s="118"/>
      <c r="H262" s="118"/>
      <c r="I262" s="117"/>
      <c r="J262" s="116"/>
      <c r="K262" s="116"/>
      <c r="L262" s="119"/>
      <c r="M262" s="119"/>
      <c r="N262" s="120"/>
      <c r="O262" s="98"/>
      <c r="P262" s="96"/>
    </row>
    <row r="263" spans="1:16" ht="16.5" customHeight="1" x14ac:dyDescent="0.25">
      <c r="A263" s="138"/>
      <c r="B263" s="116"/>
      <c r="C263" s="117"/>
      <c r="D263" s="117"/>
      <c r="E263" s="117"/>
      <c r="F263" s="117"/>
      <c r="G263" s="118"/>
      <c r="H263" s="118"/>
      <c r="I263" s="117"/>
      <c r="J263" s="116"/>
      <c r="K263" s="116"/>
      <c r="L263" s="119"/>
      <c r="M263" s="119"/>
      <c r="N263" s="120"/>
      <c r="O263" s="98"/>
      <c r="P263" s="96"/>
    </row>
    <row r="264" spans="1:16" ht="15.75" customHeight="1" x14ac:dyDescent="0.25">
      <c r="A264" s="95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6"/>
    </row>
    <row r="265" spans="1:16" ht="15" customHeight="1" x14ac:dyDescent="0.25">
      <c r="A265" s="103" t="s">
        <v>186</v>
      </c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6"/>
    </row>
    <row r="266" spans="1:16" ht="15.75" customHeight="1" x14ac:dyDescent="0.25">
      <c r="A266" s="95"/>
      <c r="B266" s="58" t="s">
        <v>10</v>
      </c>
      <c r="C266" s="58" t="s">
        <v>187</v>
      </c>
      <c r="D266" s="58" t="s">
        <v>188</v>
      </c>
      <c r="E266" s="58" t="s">
        <v>135</v>
      </c>
      <c r="F266" s="58" t="s">
        <v>189</v>
      </c>
      <c r="G266" s="58" t="s">
        <v>190</v>
      </c>
      <c r="H266" s="58" t="s">
        <v>191</v>
      </c>
      <c r="I266" s="58" t="s">
        <v>16</v>
      </c>
      <c r="J266" s="114" t="s">
        <v>17</v>
      </c>
      <c r="K266" s="114" t="s">
        <v>175</v>
      </c>
      <c r="L266" s="98"/>
      <c r="M266" s="98"/>
      <c r="N266" s="98"/>
      <c r="O266" s="98"/>
      <c r="P266" s="96"/>
    </row>
    <row r="267" spans="1:16" ht="16.5" customHeight="1" x14ac:dyDescent="0.25">
      <c r="A267" s="95"/>
      <c r="B267" s="121" t="s">
        <v>228</v>
      </c>
      <c r="C267" s="122" t="e">
        <f>IF(VLOOKUP(B267,'Gebouwgegevens Allacker'!$J$5:$Q$83,2,0)=$B$237,VLOOKUP(B267,'Gebouwgegevens Allacker'!$J$5:$Q$83,2,0),VLOOKUP(B267,'Gebouwgegevens Allacker'!$J$5:$Q$83,3,0))</f>
        <v>#N/A</v>
      </c>
      <c r="D267" s="122" t="e">
        <f>IF(VLOOKUP(B267,'Gebouwgegevens Allacker'!$J$5:$Q$83,2,0)=$B$237,VLOOKUP(B267,'Gebouwgegevens Allacker'!$J$5:$Q$83,3,0),VLOOKUP(B267,'Gebouwgegevens Allacker'!$J$5:$Q$83,2,0))</f>
        <v>#N/A</v>
      </c>
      <c r="E267" s="122" t="e">
        <f>VLOOKUP(B267,'Gebouwgegevens Allacker'!$J$5:$Q$83,4,0)</f>
        <v>#N/A</v>
      </c>
      <c r="F267" s="122" t="e">
        <f>VLOOKUP(B267,'Gebouwgegevens Allacker'!$J$5:$Q$83,5,0)</f>
        <v>#N/A</v>
      </c>
      <c r="G267" s="122" t="e">
        <f>VLOOKUP('Verwarming Tabula'!C267,'Gebouwgegevens Allacker'!$A$35:$F$46,5,0)</f>
        <v>#N/A</v>
      </c>
      <c r="H267" s="122" t="e">
        <f>VLOOKUP('Verwarming Tabula'!D267,'Gebouwgegevens Allacker'!$A$35:$F$46,5,0)</f>
        <v>#N/A</v>
      </c>
      <c r="I267" s="122" t="e">
        <f>VLOOKUP(B267,'Gebouwgegevens Allacker'!$J$5:$Q$83,7,0)</f>
        <v>#N/A</v>
      </c>
      <c r="J267" s="118" t="e">
        <f>VLOOKUP(B267,'Gebouwgegevens Allacker'!$J$5:$Q$83,8,0)</f>
        <v>#N/A</v>
      </c>
      <c r="K267" s="118" t="e">
        <f>(G267-H267)/(G267-$B$4)</f>
        <v>#N/A</v>
      </c>
      <c r="L267" s="98"/>
      <c r="M267" s="98"/>
      <c r="N267" s="98"/>
      <c r="O267" s="98"/>
      <c r="P267" s="96"/>
    </row>
    <row r="268" spans="1:16" ht="16.5" customHeight="1" x14ac:dyDescent="0.25">
      <c r="A268" s="95"/>
      <c r="B268" s="121" t="s">
        <v>229</v>
      </c>
      <c r="C268" s="122" t="e">
        <f>IF(VLOOKUP(B268,'Gebouwgegevens Allacker'!$J$5:$Q$83,2,0)=$B$237,VLOOKUP(B268,'Gebouwgegevens Allacker'!$J$5:$Q$83,2,0),VLOOKUP(B268,'Gebouwgegevens Allacker'!$J$5:$Q$83,3,0))</f>
        <v>#N/A</v>
      </c>
      <c r="D268" s="122" t="e">
        <f>IF(VLOOKUP(B268,'Gebouwgegevens Allacker'!$J$5:$Q$83,2,0)=$B$237,VLOOKUP(B268,'Gebouwgegevens Allacker'!$J$5:$Q$83,3,0),VLOOKUP(B268,'Gebouwgegevens Allacker'!$J$5:$Q$83,2,0))</f>
        <v>#N/A</v>
      </c>
      <c r="E268" s="122" t="e">
        <f>VLOOKUP(B268,'Gebouwgegevens Allacker'!$J$5:$Q$83,4,0)</f>
        <v>#N/A</v>
      </c>
      <c r="F268" s="122" t="e">
        <f>VLOOKUP(B268,'Gebouwgegevens Allacker'!$J$5:$Q$83,5,0)</f>
        <v>#N/A</v>
      </c>
      <c r="G268" s="122" t="e">
        <f>VLOOKUP('Verwarming Tabula'!C268,'Gebouwgegevens Allacker'!$A$35:$F$46,5,0)</f>
        <v>#N/A</v>
      </c>
      <c r="H268" s="122" t="e">
        <f>VLOOKUP('Verwarming Tabula'!D268,'Gebouwgegevens Allacker'!$A$35:$F$46,5,0)</f>
        <v>#N/A</v>
      </c>
      <c r="I268" s="122" t="e">
        <f>VLOOKUP(B268,'Gebouwgegevens Allacker'!$J$5:$Q$83,7,0)</f>
        <v>#N/A</v>
      </c>
      <c r="J268" s="118" t="e">
        <f>VLOOKUP(B268,'Gebouwgegevens Allacker'!$J$5:$Q$83,8,0)</f>
        <v>#N/A</v>
      </c>
      <c r="K268" s="118" t="e">
        <f>(G268-H268)/(G268-$B$4)</f>
        <v>#N/A</v>
      </c>
      <c r="L268" s="98"/>
      <c r="M268" s="98"/>
      <c r="N268" s="98"/>
      <c r="O268" s="98"/>
      <c r="P268" s="96"/>
    </row>
    <row r="269" spans="1:16" ht="16.5" customHeight="1" x14ac:dyDescent="0.25">
      <c r="A269" s="95"/>
      <c r="B269" s="121" t="s">
        <v>230</v>
      </c>
      <c r="C269" s="122" t="e">
        <f>IF(VLOOKUP(B269,'Gebouwgegevens Allacker'!$J$5:$Q$83,2,0)=$B$237,VLOOKUP(B269,'Gebouwgegevens Allacker'!$J$5:$Q$83,2,0),VLOOKUP(B269,'Gebouwgegevens Allacker'!$J$5:$Q$83,3,0))</f>
        <v>#N/A</v>
      </c>
      <c r="D269" s="122" t="e">
        <f>IF(VLOOKUP(B269,'Gebouwgegevens Allacker'!$J$5:$Q$83,2,0)=$B$237,VLOOKUP(B269,'Gebouwgegevens Allacker'!$J$5:$Q$83,3,0),VLOOKUP(B269,'Gebouwgegevens Allacker'!$J$5:$Q$83,2,0))</f>
        <v>#N/A</v>
      </c>
      <c r="E269" s="122" t="e">
        <f>VLOOKUP(B269,'Gebouwgegevens Allacker'!$J$5:$Q$83,4,0)</f>
        <v>#N/A</v>
      </c>
      <c r="F269" s="122" t="e">
        <f>VLOOKUP(B269,'Gebouwgegevens Allacker'!$J$5:$Q$83,5,0)</f>
        <v>#N/A</v>
      </c>
      <c r="G269" s="122" t="e">
        <f>VLOOKUP('Verwarming Tabula'!C269,'Gebouwgegevens Allacker'!$A$35:$F$46,5,0)</f>
        <v>#N/A</v>
      </c>
      <c r="H269" s="122" t="e">
        <f>VLOOKUP('Verwarming Tabula'!D269,'Gebouwgegevens Allacker'!$A$35:$F$46,5,0)</f>
        <v>#N/A</v>
      </c>
      <c r="I269" s="122" t="e">
        <f>VLOOKUP(B269,'Gebouwgegevens Allacker'!$J$5:$Q$83,7,0)</f>
        <v>#N/A</v>
      </c>
      <c r="J269" s="118" t="e">
        <f>VLOOKUP(B269,'Gebouwgegevens Allacker'!$J$5:$Q$83,8,0)</f>
        <v>#N/A</v>
      </c>
      <c r="K269" s="118" t="e">
        <f>(G269-H269)/(G269-$B$4)</f>
        <v>#N/A</v>
      </c>
      <c r="L269" s="98"/>
      <c r="M269" s="98"/>
      <c r="N269" s="98"/>
      <c r="O269" s="98"/>
      <c r="P269" s="96"/>
    </row>
    <row r="270" spans="1:16" ht="16.5" customHeight="1" x14ac:dyDescent="0.25">
      <c r="A270" s="95"/>
      <c r="B270" s="92" t="s">
        <v>231</v>
      </c>
      <c r="C270" s="122" t="e">
        <f>IF(VLOOKUP(B270,'Gebouwgegevens Allacker'!$J$5:$Q$83,2,0)=$B$237,VLOOKUP(B270,'Gebouwgegevens Allacker'!$J$5:$Q$83,2,0),VLOOKUP(B270,'Gebouwgegevens Allacker'!$J$5:$Q$83,3,0))</f>
        <v>#N/A</v>
      </c>
      <c r="D270" s="122" t="e">
        <f>IF(VLOOKUP(B270,'Gebouwgegevens Allacker'!$J$5:$Q$83,2,0)=$B$237,VLOOKUP(B270,'Gebouwgegevens Allacker'!$J$5:$Q$83,3,0),VLOOKUP(B270,'Gebouwgegevens Allacker'!$J$5:$Q$83,2,0))</f>
        <v>#N/A</v>
      </c>
      <c r="E270" s="122" t="e">
        <f>VLOOKUP(B270,'Gebouwgegevens Allacker'!$J$5:$Q$83,4,0)</f>
        <v>#N/A</v>
      </c>
      <c r="F270" s="122" t="e">
        <f>VLOOKUP(B270,'Gebouwgegevens Allacker'!$J$5:$Q$83,5,0)</f>
        <v>#N/A</v>
      </c>
      <c r="G270" s="122" t="e">
        <f>VLOOKUP('Verwarming Tabula'!C270,'Gebouwgegevens Allacker'!$A$35:$F$46,5,0)</f>
        <v>#N/A</v>
      </c>
      <c r="H270" s="122" t="e">
        <f>VLOOKUP('Verwarming Tabula'!D270,'Gebouwgegevens Allacker'!$A$35:$F$46,5,0)</f>
        <v>#N/A</v>
      </c>
      <c r="I270" s="122" t="e">
        <f>VLOOKUP(B270,'Gebouwgegevens Allacker'!$J$5:$Q$83,7,0)</f>
        <v>#N/A</v>
      </c>
      <c r="J270" s="118" t="e">
        <f>VLOOKUP(B270,'Gebouwgegevens Allacker'!$J$5:$Q$83,8,0)</f>
        <v>#N/A</v>
      </c>
      <c r="K270" s="118" t="e">
        <f>(G270-H270)/(G270-$B$4)</f>
        <v>#N/A</v>
      </c>
      <c r="L270" s="98"/>
      <c r="M270" s="98"/>
      <c r="N270" s="98"/>
      <c r="O270" s="98"/>
      <c r="P270" s="96"/>
    </row>
    <row r="271" spans="1:16" ht="16.5" customHeight="1" x14ac:dyDescent="0.25">
      <c r="A271" s="95"/>
      <c r="B271" s="123"/>
      <c r="C271" s="139"/>
      <c r="D271" s="122"/>
      <c r="E271" s="122"/>
      <c r="F271" s="122"/>
      <c r="G271" s="122"/>
      <c r="H271" s="122"/>
      <c r="I271" s="122"/>
      <c r="J271" s="118"/>
      <c r="K271" s="118"/>
      <c r="L271" s="98"/>
      <c r="M271" s="98"/>
      <c r="N271" s="98"/>
      <c r="O271" s="98"/>
      <c r="P271" s="96"/>
    </row>
    <row r="272" spans="1:16" ht="16.5" customHeight="1" x14ac:dyDescent="0.25">
      <c r="A272" s="95"/>
      <c r="B272" s="123"/>
      <c r="C272" s="139"/>
      <c r="D272" s="122"/>
      <c r="E272" s="122"/>
      <c r="F272" s="122"/>
      <c r="G272" s="122"/>
      <c r="H272" s="122"/>
      <c r="I272" s="122"/>
      <c r="J272" s="118"/>
      <c r="K272" s="118"/>
      <c r="L272" s="98"/>
      <c r="M272" s="98"/>
      <c r="N272" s="98"/>
      <c r="O272" s="98"/>
      <c r="P272" s="96"/>
    </row>
    <row r="273" spans="1:16" ht="16.5" customHeight="1" x14ac:dyDescent="0.25">
      <c r="A273" s="95"/>
      <c r="B273" s="123"/>
      <c r="C273" s="139"/>
      <c r="D273" s="122"/>
      <c r="E273" s="122"/>
      <c r="F273" s="122"/>
      <c r="G273" s="122"/>
      <c r="H273" s="122"/>
      <c r="I273" s="122"/>
      <c r="J273" s="118"/>
      <c r="K273" s="118"/>
      <c r="L273" s="98"/>
      <c r="M273" s="98"/>
      <c r="N273" s="98"/>
      <c r="O273" s="98"/>
      <c r="P273" s="96"/>
    </row>
    <row r="274" spans="1:16" ht="16.5" customHeight="1" x14ac:dyDescent="0.25">
      <c r="A274" s="95"/>
      <c r="B274" s="123"/>
      <c r="C274" s="139"/>
      <c r="D274" s="122"/>
      <c r="E274" s="122"/>
      <c r="F274" s="122"/>
      <c r="G274" s="122"/>
      <c r="H274" s="122"/>
      <c r="I274" s="122"/>
      <c r="J274" s="118"/>
      <c r="K274" s="118"/>
      <c r="L274" s="98"/>
      <c r="M274" s="98"/>
      <c r="N274" s="98"/>
      <c r="O274" s="98"/>
      <c r="P274" s="96"/>
    </row>
    <row r="275" spans="1:16" ht="16.5" customHeight="1" x14ac:dyDescent="0.25">
      <c r="A275" s="95"/>
      <c r="B275" s="123"/>
      <c r="C275" s="139"/>
      <c r="D275" s="122"/>
      <c r="E275" s="122"/>
      <c r="F275" s="122"/>
      <c r="G275" s="122"/>
      <c r="H275" s="122"/>
      <c r="I275" s="122"/>
      <c r="J275" s="118"/>
      <c r="K275" s="118"/>
      <c r="L275" s="98"/>
      <c r="M275" s="98"/>
      <c r="N275" s="98"/>
      <c r="O275" s="98"/>
      <c r="P275" s="96"/>
    </row>
    <row r="276" spans="1:16" ht="16.5" customHeight="1" x14ac:dyDescent="0.25">
      <c r="A276" s="95"/>
      <c r="B276" s="123"/>
      <c r="C276" s="139"/>
      <c r="D276" s="122"/>
      <c r="E276" s="122"/>
      <c r="F276" s="122"/>
      <c r="G276" s="122"/>
      <c r="H276" s="122"/>
      <c r="I276" s="122"/>
      <c r="J276" s="118"/>
      <c r="K276" s="118"/>
      <c r="L276" s="98"/>
      <c r="M276" s="98"/>
      <c r="N276" s="98"/>
      <c r="O276" s="98"/>
      <c r="P276" s="96"/>
    </row>
    <row r="277" spans="1:16" ht="15.75" customHeight="1" x14ac:dyDescent="0.25">
      <c r="A277" s="95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8"/>
      <c r="M277" s="98"/>
      <c r="N277" s="98"/>
      <c r="O277" s="98"/>
      <c r="P277" s="96"/>
    </row>
    <row r="278" spans="1:16" ht="15" customHeight="1" x14ac:dyDescent="0.25">
      <c r="A278" s="95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6"/>
    </row>
    <row r="279" spans="1:16" ht="15.75" customHeight="1" x14ac:dyDescent="0.25">
      <c r="A279" s="103" t="s">
        <v>192</v>
      </c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6"/>
    </row>
    <row r="280" spans="1:16" ht="16.5" customHeight="1" x14ac:dyDescent="0.25">
      <c r="A280" s="124" t="s">
        <v>193</v>
      </c>
      <c r="B280" s="118" t="e">
        <f>SUMPRODUCT(H243:H254,I243:I254)+SUMPRODUCT(G259:G263,H259:H263)+SUMPRODUCT(J267:J276,K267:K276)</f>
        <v>#N/A</v>
      </c>
      <c r="C280" s="118" t="s">
        <v>107</v>
      </c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6"/>
    </row>
    <row r="281" spans="1:16" ht="16.5" customHeight="1" x14ac:dyDescent="0.25">
      <c r="A281" s="124" t="s">
        <v>167</v>
      </c>
      <c r="B281" s="118" t="e">
        <f>B280*(G267-$B$4)</f>
        <v>#N/A</v>
      </c>
      <c r="C281" s="118" t="s">
        <v>169</v>
      </c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6"/>
    </row>
    <row r="282" spans="1:16" ht="15.75" customHeight="1" x14ac:dyDescent="0.25">
      <c r="A282" s="109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1"/>
    </row>
    <row r="283" spans="1:16" ht="15.75" customHeight="1" x14ac:dyDescent="0.25">
      <c r="A283" s="343" t="s">
        <v>194</v>
      </c>
      <c r="B283" s="343"/>
      <c r="C283" s="343"/>
      <c r="D283" s="125" t="s">
        <v>222</v>
      </c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94"/>
    </row>
    <row r="284" spans="1:16" ht="15" customHeight="1" x14ac:dyDescent="0.25">
      <c r="A284" s="95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6"/>
    </row>
    <row r="285" spans="1:16" ht="15" customHeight="1" x14ac:dyDescent="0.25">
      <c r="A285" s="126" t="s">
        <v>195</v>
      </c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6"/>
    </row>
    <row r="286" spans="1:16" ht="15" customHeight="1" x14ac:dyDescent="0.25">
      <c r="A286" s="127" t="s">
        <v>196</v>
      </c>
      <c r="B286" s="121">
        <v>8</v>
      </c>
      <c r="C286" s="120" t="s">
        <v>197</v>
      </c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6"/>
    </row>
    <row r="287" spans="1:16" ht="15" customHeight="1" x14ac:dyDescent="0.25">
      <c r="A287" s="127" t="s">
        <v>198</v>
      </c>
      <c r="B287" s="121">
        <v>0.03</v>
      </c>
      <c r="C287" s="120" t="s">
        <v>199</v>
      </c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6"/>
    </row>
    <row r="288" spans="1:16" ht="15.75" customHeight="1" x14ac:dyDescent="0.25">
      <c r="A288" s="127" t="s">
        <v>200</v>
      </c>
      <c r="B288" s="121">
        <v>1</v>
      </c>
      <c r="C288" s="120" t="s">
        <v>201</v>
      </c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6"/>
    </row>
    <row r="289" spans="1:16" ht="16.5" customHeight="1" x14ac:dyDescent="0.25">
      <c r="A289" s="124" t="s">
        <v>202</v>
      </c>
      <c r="B289" s="118" t="e">
        <f>2*VLOOKUP(B237,'Gebouwgegevens Allacker'!$A$35:$F$46,6,0)*B286*B287*B288</f>
        <v>#N/A</v>
      </c>
      <c r="C289" s="118" t="s">
        <v>203</v>
      </c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6"/>
    </row>
    <row r="290" spans="1:16" ht="15.75" customHeight="1" x14ac:dyDescent="0.25">
      <c r="A290" s="95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6"/>
    </row>
    <row r="291" spans="1:16" ht="15" customHeight="1" x14ac:dyDescent="0.25">
      <c r="A291" s="126" t="s">
        <v>204</v>
      </c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6"/>
    </row>
    <row r="292" spans="1:16" ht="15.75" customHeight="1" x14ac:dyDescent="0.25">
      <c r="A292" s="95" t="s">
        <v>180</v>
      </c>
      <c r="B292" s="98" t="e">
        <f>VLOOKUP(B237,'Gebouwgegevens Allacker'!$A$35:$F$46,6,0)</f>
        <v>#N/A</v>
      </c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6"/>
    </row>
    <row r="293" spans="1:16" ht="16.5" customHeight="1" x14ac:dyDescent="0.25">
      <c r="A293" s="124" t="s">
        <v>205</v>
      </c>
      <c r="B293" s="128">
        <v>50</v>
      </c>
      <c r="C293" s="118" t="s">
        <v>203</v>
      </c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6"/>
    </row>
    <row r="294" spans="1:16" ht="15.75" customHeight="1" x14ac:dyDescent="0.25">
      <c r="A294" s="95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6"/>
    </row>
    <row r="295" spans="1:16" ht="15.75" customHeight="1" x14ac:dyDescent="0.25">
      <c r="A295" s="95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6"/>
    </row>
    <row r="296" spans="1:16" ht="16.5" customHeight="1" x14ac:dyDescent="0.25">
      <c r="A296" s="124" t="s">
        <v>207</v>
      </c>
      <c r="B296" s="118" t="e">
        <f>MAX(B289,B293)</f>
        <v>#N/A</v>
      </c>
      <c r="C296" s="118" t="s">
        <v>203</v>
      </c>
      <c r="D296" s="98"/>
      <c r="E296" s="98"/>
      <c r="F296" s="118" t="s">
        <v>208</v>
      </c>
      <c r="G296" s="118" t="e">
        <f>B296/VLOOKUP(B237,'Gebouwgegevens Allacker'!$A$35:$B$46,2,0)</f>
        <v>#N/A</v>
      </c>
      <c r="H296" s="98"/>
      <c r="I296" s="98"/>
      <c r="J296" s="98"/>
      <c r="K296" s="98"/>
      <c r="L296" s="98"/>
      <c r="M296" s="98"/>
      <c r="N296" s="98"/>
      <c r="O296" s="98"/>
      <c r="P296" s="96"/>
    </row>
    <row r="297" spans="1:16" ht="16.5" customHeight="1" x14ac:dyDescent="0.25">
      <c r="A297" s="95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6"/>
    </row>
    <row r="298" spans="1:16" ht="16.5" customHeight="1" x14ac:dyDescent="0.25">
      <c r="A298" s="124" t="s">
        <v>209</v>
      </c>
      <c r="B298" s="118" t="e">
        <f>0.34*B296</f>
        <v>#N/A</v>
      </c>
      <c r="C298" s="118" t="s">
        <v>107</v>
      </c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6"/>
    </row>
    <row r="299" spans="1:16" ht="16.5" customHeight="1" x14ac:dyDescent="0.25">
      <c r="A299" s="124" t="s">
        <v>167</v>
      </c>
      <c r="B299" s="118" t="e">
        <f>B298*('Gebouwgegevens Allacker'!E259-$B$4)</f>
        <v>#N/A</v>
      </c>
      <c r="C299" s="118" t="s">
        <v>169</v>
      </c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6"/>
    </row>
    <row r="300" spans="1:16" ht="15.75" customHeight="1" x14ac:dyDescent="0.25">
      <c r="A300" s="109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1"/>
    </row>
    <row r="301" spans="1:16" ht="15.75" customHeight="1" x14ac:dyDescent="0.25">
      <c r="A301" s="343" t="s">
        <v>210</v>
      </c>
      <c r="B301" s="343"/>
      <c r="C301" s="343"/>
      <c r="D301" s="343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6"/>
    </row>
    <row r="302" spans="1:16" ht="15" customHeight="1" x14ac:dyDescent="0.25">
      <c r="A302" s="95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6"/>
    </row>
    <row r="303" spans="1:16" ht="15" customHeight="1" x14ac:dyDescent="0.25">
      <c r="A303" s="127" t="s">
        <v>211</v>
      </c>
      <c r="B303" s="121">
        <v>90</v>
      </c>
      <c r="C303" s="58" t="s">
        <v>232</v>
      </c>
      <c r="D303" s="5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6"/>
    </row>
    <row r="304" spans="1:16" ht="15.75" customHeight="1" x14ac:dyDescent="0.25">
      <c r="A304" s="3" t="s">
        <v>113</v>
      </c>
      <c r="B304" s="58" t="e">
        <f>VLOOKUP(B237,'Gebouwgegevens Allacker'!$A$35:$F$46,6,0)</f>
        <v>#N/A</v>
      </c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6"/>
    </row>
    <row r="305" spans="1:16" ht="16.5" customHeight="1" x14ac:dyDescent="0.25">
      <c r="A305" s="124" t="s">
        <v>213</v>
      </c>
      <c r="B305" s="118" t="e">
        <f>B306/('Gebouwgegevens Allacker'!E259-'Verwarming Tabula'!$B$4)</f>
        <v>#N/A</v>
      </c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6"/>
    </row>
    <row r="306" spans="1:16" ht="16.5" customHeight="1" x14ac:dyDescent="0.25">
      <c r="A306" s="124" t="s">
        <v>167</v>
      </c>
      <c r="B306" s="118" t="e">
        <f>B303*B304</f>
        <v>#N/A</v>
      </c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6"/>
    </row>
    <row r="307" spans="1:16" ht="15.75" customHeight="1" x14ac:dyDescent="0.25">
      <c r="A307" s="95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6"/>
    </row>
    <row r="308" spans="1:16" ht="15.75" customHeight="1" x14ac:dyDescent="0.25">
      <c r="A308" s="95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6"/>
    </row>
    <row r="309" spans="1:16" ht="15.75" customHeight="1" x14ac:dyDescent="0.25">
      <c r="A309" s="129" t="s">
        <v>214</v>
      </c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1"/>
    </row>
    <row r="310" spans="1:16" ht="16.5" customHeight="1" x14ac:dyDescent="0.25">
      <c r="A310" s="124" t="s">
        <v>215</v>
      </c>
      <c r="B310" s="118" t="e">
        <f>SUM(B280,B298,B305)</f>
        <v>#N/A</v>
      </c>
      <c r="C310" s="118" t="s">
        <v>107</v>
      </c>
      <c r="D310" s="132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3"/>
    </row>
    <row r="311" spans="1:16" ht="16.5" customHeight="1" x14ac:dyDescent="0.25">
      <c r="A311" s="124" t="s">
        <v>167</v>
      </c>
      <c r="B311" s="118" t="e">
        <f>SUM(B281,B299,B306)</f>
        <v>#N/A</v>
      </c>
      <c r="C311" s="118" t="s">
        <v>169</v>
      </c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3"/>
    </row>
    <row r="312" spans="1:16" ht="16.5" customHeight="1" x14ac:dyDescent="0.25">
      <c r="A312" s="134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6"/>
    </row>
    <row r="313" spans="1:16" ht="15" customHeight="1" x14ac:dyDescent="0.25">
      <c r="A313" s="137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</row>
    <row r="314" spans="1:16" ht="15.75" customHeight="1" x14ac:dyDescent="0.25">
      <c r="A314" s="137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</row>
    <row r="315" spans="1:16" ht="15" customHeight="1" x14ac:dyDescent="0.25">
      <c r="A315" s="93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94"/>
    </row>
    <row r="316" spans="1:16" ht="17.25" customHeight="1" x14ac:dyDescent="0.3">
      <c r="A316" s="97" t="s">
        <v>166</v>
      </c>
      <c r="B316" s="92">
        <v>5</v>
      </c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6"/>
    </row>
    <row r="317" spans="1:16" ht="15.75" customHeight="1" x14ac:dyDescent="0.25">
      <c r="A317" s="343" t="s">
        <v>168</v>
      </c>
      <c r="B317" s="343"/>
      <c r="C317" s="343"/>
      <c r="D317" s="343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94"/>
    </row>
    <row r="318" spans="1:16" ht="15" customHeight="1" x14ac:dyDescent="0.25">
      <c r="A318" s="95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6"/>
    </row>
    <row r="319" spans="1:16" ht="15" customHeight="1" x14ac:dyDescent="0.25">
      <c r="A319" s="103" t="s">
        <v>170</v>
      </c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6"/>
    </row>
    <row r="320" spans="1:16" ht="15" customHeight="1" x14ac:dyDescent="0.25">
      <c r="A320" s="95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6"/>
    </row>
    <row r="321" spans="1:16" ht="15.75" customHeight="1" x14ac:dyDescent="0.25">
      <c r="A321" s="95"/>
      <c r="B321" s="104" t="s">
        <v>10</v>
      </c>
      <c r="C321" s="104" t="s">
        <v>171</v>
      </c>
      <c r="D321" s="104" t="s">
        <v>172</v>
      </c>
      <c r="E321" s="104" t="s">
        <v>173</v>
      </c>
      <c r="F321" s="104" t="s">
        <v>174</v>
      </c>
      <c r="G321" s="104" t="s">
        <v>16</v>
      </c>
      <c r="H321" s="105" t="s">
        <v>17</v>
      </c>
      <c r="I321" s="105" t="s">
        <v>175</v>
      </c>
      <c r="J321" s="98"/>
      <c r="K321" s="98"/>
      <c r="L321" s="98"/>
      <c r="M321" s="98"/>
      <c r="N321" s="98"/>
      <c r="O321" s="98"/>
      <c r="P321" s="96"/>
    </row>
    <row r="322" spans="1:16" ht="16.5" customHeight="1" x14ac:dyDescent="0.25">
      <c r="A322" s="95"/>
      <c r="B322" s="106" t="s">
        <v>84</v>
      </c>
      <c r="C322" s="107">
        <f>VLOOKUP(B322,'Gebouwgegevens Allacker'!$J$5:$Q$83,3,0)</f>
        <v>3</v>
      </c>
      <c r="D322" s="107" t="str">
        <f>VLOOKUP(B322,'Gebouwgegevens Allacker'!$J$5:$Q$83,4,0)</f>
        <v>Window</v>
      </c>
      <c r="E322" s="107">
        <f>VLOOKUP(B322,'Gebouwgegevens Allacker'!$J$5:$Q$83,5,0)</f>
        <v>0</v>
      </c>
      <c r="F322" s="107" t="str">
        <f>VLOOKUP(B322,'Gebouwgegevens Allacker'!$J$5:$Q$83,6,0)</f>
        <v>front</v>
      </c>
      <c r="G322" s="107">
        <f>VLOOKUP(B322,'Gebouwgegevens Allacker'!$J$5:$Q$83,7,0)</f>
        <v>5</v>
      </c>
      <c r="H322" s="108">
        <f>VLOOKUP(B322,'Gebouwgegevens Allacker'!$J$5:$Q$83,8,0)</f>
        <v>0</v>
      </c>
      <c r="I322" s="108">
        <v>1</v>
      </c>
      <c r="J322" s="98"/>
      <c r="K322" s="98"/>
      <c r="L322" s="98"/>
      <c r="M322" s="98"/>
      <c r="N322" s="98"/>
      <c r="O322" s="98"/>
      <c r="P322" s="96"/>
    </row>
    <row r="323" spans="1:16" ht="16.5" customHeight="1" x14ac:dyDescent="0.25">
      <c r="A323" s="95"/>
      <c r="B323" s="106" t="s">
        <v>87</v>
      </c>
      <c r="C323" s="107">
        <f>VLOOKUP(B323,'Gebouwgegevens Allacker'!$J$5:$Q$83,3,0)</f>
        <v>3</v>
      </c>
      <c r="D323" s="107" t="str">
        <f>VLOOKUP(B323,'Gebouwgegevens Allacker'!$J$5:$Q$83,4,0)</f>
        <v>Window</v>
      </c>
      <c r="E323" s="107">
        <f>VLOOKUP(B323,'Gebouwgegevens Allacker'!$J$5:$Q$83,5,0)</f>
        <v>2</v>
      </c>
      <c r="F323" s="107" t="str">
        <f>VLOOKUP(B323,'Gebouwgegevens Allacker'!$J$5:$Q$83,6,0)</f>
        <v>right</v>
      </c>
      <c r="G323" s="107">
        <f>VLOOKUP(B323,'Gebouwgegevens Allacker'!$J$5:$Q$83,7,0)</f>
        <v>5</v>
      </c>
      <c r="H323" s="108">
        <f>VLOOKUP(B323,'Gebouwgegevens Allacker'!$J$5:$Q$83,8,0)</f>
        <v>10</v>
      </c>
      <c r="I323" s="108">
        <v>1</v>
      </c>
      <c r="J323" s="98"/>
      <c r="K323" s="98"/>
      <c r="L323" s="98"/>
      <c r="M323" s="98"/>
      <c r="N323" s="98"/>
      <c r="O323" s="98"/>
      <c r="P323" s="96"/>
    </row>
    <row r="324" spans="1:16" ht="16.5" customHeight="1" x14ac:dyDescent="0.25">
      <c r="A324" s="95"/>
      <c r="B324" s="106" t="s">
        <v>89</v>
      </c>
      <c r="C324" s="107">
        <f>VLOOKUP(B324,'Gebouwgegevens Allacker'!$J$5:$Q$83,3,0)</f>
        <v>3</v>
      </c>
      <c r="D324" s="107" t="str">
        <f>VLOOKUP(B324,'Gebouwgegevens Allacker'!$J$5:$Q$83,4,0)</f>
        <v>Window</v>
      </c>
      <c r="E324" s="107">
        <f>VLOOKUP(B324,'Gebouwgegevens Allacker'!$J$5:$Q$83,5,0)</f>
        <v>0</v>
      </c>
      <c r="F324" s="107" t="str">
        <f>VLOOKUP(B324,'Gebouwgegevens Allacker'!$J$5:$Q$83,6,0)</f>
        <v>back</v>
      </c>
      <c r="G324" s="107">
        <f>VLOOKUP(B324,'Gebouwgegevens Allacker'!$J$5:$Q$83,7,0)</f>
        <v>5</v>
      </c>
      <c r="H324" s="108">
        <f>VLOOKUP(B324,'Gebouwgegevens Allacker'!$J$5:$Q$83,8,0)</f>
        <v>0</v>
      </c>
      <c r="I324" s="108">
        <v>1</v>
      </c>
      <c r="J324" s="98"/>
      <c r="K324" s="98"/>
      <c r="L324" s="98"/>
      <c r="M324" s="98"/>
      <c r="N324" s="98"/>
      <c r="O324" s="98"/>
      <c r="P324" s="96"/>
    </row>
    <row r="325" spans="1:16" ht="16.5" customHeight="1" x14ac:dyDescent="0.25">
      <c r="A325" s="95"/>
      <c r="B325" s="106" t="s">
        <v>92</v>
      </c>
      <c r="C325" s="107">
        <f>VLOOKUP(B325,'Gebouwgegevens Allacker'!$J$5:$Q$83,3,0)</f>
        <v>3</v>
      </c>
      <c r="D325" s="107" t="str">
        <f>VLOOKUP(B325,'Gebouwgegevens Allacker'!$J$5:$Q$83,4,0)</f>
        <v>Window</v>
      </c>
      <c r="E325" s="107">
        <f>VLOOKUP(B325,'Gebouwgegevens Allacker'!$J$5:$Q$83,5,0)</f>
        <v>0</v>
      </c>
      <c r="F325" s="107" t="str">
        <f>VLOOKUP(B325,'Gebouwgegevens Allacker'!$J$5:$Q$83,6,0)</f>
        <v>left</v>
      </c>
      <c r="G325" s="107">
        <f>VLOOKUP(B325,'Gebouwgegevens Allacker'!$J$5:$Q$83,7,0)</f>
        <v>5</v>
      </c>
      <c r="H325" s="108">
        <f>VLOOKUP(B325,'Gebouwgegevens Allacker'!$J$5:$Q$83,8,0)</f>
        <v>0</v>
      </c>
      <c r="I325" s="108">
        <v>1</v>
      </c>
      <c r="J325" s="98"/>
      <c r="K325" s="98"/>
      <c r="L325" s="98"/>
      <c r="M325" s="98"/>
      <c r="N325" s="98"/>
      <c r="O325" s="98"/>
      <c r="P325" s="96"/>
    </row>
    <row r="326" spans="1:16" ht="16.5" customHeight="1" x14ac:dyDescent="0.25">
      <c r="A326" s="95"/>
      <c r="B326" s="106"/>
      <c r="C326" s="107"/>
      <c r="D326" s="107"/>
      <c r="E326" s="107"/>
      <c r="F326" s="107"/>
      <c r="G326" s="107"/>
      <c r="H326" s="108"/>
      <c r="I326" s="108"/>
      <c r="J326" s="98"/>
      <c r="K326" s="98"/>
      <c r="L326" s="98"/>
      <c r="M326" s="98"/>
      <c r="N326" s="98"/>
      <c r="O326" s="98"/>
      <c r="P326" s="96"/>
    </row>
    <row r="327" spans="1:16" ht="16.5" customHeight="1" x14ac:dyDescent="0.25">
      <c r="A327" s="95"/>
      <c r="B327" s="106"/>
      <c r="C327" s="107"/>
      <c r="D327" s="107"/>
      <c r="E327" s="107"/>
      <c r="F327" s="107"/>
      <c r="G327" s="107"/>
      <c r="H327" s="108"/>
      <c r="I327" s="108"/>
      <c r="J327" s="98"/>
      <c r="K327" s="98"/>
      <c r="L327" s="98"/>
      <c r="M327" s="98"/>
      <c r="N327" s="98"/>
      <c r="O327" s="98"/>
      <c r="P327" s="96"/>
    </row>
    <row r="328" spans="1:16" ht="16.5" customHeight="1" x14ac:dyDescent="0.25">
      <c r="A328" s="95"/>
      <c r="B328" s="106"/>
      <c r="C328" s="107"/>
      <c r="D328" s="107"/>
      <c r="E328" s="107"/>
      <c r="F328" s="107"/>
      <c r="G328" s="107"/>
      <c r="H328" s="108"/>
      <c r="I328" s="108"/>
      <c r="J328" s="98"/>
      <c r="K328" s="98"/>
      <c r="L328" s="98"/>
      <c r="M328" s="98"/>
      <c r="N328" s="98"/>
      <c r="O328" s="98"/>
      <c r="P328" s="96"/>
    </row>
    <row r="329" spans="1:16" ht="16.5" customHeight="1" x14ac:dyDescent="0.25">
      <c r="A329" s="95"/>
      <c r="B329" s="106"/>
      <c r="C329" s="107"/>
      <c r="D329" s="107"/>
      <c r="E329" s="107"/>
      <c r="F329" s="107"/>
      <c r="G329" s="107"/>
      <c r="H329" s="108"/>
      <c r="I329" s="108"/>
      <c r="J329" s="98"/>
      <c r="K329" s="98"/>
      <c r="L329" s="98"/>
      <c r="M329" s="98"/>
      <c r="N329" s="98"/>
      <c r="O329" s="98"/>
      <c r="P329" s="96"/>
    </row>
    <row r="330" spans="1:16" ht="16.5" customHeight="1" x14ac:dyDescent="0.25">
      <c r="A330" s="95"/>
      <c r="B330" s="106"/>
      <c r="C330" s="107"/>
      <c r="D330" s="107"/>
      <c r="E330" s="107"/>
      <c r="F330" s="107"/>
      <c r="G330" s="107"/>
      <c r="H330" s="108"/>
      <c r="I330" s="108"/>
      <c r="J330" s="98"/>
      <c r="K330" s="98"/>
      <c r="L330" s="98"/>
      <c r="M330" s="98"/>
      <c r="N330" s="98"/>
      <c r="O330" s="98"/>
      <c r="P330" s="96"/>
    </row>
    <row r="331" spans="1:16" ht="16.5" customHeight="1" x14ac:dyDescent="0.25">
      <c r="A331" s="95"/>
      <c r="B331" s="106"/>
      <c r="C331" s="107"/>
      <c r="D331" s="107"/>
      <c r="E331" s="107"/>
      <c r="F331" s="107"/>
      <c r="G331" s="107"/>
      <c r="H331" s="108"/>
      <c r="I331" s="108"/>
      <c r="J331" s="98"/>
      <c r="K331" s="98"/>
      <c r="L331" s="98"/>
      <c r="M331" s="98"/>
      <c r="N331" s="98"/>
      <c r="O331" s="98"/>
      <c r="P331" s="96"/>
    </row>
    <row r="332" spans="1:16" ht="16.5" customHeight="1" x14ac:dyDescent="0.25">
      <c r="A332" s="95"/>
      <c r="B332" s="106"/>
      <c r="C332" s="107"/>
      <c r="D332" s="107"/>
      <c r="E332" s="107"/>
      <c r="F332" s="107"/>
      <c r="G332" s="107"/>
      <c r="H332" s="108"/>
      <c r="I332" s="108"/>
      <c r="J332" s="98"/>
      <c r="K332" s="98"/>
      <c r="L332" s="98"/>
      <c r="M332" s="98"/>
      <c r="N332" s="98"/>
      <c r="O332" s="98"/>
      <c r="P332" s="96"/>
    </row>
    <row r="333" spans="1:16" ht="16.5" customHeight="1" x14ac:dyDescent="0.25">
      <c r="A333" s="95"/>
      <c r="B333" s="106"/>
      <c r="C333" s="107"/>
      <c r="D333" s="107"/>
      <c r="E333" s="107"/>
      <c r="F333" s="107"/>
      <c r="G333" s="107"/>
      <c r="H333" s="108"/>
      <c r="I333" s="108"/>
      <c r="J333" s="98"/>
      <c r="K333" s="98"/>
      <c r="L333" s="98"/>
      <c r="M333" s="98"/>
      <c r="N333" s="98"/>
      <c r="O333" s="98"/>
      <c r="P333" s="96"/>
    </row>
    <row r="334" spans="1:16" ht="15.75" customHeight="1" x14ac:dyDescent="0.25">
      <c r="A334" s="95"/>
      <c r="B334" s="58"/>
      <c r="C334" s="58"/>
      <c r="D334" s="58"/>
      <c r="E334" s="58"/>
      <c r="F334" s="58"/>
      <c r="G334" s="114"/>
      <c r="H334" s="58"/>
      <c r="I334" s="58"/>
      <c r="J334" s="98"/>
      <c r="K334" s="98"/>
      <c r="L334" s="98"/>
      <c r="M334" s="98"/>
      <c r="N334" s="98"/>
      <c r="O334" s="98"/>
      <c r="P334" s="96"/>
    </row>
    <row r="335" spans="1:16" ht="15" customHeight="1" x14ac:dyDescent="0.25">
      <c r="A335" s="95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6"/>
    </row>
    <row r="336" spans="1:16" ht="15" customHeight="1" x14ac:dyDescent="0.25">
      <c r="A336" s="103" t="s">
        <v>177</v>
      </c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6"/>
    </row>
    <row r="337" spans="1:16" ht="15.75" customHeight="1" x14ac:dyDescent="0.25">
      <c r="A337" s="95"/>
      <c r="B337" s="58" t="s">
        <v>10</v>
      </c>
      <c r="C337" s="58" t="s">
        <v>178</v>
      </c>
      <c r="D337" s="58" t="s">
        <v>172</v>
      </c>
      <c r="E337" s="58" t="s">
        <v>179</v>
      </c>
      <c r="F337" s="58" t="s">
        <v>16</v>
      </c>
      <c r="G337" s="114" t="s">
        <v>17</v>
      </c>
      <c r="H337" s="114" t="s">
        <v>175</v>
      </c>
      <c r="I337" s="58" t="s">
        <v>180</v>
      </c>
      <c r="J337" s="58" t="s">
        <v>181</v>
      </c>
      <c r="K337" s="58" t="s">
        <v>182</v>
      </c>
      <c r="L337" s="115" t="s">
        <v>183</v>
      </c>
      <c r="M337" s="115" t="s">
        <v>184</v>
      </c>
      <c r="N337" s="115" t="s">
        <v>185</v>
      </c>
      <c r="O337" s="98"/>
      <c r="P337" s="96"/>
    </row>
    <row r="338" spans="1:16" ht="16.5" customHeight="1" x14ac:dyDescent="0.25">
      <c r="A338" s="95"/>
      <c r="B338" s="116"/>
      <c r="C338" s="117"/>
      <c r="D338" s="117"/>
      <c r="E338" s="117"/>
      <c r="F338" s="117"/>
      <c r="G338" s="118"/>
      <c r="H338" s="118"/>
      <c r="I338" s="117"/>
      <c r="J338" s="116"/>
      <c r="K338" s="116"/>
      <c r="L338" s="119"/>
      <c r="M338" s="119"/>
      <c r="N338" s="120"/>
      <c r="O338" s="98"/>
      <c r="P338" s="96"/>
    </row>
    <row r="339" spans="1:16" ht="16.5" customHeight="1" x14ac:dyDescent="0.25">
      <c r="A339" s="95"/>
      <c r="B339" s="116"/>
      <c r="C339" s="117"/>
      <c r="D339" s="117"/>
      <c r="E339" s="117"/>
      <c r="F339" s="117"/>
      <c r="G339" s="118"/>
      <c r="H339" s="118"/>
      <c r="I339" s="117"/>
      <c r="J339" s="116"/>
      <c r="K339" s="116"/>
      <c r="L339" s="119"/>
      <c r="M339" s="119"/>
      <c r="N339" s="120"/>
      <c r="O339" s="98"/>
      <c r="P339" s="96"/>
    </row>
    <row r="340" spans="1:16" ht="16.5" customHeight="1" x14ac:dyDescent="0.25">
      <c r="A340" s="95"/>
      <c r="B340" s="116"/>
      <c r="C340" s="117"/>
      <c r="D340" s="117"/>
      <c r="E340" s="117"/>
      <c r="F340" s="117"/>
      <c r="G340" s="118"/>
      <c r="H340" s="118"/>
      <c r="I340" s="117"/>
      <c r="J340" s="116"/>
      <c r="K340" s="116"/>
      <c r="L340" s="119"/>
      <c r="M340" s="119"/>
      <c r="N340" s="120"/>
      <c r="O340" s="98"/>
      <c r="P340" s="96"/>
    </row>
    <row r="341" spans="1:16" ht="16.5" customHeight="1" x14ac:dyDescent="0.25">
      <c r="A341" s="95"/>
      <c r="B341" s="116"/>
      <c r="C341" s="117"/>
      <c r="D341" s="117"/>
      <c r="E341" s="117"/>
      <c r="F341" s="117"/>
      <c r="G341" s="118"/>
      <c r="H341" s="118"/>
      <c r="I341" s="117"/>
      <c r="J341" s="116"/>
      <c r="K341" s="116"/>
      <c r="L341" s="119"/>
      <c r="M341" s="119"/>
      <c r="N341" s="120"/>
      <c r="O341" s="98"/>
      <c r="P341" s="96"/>
    </row>
    <row r="342" spans="1:16" ht="16.5" customHeight="1" x14ac:dyDescent="0.25">
      <c r="A342" s="138"/>
      <c r="B342" s="116"/>
      <c r="C342" s="117"/>
      <c r="D342" s="117"/>
      <c r="E342" s="117"/>
      <c r="F342" s="117"/>
      <c r="G342" s="118"/>
      <c r="H342" s="118"/>
      <c r="I342" s="117"/>
      <c r="J342" s="116"/>
      <c r="K342" s="116"/>
      <c r="L342" s="119"/>
      <c r="M342" s="119"/>
      <c r="N342" s="120"/>
      <c r="O342" s="98"/>
      <c r="P342" s="96"/>
    </row>
    <row r="343" spans="1:16" ht="15.75" customHeight="1" x14ac:dyDescent="0.25">
      <c r="A343" s="95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6"/>
    </row>
    <row r="344" spans="1:16" ht="15" customHeight="1" x14ac:dyDescent="0.25">
      <c r="A344" s="103" t="s">
        <v>186</v>
      </c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6"/>
    </row>
    <row r="345" spans="1:16" ht="15.75" customHeight="1" x14ac:dyDescent="0.25">
      <c r="A345" s="95"/>
      <c r="B345" s="58" t="s">
        <v>10</v>
      </c>
      <c r="C345" s="58" t="s">
        <v>187</v>
      </c>
      <c r="D345" s="58" t="s">
        <v>188</v>
      </c>
      <c r="E345" s="58" t="s">
        <v>135</v>
      </c>
      <c r="F345" s="58" t="s">
        <v>189</v>
      </c>
      <c r="G345" s="58" t="s">
        <v>190</v>
      </c>
      <c r="H345" s="58" t="s">
        <v>191</v>
      </c>
      <c r="I345" s="58" t="s">
        <v>16</v>
      </c>
      <c r="J345" s="114" t="s">
        <v>17</v>
      </c>
      <c r="K345" s="114" t="s">
        <v>175</v>
      </c>
      <c r="L345" s="98"/>
      <c r="M345" s="98"/>
      <c r="N345" s="98"/>
      <c r="O345" s="98"/>
      <c r="P345" s="96"/>
    </row>
    <row r="346" spans="1:16" ht="16.5" customHeight="1" x14ac:dyDescent="0.25">
      <c r="A346" s="95"/>
      <c r="B346" s="121" t="s">
        <v>228</v>
      </c>
      <c r="C346" s="122" t="e">
        <f>IF(VLOOKUP(B346,'Gebouwgegevens Allacker'!$J$5:$Q$83,2,0)=$B$316,VLOOKUP(B346,'Gebouwgegevens Allacker'!$J$5:$Q$83,2,0),VLOOKUP(B346,'Gebouwgegevens Allacker'!$J$5:$Q$83,3,0))</f>
        <v>#N/A</v>
      </c>
      <c r="D346" s="122" t="e">
        <f>IF(VLOOKUP(B346,'Gebouwgegevens Allacker'!$J$5:$Q$83,2,0)=$B$316,VLOOKUP(B346,'Gebouwgegevens Allacker'!$J$5:$Q$83,3,0),VLOOKUP(B346,'Gebouwgegevens Allacker'!$J$5:$Q$83,2,0))</f>
        <v>#N/A</v>
      </c>
      <c r="E346" s="122" t="e">
        <f>VLOOKUP(B346,'Gebouwgegevens Allacker'!$J$5:$Q$83,4,0)</f>
        <v>#N/A</v>
      </c>
      <c r="F346" s="122" t="e">
        <f>VLOOKUP(B346,'Gebouwgegevens Allacker'!$J$5:$Q$83,5,0)</f>
        <v>#N/A</v>
      </c>
      <c r="G346" s="122" t="e">
        <f>VLOOKUP('Verwarming Tabula'!C346,'Gebouwgegevens Allacker'!$A$35:$F$46,5,0)</f>
        <v>#N/A</v>
      </c>
      <c r="H346" s="122" t="e">
        <f>VLOOKUP('Verwarming Tabula'!D346,'Gebouwgegevens Allacker'!$A$35:$F$46,5,0)</f>
        <v>#N/A</v>
      </c>
      <c r="I346" s="122" t="e">
        <f>VLOOKUP(B346,'Gebouwgegevens Allacker'!$J$5:$Q$83,7,0)</f>
        <v>#N/A</v>
      </c>
      <c r="J346" s="118" t="e">
        <f>VLOOKUP(B346,'Gebouwgegevens Allacker'!$J$5:$Q$83,8,0)</f>
        <v>#N/A</v>
      </c>
      <c r="K346" s="118" t="e">
        <f>(G346-H346)/(G346-$B$4)</f>
        <v>#N/A</v>
      </c>
      <c r="L346" s="98"/>
      <c r="M346" s="98"/>
      <c r="N346" s="98"/>
      <c r="O346" s="98"/>
      <c r="P346" s="96"/>
    </row>
    <row r="347" spans="1:16" ht="16.5" customHeight="1" x14ac:dyDescent="0.25">
      <c r="A347" s="95"/>
      <c r="B347" s="121" t="s">
        <v>233</v>
      </c>
      <c r="C347" s="122" t="e">
        <f>IF(VLOOKUP(B347,'Gebouwgegevens Allacker'!$J$5:$Q$83,2,0)=$B$316,VLOOKUP(B347,'Gebouwgegevens Allacker'!$J$5:$Q$83,2,0),VLOOKUP(B347,'Gebouwgegevens Allacker'!$J$5:$Q$83,3,0))</f>
        <v>#N/A</v>
      </c>
      <c r="D347" s="122" t="e">
        <f>IF(VLOOKUP(B347,'Gebouwgegevens Allacker'!$J$5:$Q$83,2,0)=$B$316,VLOOKUP(B347,'Gebouwgegevens Allacker'!$J$5:$Q$83,3,0),VLOOKUP(B347,'Gebouwgegevens Allacker'!$J$5:$Q$83,2,0))</f>
        <v>#N/A</v>
      </c>
      <c r="E347" s="122" t="e">
        <f>VLOOKUP(B347,'Gebouwgegevens Allacker'!$J$5:$Q$83,4,0)</f>
        <v>#N/A</v>
      </c>
      <c r="F347" s="122" t="e">
        <f>VLOOKUP(B347,'Gebouwgegevens Allacker'!$J$5:$Q$83,5,0)</f>
        <v>#N/A</v>
      </c>
      <c r="G347" s="122" t="e">
        <f>VLOOKUP('Verwarming Tabula'!C347,'Gebouwgegevens Allacker'!$A$35:$F$46,5,0)</f>
        <v>#N/A</v>
      </c>
      <c r="H347" s="122" t="e">
        <f>VLOOKUP('Verwarming Tabula'!D347,'Gebouwgegevens Allacker'!$A$35:$F$46,5,0)</f>
        <v>#N/A</v>
      </c>
      <c r="I347" s="122" t="e">
        <f>VLOOKUP(B347,'Gebouwgegevens Allacker'!$J$5:$Q$83,7,0)</f>
        <v>#N/A</v>
      </c>
      <c r="J347" s="118" t="e">
        <f>VLOOKUP(B347,'Gebouwgegevens Allacker'!$J$5:$Q$83,8,0)</f>
        <v>#N/A</v>
      </c>
      <c r="K347" s="118" t="e">
        <f>(G347-H347)/(G347-$B$4)</f>
        <v>#N/A</v>
      </c>
      <c r="L347" s="98"/>
      <c r="M347" s="98"/>
      <c r="N347" s="98"/>
      <c r="O347" s="98"/>
      <c r="P347" s="96"/>
    </row>
    <row r="348" spans="1:16" ht="16.5" customHeight="1" x14ac:dyDescent="0.25">
      <c r="A348" s="95"/>
      <c r="B348" s="121" t="s">
        <v>234</v>
      </c>
      <c r="C348" s="122" t="e">
        <f>IF(VLOOKUP(B348,'Gebouwgegevens Allacker'!$J$5:$Q$83,2,0)=$B$316,VLOOKUP(B348,'Gebouwgegevens Allacker'!$J$5:$Q$83,2,0),VLOOKUP(B348,'Gebouwgegevens Allacker'!$J$5:$Q$83,3,0))</f>
        <v>#N/A</v>
      </c>
      <c r="D348" s="122" t="e">
        <f>IF(VLOOKUP(B348,'Gebouwgegevens Allacker'!$J$5:$Q$83,2,0)=$B$316,VLOOKUP(B348,'Gebouwgegevens Allacker'!$J$5:$Q$83,3,0),VLOOKUP(B348,'Gebouwgegevens Allacker'!$J$5:$Q$83,2,0))</f>
        <v>#N/A</v>
      </c>
      <c r="E348" s="122" t="e">
        <f>VLOOKUP(B348,'Gebouwgegevens Allacker'!$J$5:$Q$83,4,0)</f>
        <v>#N/A</v>
      </c>
      <c r="F348" s="122" t="e">
        <f>VLOOKUP(B348,'Gebouwgegevens Allacker'!$J$5:$Q$83,5,0)</f>
        <v>#N/A</v>
      </c>
      <c r="G348" s="122" t="e">
        <f>VLOOKUP('Verwarming Tabula'!C348,'Gebouwgegevens Allacker'!$A$35:$F$46,5,0)</f>
        <v>#N/A</v>
      </c>
      <c r="H348" s="122" t="e">
        <f>VLOOKUP('Verwarming Tabula'!D348,'Gebouwgegevens Allacker'!$A$35:$F$46,5,0)</f>
        <v>#N/A</v>
      </c>
      <c r="I348" s="122" t="e">
        <f>VLOOKUP(B348,'Gebouwgegevens Allacker'!$J$5:$Q$83,7,0)</f>
        <v>#N/A</v>
      </c>
      <c r="J348" s="118" t="e">
        <f>VLOOKUP(B348,'Gebouwgegevens Allacker'!$J$5:$Q$83,8,0)</f>
        <v>#N/A</v>
      </c>
      <c r="K348" s="118" t="e">
        <f>(G348-H348)/(G348-$B$4)</f>
        <v>#N/A</v>
      </c>
      <c r="L348" s="98"/>
      <c r="M348" s="98"/>
      <c r="N348" s="98"/>
      <c r="O348" s="98"/>
      <c r="P348" s="96"/>
    </row>
    <row r="349" spans="1:16" ht="16.5" customHeight="1" x14ac:dyDescent="0.25">
      <c r="A349" s="95"/>
      <c r="B349" s="92" t="s">
        <v>235</v>
      </c>
      <c r="C349" s="122" t="e">
        <f>IF(VLOOKUP(B349,'Gebouwgegevens Allacker'!$J$5:$Q$83,2,0)=$B$316,VLOOKUP(B349,'Gebouwgegevens Allacker'!$J$5:$Q$83,2,0),VLOOKUP(B349,'Gebouwgegevens Allacker'!$J$5:$Q$83,3,0))</f>
        <v>#N/A</v>
      </c>
      <c r="D349" s="122" t="e">
        <f>IF(VLOOKUP(B349,'Gebouwgegevens Allacker'!$J$5:$Q$83,2,0)=$B$316,VLOOKUP(B349,'Gebouwgegevens Allacker'!$J$5:$Q$83,3,0),VLOOKUP(B349,'Gebouwgegevens Allacker'!$J$5:$Q$83,2,0))</f>
        <v>#N/A</v>
      </c>
      <c r="E349" s="122" t="e">
        <f>VLOOKUP(B349,'Gebouwgegevens Allacker'!$J$5:$Q$83,4,0)</f>
        <v>#N/A</v>
      </c>
      <c r="F349" s="122" t="e">
        <f>VLOOKUP(B349,'Gebouwgegevens Allacker'!$J$5:$Q$83,5,0)</f>
        <v>#N/A</v>
      </c>
      <c r="G349" s="122" t="e">
        <f>VLOOKUP('Verwarming Tabula'!C349,'Gebouwgegevens Allacker'!$A$35:$F$46,5,0)</f>
        <v>#N/A</v>
      </c>
      <c r="H349" s="122" t="e">
        <f>VLOOKUP('Verwarming Tabula'!D349,'Gebouwgegevens Allacker'!$A$35:$F$46,5,0)</f>
        <v>#N/A</v>
      </c>
      <c r="I349" s="122" t="e">
        <f>VLOOKUP(B349,'Gebouwgegevens Allacker'!$J$5:$Q$83,7,0)</f>
        <v>#N/A</v>
      </c>
      <c r="J349" s="118" t="e">
        <f>VLOOKUP(B349,'Gebouwgegevens Allacker'!$J$5:$Q$83,8,0)</f>
        <v>#N/A</v>
      </c>
      <c r="K349" s="118" t="e">
        <f>(G349-H349)/(G349-$B$4)</f>
        <v>#N/A</v>
      </c>
      <c r="L349" s="98"/>
      <c r="M349" s="98"/>
      <c r="N349" s="98"/>
      <c r="O349" s="98"/>
      <c r="P349" s="96"/>
    </row>
    <row r="350" spans="1:16" ht="16.5" customHeight="1" x14ac:dyDescent="0.25">
      <c r="A350" s="95"/>
      <c r="B350" s="123" t="s">
        <v>236</v>
      </c>
      <c r="C350" s="122" t="e">
        <f>IF(VLOOKUP(B350,'Gebouwgegevens Allacker'!$J$5:$Q$83,2,0)=$B$316,VLOOKUP(B350,'Gebouwgegevens Allacker'!$J$5:$Q$83,2,0),VLOOKUP(B350,'Gebouwgegevens Allacker'!$J$5:$Q$83,3,0))</f>
        <v>#N/A</v>
      </c>
      <c r="D350" s="122" t="e">
        <f>IF(VLOOKUP(B350,'Gebouwgegevens Allacker'!$J$5:$Q$83,2,0)=$B$316,VLOOKUP(B350,'Gebouwgegevens Allacker'!$J$5:$Q$83,3,0),VLOOKUP(B350,'Gebouwgegevens Allacker'!$J$5:$Q$83,2,0))</f>
        <v>#N/A</v>
      </c>
      <c r="E350" s="122" t="e">
        <f>VLOOKUP(B350,'Gebouwgegevens Allacker'!$J$5:$Q$83,4,0)</f>
        <v>#N/A</v>
      </c>
      <c r="F350" s="122" t="e">
        <f>VLOOKUP(B350,'Gebouwgegevens Allacker'!$J$5:$Q$83,5,0)</f>
        <v>#N/A</v>
      </c>
      <c r="G350" s="122" t="e">
        <f>VLOOKUP('Verwarming Tabula'!C350,'Gebouwgegevens Allacker'!$A$35:$F$46,5,0)</f>
        <v>#N/A</v>
      </c>
      <c r="H350" s="122" t="e">
        <f>VLOOKUP('Verwarming Tabula'!D350,'Gebouwgegevens Allacker'!$A$35:$F$46,5,0)</f>
        <v>#N/A</v>
      </c>
      <c r="I350" s="122" t="e">
        <f>VLOOKUP(B350,'Gebouwgegevens Allacker'!$J$5:$Q$83,7,0)</f>
        <v>#N/A</v>
      </c>
      <c r="J350" s="118" t="e">
        <f>VLOOKUP(B350,'Gebouwgegevens Allacker'!$J$5:$Q$83,8,0)</f>
        <v>#N/A</v>
      </c>
      <c r="K350" s="118" t="e">
        <f>(G350-H350)/(G350-$B$4)</f>
        <v>#N/A</v>
      </c>
      <c r="L350" s="98"/>
      <c r="M350" s="98"/>
      <c r="N350" s="98"/>
      <c r="O350" s="98"/>
      <c r="P350" s="96"/>
    </row>
    <row r="351" spans="1:16" ht="16.5" customHeight="1" x14ac:dyDescent="0.25">
      <c r="A351" s="95"/>
      <c r="B351" s="123"/>
      <c r="C351" s="139"/>
      <c r="D351" s="122"/>
      <c r="E351" s="122"/>
      <c r="F351" s="122"/>
      <c r="G351" s="122"/>
      <c r="H351" s="122"/>
      <c r="I351" s="122"/>
      <c r="J351" s="118"/>
      <c r="K351" s="118"/>
      <c r="L351" s="98"/>
      <c r="M351" s="98"/>
      <c r="N351" s="98"/>
      <c r="O351" s="98"/>
      <c r="P351" s="96"/>
    </row>
    <row r="352" spans="1:16" ht="16.5" customHeight="1" x14ac:dyDescent="0.25">
      <c r="A352" s="95"/>
      <c r="B352" s="123"/>
      <c r="C352" s="139"/>
      <c r="D352" s="122"/>
      <c r="E352" s="122"/>
      <c r="F352" s="122"/>
      <c r="G352" s="122"/>
      <c r="H352" s="122"/>
      <c r="I352" s="122"/>
      <c r="J352" s="118"/>
      <c r="K352" s="118"/>
      <c r="L352" s="98"/>
      <c r="M352" s="98"/>
      <c r="N352" s="98"/>
      <c r="O352" s="98"/>
      <c r="P352" s="96"/>
    </row>
    <row r="353" spans="1:16" ht="16.5" customHeight="1" x14ac:dyDescent="0.25">
      <c r="A353" s="95"/>
      <c r="B353" s="123"/>
      <c r="C353" s="139"/>
      <c r="D353" s="122"/>
      <c r="E353" s="122"/>
      <c r="F353" s="122"/>
      <c r="G353" s="122"/>
      <c r="H353" s="122"/>
      <c r="I353" s="122"/>
      <c r="J353" s="118"/>
      <c r="K353" s="118"/>
      <c r="L353" s="98"/>
      <c r="M353" s="98"/>
      <c r="N353" s="98"/>
      <c r="O353" s="98"/>
      <c r="P353" s="96"/>
    </row>
    <row r="354" spans="1:16" ht="16.5" customHeight="1" x14ac:dyDescent="0.25">
      <c r="A354" s="95"/>
      <c r="B354" s="123"/>
      <c r="C354" s="139"/>
      <c r="D354" s="122"/>
      <c r="E354" s="122"/>
      <c r="F354" s="122"/>
      <c r="G354" s="122"/>
      <c r="H354" s="122"/>
      <c r="I354" s="122"/>
      <c r="J354" s="118"/>
      <c r="K354" s="118"/>
      <c r="L354" s="98"/>
      <c r="M354" s="98"/>
      <c r="N354" s="98"/>
      <c r="O354" s="98"/>
      <c r="P354" s="96"/>
    </row>
    <row r="355" spans="1:16" ht="16.5" customHeight="1" x14ac:dyDescent="0.25">
      <c r="A355" s="95"/>
      <c r="B355" s="123"/>
      <c r="C355" s="139"/>
      <c r="D355" s="122"/>
      <c r="E355" s="122"/>
      <c r="F355" s="122"/>
      <c r="G355" s="122"/>
      <c r="H355" s="122"/>
      <c r="I355" s="122"/>
      <c r="J355" s="118"/>
      <c r="K355" s="118"/>
      <c r="L355" s="98"/>
      <c r="M355" s="98"/>
      <c r="N355" s="98"/>
      <c r="O355" s="98"/>
      <c r="P355" s="96"/>
    </row>
    <row r="356" spans="1:16" ht="15.75" customHeight="1" x14ac:dyDescent="0.25">
      <c r="A356" s="95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8"/>
      <c r="M356" s="98"/>
      <c r="N356" s="98"/>
      <c r="O356" s="98"/>
      <c r="P356" s="96"/>
    </row>
    <row r="357" spans="1:16" ht="15" customHeight="1" x14ac:dyDescent="0.25">
      <c r="A357" s="95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6"/>
    </row>
    <row r="358" spans="1:16" ht="15.75" customHeight="1" x14ac:dyDescent="0.25">
      <c r="A358" s="103" t="s">
        <v>192</v>
      </c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6"/>
    </row>
    <row r="359" spans="1:16" ht="16.5" customHeight="1" x14ac:dyDescent="0.25">
      <c r="A359" s="124" t="s">
        <v>193</v>
      </c>
      <c r="B359" s="118" t="e">
        <f>SUMPRODUCT(H322:H333,I322:I333)+SUMPRODUCT(G338:G342,H338:H342)+SUMPRODUCT(J346:J355,K346:K355)</f>
        <v>#N/A</v>
      </c>
      <c r="C359" s="118" t="s">
        <v>107</v>
      </c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6"/>
    </row>
    <row r="360" spans="1:16" ht="16.5" customHeight="1" x14ac:dyDescent="0.25">
      <c r="A360" s="124" t="s">
        <v>167</v>
      </c>
      <c r="B360" s="118" t="e">
        <f>B359*(G346-$B$4)</f>
        <v>#N/A</v>
      </c>
      <c r="C360" s="118" t="s">
        <v>169</v>
      </c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6"/>
    </row>
    <row r="361" spans="1:16" ht="15.75" customHeight="1" x14ac:dyDescent="0.25">
      <c r="A361" s="109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1"/>
    </row>
    <row r="362" spans="1:16" ht="15.75" customHeight="1" x14ac:dyDescent="0.25">
      <c r="A362" s="343" t="s">
        <v>194</v>
      </c>
      <c r="B362" s="343"/>
      <c r="C362" s="343"/>
      <c r="D362" s="125" t="s">
        <v>222</v>
      </c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94"/>
    </row>
    <row r="363" spans="1:16" ht="15" customHeight="1" x14ac:dyDescent="0.25">
      <c r="A363" s="95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6"/>
    </row>
    <row r="364" spans="1:16" ht="15" customHeight="1" x14ac:dyDescent="0.25">
      <c r="A364" s="126" t="s">
        <v>195</v>
      </c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6"/>
    </row>
    <row r="365" spans="1:16" ht="15" customHeight="1" x14ac:dyDescent="0.25">
      <c r="A365" s="127" t="s">
        <v>196</v>
      </c>
      <c r="B365" s="121">
        <v>8</v>
      </c>
      <c r="C365" s="120" t="s">
        <v>197</v>
      </c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6"/>
    </row>
    <row r="366" spans="1:16" ht="15" customHeight="1" x14ac:dyDescent="0.25">
      <c r="A366" s="127" t="s">
        <v>198</v>
      </c>
      <c r="B366" s="121">
        <v>0.03</v>
      </c>
      <c r="C366" s="120" t="s">
        <v>199</v>
      </c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6"/>
    </row>
    <row r="367" spans="1:16" ht="15.75" customHeight="1" x14ac:dyDescent="0.25">
      <c r="A367" s="127" t="s">
        <v>200</v>
      </c>
      <c r="B367" s="121">
        <v>1</v>
      </c>
      <c r="C367" s="120" t="s">
        <v>201</v>
      </c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6"/>
    </row>
    <row r="368" spans="1:16" ht="16.5" customHeight="1" x14ac:dyDescent="0.25">
      <c r="A368" s="124" t="s">
        <v>202</v>
      </c>
      <c r="B368" s="118" t="e">
        <f>2*VLOOKUP(B316,'Gebouwgegevens Allacker'!$A$35:$F$46,6,0)*B365*B366*B367</f>
        <v>#N/A</v>
      </c>
      <c r="C368" s="118" t="s">
        <v>203</v>
      </c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6"/>
    </row>
    <row r="369" spans="1:16" ht="15.75" customHeight="1" x14ac:dyDescent="0.25">
      <c r="A369" s="95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6"/>
    </row>
    <row r="370" spans="1:16" ht="15" customHeight="1" x14ac:dyDescent="0.25">
      <c r="A370" s="126" t="s">
        <v>204</v>
      </c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6"/>
    </row>
    <row r="371" spans="1:16" ht="15.75" customHeight="1" x14ac:dyDescent="0.25">
      <c r="A371" s="95" t="s">
        <v>180</v>
      </c>
      <c r="B371" s="98" t="e">
        <f>VLOOKUP(B316,'Gebouwgegevens Allacker'!$A$35:$F$46,6,0)</f>
        <v>#N/A</v>
      </c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6"/>
    </row>
    <row r="372" spans="1:16" ht="16.5" customHeight="1" x14ac:dyDescent="0.25">
      <c r="A372" s="124" t="s">
        <v>205</v>
      </c>
      <c r="B372" s="128" t="e">
        <f>B371*3.6</f>
        <v>#N/A</v>
      </c>
      <c r="C372" s="118" t="s">
        <v>203</v>
      </c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6"/>
    </row>
    <row r="373" spans="1:16" ht="15.75" customHeight="1" x14ac:dyDescent="0.25">
      <c r="A373" s="95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6"/>
    </row>
    <row r="374" spans="1:16" ht="15.75" customHeight="1" x14ac:dyDescent="0.25">
      <c r="A374" s="95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6"/>
    </row>
    <row r="375" spans="1:16" ht="16.5" customHeight="1" x14ac:dyDescent="0.25">
      <c r="A375" s="124" t="s">
        <v>207</v>
      </c>
      <c r="B375" s="118" t="e">
        <f>MAX(B368,B372)</f>
        <v>#N/A</v>
      </c>
      <c r="C375" s="118" t="s">
        <v>203</v>
      </c>
      <c r="D375" s="98"/>
      <c r="E375" s="98"/>
      <c r="F375" s="118" t="s">
        <v>208</v>
      </c>
      <c r="G375" s="118" t="e">
        <f>B375/VLOOKUP(B316,'Gebouwgegevens Allacker'!$A$35:$B$46,2,0)</f>
        <v>#N/A</v>
      </c>
      <c r="H375" s="98"/>
      <c r="I375" s="98"/>
      <c r="J375" s="98"/>
      <c r="K375" s="98"/>
      <c r="L375" s="98"/>
      <c r="M375" s="98"/>
      <c r="N375" s="98"/>
      <c r="O375" s="98"/>
      <c r="P375" s="96"/>
    </row>
    <row r="376" spans="1:16" ht="16.5" customHeight="1" x14ac:dyDescent="0.25">
      <c r="A376" s="138"/>
      <c r="B376" s="58"/>
      <c r="C376" s="5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6"/>
    </row>
    <row r="377" spans="1:16" ht="16.5" customHeight="1" x14ac:dyDescent="0.25">
      <c r="A377" s="124" t="s">
        <v>209</v>
      </c>
      <c r="B377" s="118" t="e">
        <f>0.34*B375</f>
        <v>#N/A</v>
      </c>
      <c r="C377" s="118" t="s">
        <v>107</v>
      </c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6"/>
    </row>
    <row r="378" spans="1:16" ht="16.5" customHeight="1" x14ac:dyDescent="0.25">
      <c r="A378" s="124" t="s">
        <v>167</v>
      </c>
      <c r="B378" s="118" t="e">
        <f>B377*('Gebouwgegevens Allacker'!E338-$B$4)</f>
        <v>#N/A</v>
      </c>
      <c r="C378" s="118" t="s">
        <v>169</v>
      </c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6"/>
    </row>
    <row r="379" spans="1:16" ht="15.75" customHeight="1" x14ac:dyDescent="0.25">
      <c r="A379" s="140"/>
      <c r="B379" s="141"/>
      <c r="C379" s="141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1"/>
    </row>
    <row r="380" spans="1:16" ht="15.75" customHeight="1" x14ac:dyDescent="0.25">
      <c r="A380" s="343" t="s">
        <v>210</v>
      </c>
      <c r="B380" s="343"/>
      <c r="C380" s="343"/>
      <c r="D380" s="343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6"/>
    </row>
    <row r="381" spans="1:16" ht="15" customHeight="1" x14ac:dyDescent="0.25">
      <c r="A381" s="95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6"/>
    </row>
    <row r="382" spans="1:16" ht="15" customHeight="1" x14ac:dyDescent="0.25">
      <c r="A382" s="127" t="s">
        <v>211</v>
      </c>
      <c r="B382" s="121">
        <v>22</v>
      </c>
      <c r="C382" s="58" t="s">
        <v>232</v>
      </c>
      <c r="D382" s="5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6"/>
    </row>
    <row r="383" spans="1:16" ht="15.75" customHeight="1" x14ac:dyDescent="0.25">
      <c r="A383" s="3" t="s">
        <v>113</v>
      </c>
      <c r="B383" s="58" t="e">
        <f>VLOOKUP(B316,'Gebouwgegevens Allacker'!$A$35:$F$46,6,0)</f>
        <v>#N/A</v>
      </c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6"/>
    </row>
    <row r="384" spans="1:16" ht="16.5" customHeight="1" x14ac:dyDescent="0.25">
      <c r="A384" s="124" t="s">
        <v>213</v>
      </c>
      <c r="B384" s="118" t="e">
        <f>B385/('Gebouwgegevens Allacker'!E338-'Verwarming Tabula'!$B$4)</f>
        <v>#N/A</v>
      </c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6"/>
    </row>
    <row r="385" spans="1:16" ht="16.5" customHeight="1" x14ac:dyDescent="0.25">
      <c r="A385" s="124" t="s">
        <v>167</v>
      </c>
      <c r="B385" s="118" t="e">
        <f>B382*B383</f>
        <v>#N/A</v>
      </c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6"/>
    </row>
    <row r="386" spans="1:16" ht="15.75" customHeight="1" x14ac:dyDescent="0.25">
      <c r="A386" s="95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6"/>
    </row>
    <row r="387" spans="1:16" ht="15.75" customHeight="1" x14ac:dyDescent="0.25">
      <c r="A387" s="95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6"/>
    </row>
    <row r="388" spans="1:16" ht="15.75" customHeight="1" x14ac:dyDescent="0.25">
      <c r="A388" s="129" t="s">
        <v>214</v>
      </c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1"/>
    </row>
    <row r="389" spans="1:16" ht="16.5" customHeight="1" x14ac:dyDescent="0.25">
      <c r="A389" s="124" t="s">
        <v>215</v>
      </c>
      <c r="B389" s="118" t="e">
        <f>SUM(B359,B377,B384)</f>
        <v>#N/A</v>
      </c>
      <c r="C389" s="118" t="s">
        <v>107</v>
      </c>
      <c r="D389" s="132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  <c r="O389" s="132"/>
      <c r="P389" s="133"/>
    </row>
    <row r="390" spans="1:16" ht="16.5" customHeight="1" x14ac:dyDescent="0.25">
      <c r="A390" s="124" t="s">
        <v>167</v>
      </c>
      <c r="B390" s="118" t="e">
        <f>SUM(B360,B378,B385)</f>
        <v>#N/A</v>
      </c>
      <c r="C390" s="118" t="s">
        <v>169</v>
      </c>
      <c r="D390" s="132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  <c r="O390" s="132"/>
      <c r="P390" s="133"/>
    </row>
    <row r="391" spans="1:16" ht="16.5" customHeight="1" x14ac:dyDescent="0.25">
      <c r="A391" s="134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6"/>
    </row>
    <row r="392" spans="1:16" ht="15.75" customHeight="1" x14ac:dyDescent="0.25">
      <c r="A392" s="137"/>
      <c r="B392" s="137"/>
      <c r="C392" s="137"/>
      <c r="D392" s="137"/>
      <c r="E392" s="137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</row>
    <row r="393" spans="1:16" ht="15" customHeight="1" x14ac:dyDescent="0.25">
      <c r="A393" s="93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94"/>
    </row>
    <row r="394" spans="1:16" ht="17.25" customHeight="1" x14ac:dyDescent="0.3">
      <c r="A394" s="97" t="s">
        <v>166</v>
      </c>
      <c r="B394" s="92">
        <v>6</v>
      </c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6"/>
    </row>
    <row r="395" spans="1:16" ht="15.75" customHeight="1" x14ac:dyDescent="0.25">
      <c r="A395" s="343" t="s">
        <v>168</v>
      </c>
      <c r="B395" s="343"/>
      <c r="C395" s="343"/>
      <c r="D395" s="343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94"/>
    </row>
    <row r="396" spans="1:16" ht="15" customHeight="1" x14ac:dyDescent="0.25">
      <c r="A396" s="95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6"/>
    </row>
    <row r="397" spans="1:16" ht="15" customHeight="1" x14ac:dyDescent="0.25">
      <c r="A397" s="103" t="s">
        <v>170</v>
      </c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6"/>
    </row>
    <row r="398" spans="1:16" ht="15" customHeight="1" x14ac:dyDescent="0.25">
      <c r="A398" s="95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6"/>
    </row>
    <row r="399" spans="1:16" ht="15.75" customHeight="1" x14ac:dyDescent="0.25">
      <c r="A399" s="95"/>
      <c r="B399" s="104" t="s">
        <v>10</v>
      </c>
      <c r="C399" s="104" t="s">
        <v>171</v>
      </c>
      <c r="D399" s="104" t="s">
        <v>172</v>
      </c>
      <c r="E399" s="104" t="s">
        <v>173</v>
      </c>
      <c r="F399" s="104" t="s">
        <v>174</v>
      </c>
      <c r="G399" s="104" t="s">
        <v>16</v>
      </c>
      <c r="H399" s="105" t="s">
        <v>17</v>
      </c>
      <c r="I399" s="105" t="s">
        <v>175</v>
      </c>
      <c r="J399" s="98"/>
      <c r="K399" s="98"/>
      <c r="L399" s="98"/>
      <c r="M399" s="98"/>
      <c r="N399" s="98"/>
      <c r="O399" s="98"/>
      <c r="P399" s="96"/>
    </row>
    <row r="400" spans="1:16" ht="16.5" customHeight="1" x14ac:dyDescent="0.25">
      <c r="A400" s="95"/>
      <c r="B400" s="106" t="s">
        <v>96</v>
      </c>
      <c r="C400" s="107">
        <f>VLOOKUP(B400,'Gebouwgegevens Allacker'!$J$5:$Q$83,3,0)</f>
        <v>3</v>
      </c>
      <c r="D400" s="107" t="str">
        <f>VLOOKUP(B400,'Gebouwgegevens Allacker'!$J$5:$Q$83,4,0)</f>
        <v>Roof</v>
      </c>
      <c r="E400" s="107">
        <f>VLOOKUP(B400,'Gebouwgegevens Allacker'!$J$5:$Q$83,5,0)</f>
        <v>99.627515556697489</v>
      </c>
      <c r="F400" s="107" t="str">
        <f>VLOOKUP(B400,'Gebouwgegevens Allacker'!$J$5:$Q$83,6,0)</f>
        <v>front/back</v>
      </c>
      <c r="G400" s="107">
        <f>VLOOKUP(B400,'Gebouwgegevens Allacker'!$J$5:$Q$83,7,0)</f>
        <v>1.6975498473547073</v>
      </c>
      <c r="H400" s="108">
        <f>VLOOKUP(B400,'Gebouwgegevens Allacker'!$J$5:$Q$83,8,0)</f>
        <v>169.12267382560054</v>
      </c>
      <c r="I400" s="108">
        <v>1</v>
      </c>
      <c r="J400" s="98"/>
      <c r="K400" s="98"/>
      <c r="L400" s="98"/>
      <c r="M400" s="98"/>
      <c r="N400" s="98"/>
      <c r="O400" s="98"/>
      <c r="P400" s="96"/>
    </row>
    <row r="401" spans="1:16" ht="16.5" customHeight="1" x14ac:dyDescent="0.25">
      <c r="A401" s="95"/>
      <c r="B401" s="106" t="s">
        <v>98</v>
      </c>
      <c r="C401" s="107">
        <f>VLOOKUP(B401,'Gebouwgegevens Allacker'!$J$5:$Q$83,3,0)</f>
        <v>3</v>
      </c>
      <c r="D401" s="107" t="str">
        <f>VLOOKUP(B401,'Gebouwgegevens Allacker'!$J$5:$Q$83,4,0)</f>
        <v>Floor internal</v>
      </c>
      <c r="E401" s="107">
        <f>VLOOKUP(B401,'Gebouwgegevens Allacker'!$J$5:$Q$83,5,0)</f>
        <v>76.183999999999997</v>
      </c>
      <c r="F401" s="107">
        <f>VLOOKUP(B401,'Gebouwgegevens Allacker'!$J$5:$Q$83,6,0)</f>
        <v>0</v>
      </c>
      <c r="G401" s="107">
        <f>VLOOKUP(B401,'Gebouwgegevens Allacker'!$J$5:$Q$83,7,0)</f>
        <v>2.0895522388059704</v>
      </c>
      <c r="H401" s="108">
        <f>VLOOKUP(B401,'Gebouwgegevens Allacker'!$J$5:$Q$83,8,0)</f>
        <v>159.19044776119404</v>
      </c>
      <c r="I401" s="108">
        <v>1</v>
      </c>
      <c r="J401" s="98"/>
      <c r="K401" s="98"/>
      <c r="L401" s="98"/>
      <c r="M401" s="98"/>
      <c r="N401" s="98"/>
      <c r="O401" s="98"/>
      <c r="P401" s="96"/>
    </row>
    <row r="402" spans="1:16" ht="16.5" customHeight="1" x14ac:dyDescent="0.25">
      <c r="A402" s="95"/>
      <c r="B402" s="106" t="s">
        <v>101</v>
      </c>
      <c r="C402" s="107">
        <f>VLOOKUP(B402,'Gebouwgegevens Allacker'!$J$5:$Q$83,3,0)</f>
        <v>2</v>
      </c>
      <c r="D402" s="107" t="str">
        <f>VLOOKUP(B402,'Gebouwgegevens Allacker'!$J$5:$Q$83,4,0)</f>
        <v>Wall internal</v>
      </c>
      <c r="E402" s="107">
        <f>VLOOKUP(B402,'Gebouwgegevens Allacker'!$J$5:$Q$83,5,0)</f>
        <v>140.84</v>
      </c>
      <c r="F402" s="107">
        <f>VLOOKUP(B402,'Gebouwgegevens Allacker'!$J$5:$Q$83,6,0)</f>
        <v>0</v>
      </c>
      <c r="G402" s="107">
        <f>VLOOKUP(B402,'Gebouwgegevens Allacker'!$J$5:$Q$83,7,0)</f>
        <v>1.9926199261992623</v>
      </c>
      <c r="H402" s="108">
        <f>VLOOKUP(B402,'Gebouwgegevens Allacker'!$J$5:$Q$83,8,0)</f>
        <v>280.64059040590411</v>
      </c>
      <c r="I402" s="108">
        <v>1</v>
      </c>
      <c r="J402" s="98"/>
      <c r="K402" s="98"/>
      <c r="L402" s="98"/>
      <c r="M402" s="98"/>
      <c r="N402" s="98"/>
      <c r="O402" s="98"/>
      <c r="P402" s="96"/>
    </row>
    <row r="403" spans="1:16" ht="16.5" customHeight="1" x14ac:dyDescent="0.25">
      <c r="A403" s="95"/>
      <c r="B403" s="106"/>
      <c r="C403" s="107"/>
      <c r="D403" s="107"/>
      <c r="E403" s="107"/>
      <c r="F403" s="107"/>
      <c r="G403" s="107"/>
      <c r="H403" s="108"/>
      <c r="I403" s="108"/>
      <c r="J403" s="98"/>
      <c r="K403" s="98"/>
      <c r="L403" s="98"/>
      <c r="M403" s="98"/>
      <c r="N403" s="98"/>
      <c r="O403" s="98"/>
      <c r="P403" s="96"/>
    </row>
    <row r="404" spans="1:16" ht="16.5" customHeight="1" x14ac:dyDescent="0.25">
      <c r="A404" s="95"/>
      <c r="B404" s="106"/>
      <c r="C404" s="107"/>
      <c r="D404" s="107"/>
      <c r="E404" s="107"/>
      <c r="F404" s="107"/>
      <c r="G404" s="107"/>
      <c r="H404" s="108"/>
      <c r="I404" s="108"/>
      <c r="J404" s="98"/>
      <c r="K404" s="98"/>
      <c r="L404" s="98"/>
      <c r="M404" s="98"/>
      <c r="N404" s="98"/>
      <c r="O404" s="98"/>
      <c r="P404" s="96"/>
    </row>
    <row r="405" spans="1:16" ht="16.5" customHeight="1" x14ac:dyDescent="0.25">
      <c r="A405" s="95"/>
      <c r="B405" s="106"/>
      <c r="C405" s="107"/>
      <c r="D405" s="107"/>
      <c r="E405" s="107"/>
      <c r="F405" s="107"/>
      <c r="G405" s="107"/>
      <c r="H405" s="108"/>
      <c r="I405" s="108"/>
      <c r="J405" s="98"/>
      <c r="K405" s="98"/>
      <c r="L405" s="98"/>
      <c r="M405" s="98"/>
      <c r="N405" s="98"/>
      <c r="O405" s="98"/>
      <c r="P405" s="96"/>
    </row>
    <row r="406" spans="1:16" ht="16.5" customHeight="1" x14ac:dyDescent="0.25">
      <c r="A406" s="95"/>
      <c r="B406" s="106"/>
      <c r="C406" s="107"/>
      <c r="D406" s="107"/>
      <c r="E406" s="107"/>
      <c r="F406" s="107"/>
      <c r="G406" s="107"/>
      <c r="H406" s="108"/>
      <c r="I406" s="108"/>
      <c r="J406" s="98"/>
      <c r="K406" s="98"/>
      <c r="L406" s="98"/>
      <c r="M406" s="98"/>
      <c r="N406" s="98"/>
      <c r="O406" s="98"/>
      <c r="P406" s="96"/>
    </row>
    <row r="407" spans="1:16" ht="16.5" customHeight="1" x14ac:dyDescent="0.25">
      <c r="A407" s="95"/>
      <c r="B407" s="106"/>
      <c r="C407" s="107"/>
      <c r="D407" s="107"/>
      <c r="E407" s="107"/>
      <c r="F407" s="107"/>
      <c r="G407" s="107"/>
      <c r="H407" s="108"/>
      <c r="I407" s="108"/>
      <c r="J407" s="98"/>
      <c r="K407" s="98"/>
      <c r="L407" s="98"/>
      <c r="M407" s="98"/>
      <c r="N407" s="98"/>
      <c r="O407" s="98"/>
      <c r="P407" s="96"/>
    </row>
    <row r="408" spans="1:16" ht="16.5" customHeight="1" x14ac:dyDescent="0.25">
      <c r="A408" s="95"/>
      <c r="B408" s="106"/>
      <c r="C408" s="107"/>
      <c r="D408" s="107"/>
      <c r="E408" s="107"/>
      <c r="F408" s="107"/>
      <c r="G408" s="107"/>
      <c r="H408" s="108"/>
      <c r="I408" s="108"/>
      <c r="J408" s="98"/>
      <c r="K408" s="98"/>
      <c r="L408" s="98"/>
      <c r="M408" s="98"/>
      <c r="N408" s="98"/>
      <c r="O408" s="98"/>
      <c r="P408" s="96"/>
    </row>
    <row r="409" spans="1:16" ht="16.5" customHeight="1" x14ac:dyDescent="0.25">
      <c r="A409" s="95"/>
      <c r="B409" s="106"/>
      <c r="C409" s="107"/>
      <c r="D409" s="107"/>
      <c r="E409" s="107"/>
      <c r="F409" s="107"/>
      <c r="G409" s="107"/>
      <c r="H409" s="108"/>
      <c r="I409" s="108"/>
      <c r="J409" s="98"/>
      <c r="K409" s="98"/>
      <c r="L409" s="98"/>
      <c r="M409" s="98"/>
      <c r="N409" s="98"/>
      <c r="O409" s="98"/>
      <c r="P409" s="96"/>
    </row>
    <row r="410" spans="1:16" ht="16.5" customHeight="1" x14ac:dyDescent="0.25">
      <c r="A410" s="95"/>
      <c r="B410" s="106"/>
      <c r="C410" s="107"/>
      <c r="D410" s="107"/>
      <c r="E410" s="107"/>
      <c r="F410" s="107"/>
      <c r="G410" s="107"/>
      <c r="H410" s="108"/>
      <c r="I410" s="108"/>
      <c r="J410" s="98"/>
      <c r="K410" s="98"/>
      <c r="L410" s="98"/>
      <c r="M410" s="98"/>
      <c r="N410" s="98"/>
      <c r="O410" s="98"/>
      <c r="P410" s="96"/>
    </row>
    <row r="411" spans="1:16" ht="16.5" customHeight="1" x14ac:dyDescent="0.25">
      <c r="A411" s="95"/>
      <c r="B411" s="106"/>
      <c r="C411" s="107"/>
      <c r="D411" s="107"/>
      <c r="E411" s="107"/>
      <c r="F411" s="107"/>
      <c r="G411" s="107"/>
      <c r="H411" s="108"/>
      <c r="I411" s="108"/>
      <c r="J411" s="98"/>
      <c r="K411" s="98"/>
      <c r="L411" s="98"/>
      <c r="M411" s="98"/>
      <c r="N411" s="98"/>
      <c r="O411" s="98"/>
      <c r="P411" s="96"/>
    </row>
    <row r="412" spans="1:16" ht="15.75" customHeight="1" x14ac:dyDescent="0.25">
      <c r="A412" s="95"/>
      <c r="B412" s="58"/>
      <c r="C412" s="58"/>
      <c r="D412" s="58"/>
      <c r="E412" s="58"/>
      <c r="F412" s="58"/>
      <c r="G412" s="114"/>
      <c r="H412" s="58"/>
      <c r="I412" s="58"/>
      <c r="J412" s="98"/>
      <c r="K412" s="98"/>
      <c r="L412" s="98"/>
      <c r="M412" s="98"/>
      <c r="N412" s="98"/>
      <c r="O412" s="98"/>
      <c r="P412" s="96"/>
    </row>
    <row r="413" spans="1:16" ht="15" customHeight="1" x14ac:dyDescent="0.25">
      <c r="A413" s="95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6"/>
    </row>
    <row r="414" spans="1:16" ht="15" customHeight="1" x14ac:dyDescent="0.25">
      <c r="A414" s="103" t="s">
        <v>177</v>
      </c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6"/>
    </row>
    <row r="415" spans="1:16" ht="15.75" customHeight="1" x14ac:dyDescent="0.25">
      <c r="A415" s="95"/>
      <c r="B415" s="58" t="s">
        <v>10</v>
      </c>
      <c r="C415" s="58" t="s">
        <v>178</v>
      </c>
      <c r="D415" s="58" t="s">
        <v>172</v>
      </c>
      <c r="E415" s="58" t="s">
        <v>179</v>
      </c>
      <c r="F415" s="58" t="s">
        <v>16</v>
      </c>
      <c r="G415" s="114" t="s">
        <v>17</v>
      </c>
      <c r="H415" s="114" t="s">
        <v>175</v>
      </c>
      <c r="I415" s="58" t="s">
        <v>180</v>
      </c>
      <c r="J415" s="58" t="s">
        <v>181</v>
      </c>
      <c r="K415" s="58" t="s">
        <v>182</v>
      </c>
      <c r="L415" s="115" t="s">
        <v>183</v>
      </c>
      <c r="M415" s="115" t="s">
        <v>184</v>
      </c>
      <c r="N415" s="115" t="s">
        <v>185</v>
      </c>
      <c r="O415" s="98"/>
      <c r="P415" s="96"/>
    </row>
    <row r="416" spans="1:16" ht="16.5" customHeight="1" x14ac:dyDescent="0.25">
      <c r="A416" s="95"/>
      <c r="B416" s="116"/>
      <c r="C416" s="117"/>
      <c r="D416" s="117"/>
      <c r="E416" s="117"/>
      <c r="F416" s="117"/>
      <c r="G416" s="118"/>
      <c r="H416" s="118"/>
      <c r="I416" s="117"/>
      <c r="J416" s="116"/>
      <c r="K416" s="116"/>
      <c r="L416" s="119"/>
      <c r="M416" s="119"/>
      <c r="N416" s="120"/>
      <c r="O416" s="98"/>
      <c r="P416" s="96"/>
    </row>
    <row r="417" spans="1:16" ht="16.5" customHeight="1" x14ac:dyDescent="0.25">
      <c r="A417" s="95"/>
      <c r="B417" s="116"/>
      <c r="C417" s="117"/>
      <c r="D417" s="117"/>
      <c r="E417" s="117"/>
      <c r="F417" s="117"/>
      <c r="G417" s="118"/>
      <c r="H417" s="118"/>
      <c r="I417" s="117"/>
      <c r="J417" s="116"/>
      <c r="K417" s="116"/>
      <c r="L417" s="119"/>
      <c r="M417" s="119"/>
      <c r="N417" s="120"/>
      <c r="O417" s="98"/>
      <c r="P417" s="96"/>
    </row>
    <row r="418" spans="1:16" ht="16.5" customHeight="1" x14ac:dyDescent="0.25">
      <c r="A418" s="95"/>
      <c r="B418" s="116"/>
      <c r="C418" s="117"/>
      <c r="D418" s="117"/>
      <c r="E418" s="117"/>
      <c r="F418" s="117"/>
      <c r="G418" s="118"/>
      <c r="H418" s="118"/>
      <c r="I418" s="117"/>
      <c r="J418" s="116"/>
      <c r="K418" s="116"/>
      <c r="L418" s="119"/>
      <c r="M418" s="119"/>
      <c r="N418" s="120"/>
      <c r="O418" s="98"/>
      <c r="P418" s="96"/>
    </row>
    <row r="419" spans="1:16" ht="16.5" customHeight="1" x14ac:dyDescent="0.25">
      <c r="A419" s="95"/>
      <c r="B419" s="116"/>
      <c r="C419" s="117"/>
      <c r="D419" s="117"/>
      <c r="E419" s="117"/>
      <c r="F419" s="117"/>
      <c r="G419" s="118"/>
      <c r="H419" s="118"/>
      <c r="I419" s="117"/>
      <c r="J419" s="116"/>
      <c r="K419" s="116"/>
      <c r="L419" s="119"/>
      <c r="M419" s="119"/>
      <c r="N419" s="120"/>
      <c r="O419" s="98"/>
      <c r="P419" s="96"/>
    </row>
    <row r="420" spans="1:16" ht="16.5" customHeight="1" x14ac:dyDescent="0.25">
      <c r="A420" s="138"/>
      <c r="B420" s="116"/>
      <c r="C420" s="117"/>
      <c r="D420" s="117"/>
      <c r="E420" s="117"/>
      <c r="F420" s="117"/>
      <c r="G420" s="118"/>
      <c r="H420" s="118"/>
      <c r="I420" s="117"/>
      <c r="J420" s="116"/>
      <c r="K420" s="116"/>
      <c r="L420" s="119"/>
      <c r="M420" s="119"/>
      <c r="N420" s="120"/>
      <c r="O420" s="98"/>
      <c r="P420" s="96"/>
    </row>
    <row r="421" spans="1:16" ht="15.75" customHeight="1" x14ac:dyDescent="0.25">
      <c r="A421" s="95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6"/>
    </row>
    <row r="422" spans="1:16" ht="15" customHeight="1" x14ac:dyDescent="0.25">
      <c r="A422" s="103" t="s">
        <v>186</v>
      </c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6"/>
    </row>
    <row r="423" spans="1:16" ht="15.75" customHeight="1" x14ac:dyDescent="0.25">
      <c r="A423" s="95"/>
      <c r="B423" s="58" t="s">
        <v>10</v>
      </c>
      <c r="C423" s="58" t="s">
        <v>187</v>
      </c>
      <c r="D423" s="58" t="s">
        <v>188</v>
      </c>
      <c r="E423" s="58" t="s">
        <v>135</v>
      </c>
      <c r="F423" s="58" t="s">
        <v>189</v>
      </c>
      <c r="G423" s="58" t="s">
        <v>190</v>
      </c>
      <c r="H423" s="58" t="s">
        <v>191</v>
      </c>
      <c r="I423" s="58" t="s">
        <v>16</v>
      </c>
      <c r="J423" s="114" t="s">
        <v>17</v>
      </c>
      <c r="K423" s="114" t="s">
        <v>175</v>
      </c>
      <c r="L423" s="98"/>
      <c r="M423" s="98"/>
      <c r="N423" s="98"/>
      <c r="O423" s="98"/>
      <c r="P423" s="96"/>
    </row>
    <row r="424" spans="1:16" ht="16.5" customHeight="1" x14ac:dyDescent="0.25">
      <c r="A424" s="95"/>
      <c r="B424" s="116" t="s">
        <v>233</v>
      </c>
      <c r="C424" s="122" t="e">
        <f>IF(VLOOKUP(B424,'Gebouwgegevens Allacker'!$J$5:$Q$83,2,0)=$B$394,VLOOKUP(B424,'Gebouwgegevens Allacker'!$J$5:$Q$83,2,0),VLOOKUP(B424,'Gebouwgegevens Allacker'!$J$5:$Q$83,3,0))</f>
        <v>#N/A</v>
      </c>
      <c r="D424" s="122" t="e">
        <f>IF(VLOOKUP(B424,'Gebouwgegevens Allacker'!$J$5:$Q$83,2,0)=$B$394,VLOOKUP(B424,'Gebouwgegevens Allacker'!$J$5:$Q$83,3,0),VLOOKUP(B424,'Gebouwgegevens Allacker'!$J$5:$Q$83,2,0))</f>
        <v>#N/A</v>
      </c>
      <c r="E424" s="122" t="e">
        <f>VLOOKUP(B424,'Gebouwgegevens Allacker'!$J$5:$Q$83,4,0)</f>
        <v>#N/A</v>
      </c>
      <c r="F424" s="122" t="e">
        <f>VLOOKUP(B424,'Gebouwgegevens Allacker'!$J$5:$Q$83,5,0)</f>
        <v>#N/A</v>
      </c>
      <c r="G424" s="122" t="e">
        <f>VLOOKUP('Verwarming Tabula'!C424,'Gebouwgegevens Allacker'!$A$35:$F$46,5,0)</f>
        <v>#N/A</v>
      </c>
      <c r="H424" s="122" t="e">
        <f>VLOOKUP('Verwarming Tabula'!D424,'Gebouwgegevens Allacker'!$A$35:$F$46,5,0)</f>
        <v>#N/A</v>
      </c>
      <c r="I424" s="122" t="e">
        <f>VLOOKUP(B424,'Gebouwgegevens Allacker'!$J$5:$Q$83,7,0)</f>
        <v>#N/A</v>
      </c>
      <c r="J424" s="118" t="e">
        <f>VLOOKUP(B424,'Gebouwgegevens Allacker'!$J$5:$Q$83,8,0)</f>
        <v>#N/A</v>
      </c>
      <c r="K424" s="118" t="e">
        <f>(G424-H424)/(G424-$B$4)</f>
        <v>#N/A</v>
      </c>
      <c r="L424" s="98"/>
      <c r="M424" s="98"/>
      <c r="N424" s="98"/>
      <c r="O424" s="98"/>
      <c r="P424" s="96"/>
    </row>
    <row r="425" spans="1:16" ht="16.5" customHeight="1" x14ac:dyDescent="0.25">
      <c r="A425" s="95"/>
      <c r="B425" s="116" t="s">
        <v>237</v>
      </c>
      <c r="C425" s="122" t="e">
        <f>IF(VLOOKUP(B425,'Gebouwgegevens Allacker'!$J$5:$Q$83,2,0)=$B$394,VLOOKUP(B425,'Gebouwgegevens Allacker'!$J$5:$Q$83,2,0),VLOOKUP(B425,'Gebouwgegevens Allacker'!$J$5:$Q$83,3,0))</f>
        <v>#N/A</v>
      </c>
      <c r="D425" s="122" t="e">
        <f>IF(VLOOKUP(B425,'Gebouwgegevens Allacker'!$J$5:$Q$83,2,0)=$B$394,VLOOKUP(B425,'Gebouwgegevens Allacker'!$J$5:$Q$83,3,0),VLOOKUP(B425,'Gebouwgegevens Allacker'!$J$5:$Q$83,2,0))</f>
        <v>#N/A</v>
      </c>
      <c r="E425" s="122" t="e">
        <f>VLOOKUP(B425,'Gebouwgegevens Allacker'!$J$5:$Q$83,4,0)</f>
        <v>#N/A</v>
      </c>
      <c r="F425" s="122" t="e">
        <f>VLOOKUP(B425,'Gebouwgegevens Allacker'!$J$5:$Q$83,5,0)</f>
        <v>#N/A</v>
      </c>
      <c r="G425" s="122" t="e">
        <f>VLOOKUP('Verwarming Tabula'!C425,'Gebouwgegevens Allacker'!$A$35:$F$46,5,0)</f>
        <v>#N/A</v>
      </c>
      <c r="H425" s="122" t="e">
        <f>VLOOKUP('Verwarming Tabula'!D425,'Gebouwgegevens Allacker'!$A$35:$F$46,5,0)</f>
        <v>#N/A</v>
      </c>
      <c r="I425" s="122" t="e">
        <f>VLOOKUP(B425,'Gebouwgegevens Allacker'!$J$5:$Q$83,7,0)</f>
        <v>#N/A</v>
      </c>
      <c r="J425" s="118" t="e">
        <f>VLOOKUP(B425,'Gebouwgegevens Allacker'!$J$5:$Q$83,8,0)</f>
        <v>#N/A</v>
      </c>
      <c r="K425" s="118" t="e">
        <f>(G425-H425)/(G425-$B$4)</f>
        <v>#N/A</v>
      </c>
      <c r="L425" s="98"/>
      <c r="M425" s="98"/>
      <c r="N425" s="98"/>
      <c r="O425" s="98"/>
      <c r="P425" s="96"/>
    </row>
    <row r="426" spans="1:16" ht="16.5" customHeight="1" x14ac:dyDescent="0.25">
      <c r="A426" s="95"/>
      <c r="B426" s="116" t="s">
        <v>238</v>
      </c>
      <c r="C426" s="122" t="e">
        <f>IF(VLOOKUP(B426,'Gebouwgegevens Allacker'!$J$5:$Q$83,2,0)=$B$394,VLOOKUP(B426,'Gebouwgegevens Allacker'!$J$5:$Q$83,2,0),VLOOKUP(B426,'Gebouwgegevens Allacker'!$J$5:$Q$83,3,0))</f>
        <v>#N/A</v>
      </c>
      <c r="D426" s="122" t="e">
        <f>IF(VLOOKUP(B426,'Gebouwgegevens Allacker'!$J$5:$Q$83,2,0)=$B$394,VLOOKUP(B426,'Gebouwgegevens Allacker'!$J$5:$Q$83,3,0),VLOOKUP(B426,'Gebouwgegevens Allacker'!$J$5:$Q$83,2,0))</f>
        <v>#N/A</v>
      </c>
      <c r="E426" s="122" t="e">
        <f>VLOOKUP(B426,'Gebouwgegevens Allacker'!$J$5:$Q$83,4,0)</f>
        <v>#N/A</v>
      </c>
      <c r="F426" s="122" t="e">
        <f>VLOOKUP(B426,'Gebouwgegevens Allacker'!$J$5:$Q$83,5,0)</f>
        <v>#N/A</v>
      </c>
      <c r="G426" s="122" t="e">
        <f>VLOOKUP('Verwarming Tabula'!C426,'Gebouwgegevens Allacker'!$A$35:$F$46,5,0)</f>
        <v>#N/A</v>
      </c>
      <c r="H426" s="122" t="e">
        <f>VLOOKUP('Verwarming Tabula'!D426,'Gebouwgegevens Allacker'!$A$35:$F$46,5,0)</f>
        <v>#N/A</v>
      </c>
      <c r="I426" s="122" t="e">
        <f>VLOOKUP(B426,'Gebouwgegevens Allacker'!$J$5:$Q$83,7,0)</f>
        <v>#N/A</v>
      </c>
      <c r="J426" s="118" t="e">
        <f>VLOOKUP(B426,'Gebouwgegevens Allacker'!$J$5:$Q$83,8,0)</f>
        <v>#N/A</v>
      </c>
      <c r="K426" s="118" t="e">
        <f>(G426-H426)/(G426-$B$4)</f>
        <v>#N/A</v>
      </c>
      <c r="L426" s="98"/>
      <c r="M426" s="98"/>
      <c r="N426" s="98"/>
      <c r="O426" s="98"/>
      <c r="P426" s="96"/>
    </row>
    <row r="427" spans="1:16" ht="16.5" customHeight="1" x14ac:dyDescent="0.25">
      <c r="A427" s="95"/>
      <c r="B427" s="116" t="s">
        <v>239</v>
      </c>
      <c r="C427" s="122" t="e">
        <f>IF(VLOOKUP(B427,'Gebouwgegevens Allacker'!$J$5:$Q$83,2,0)=$B$394,VLOOKUP(B427,'Gebouwgegevens Allacker'!$J$5:$Q$83,2,0),VLOOKUP(B427,'Gebouwgegevens Allacker'!$J$5:$Q$83,3,0))</f>
        <v>#N/A</v>
      </c>
      <c r="D427" s="122" t="e">
        <f>IF(VLOOKUP(B427,'Gebouwgegevens Allacker'!$J$5:$Q$83,2,0)=$B$394,VLOOKUP(B427,'Gebouwgegevens Allacker'!$J$5:$Q$83,3,0),VLOOKUP(B427,'Gebouwgegevens Allacker'!$J$5:$Q$83,2,0))</f>
        <v>#N/A</v>
      </c>
      <c r="E427" s="122" t="e">
        <f>VLOOKUP(B427,'Gebouwgegevens Allacker'!$J$5:$Q$83,4,0)</f>
        <v>#N/A</v>
      </c>
      <c r="F427" s="122" t="e">
        <f>VLOOKUP(B427,'Gebouwgegevens Allacker'!$J$5:$Q$83,5,0)</f>
        <v>#N/A</v>
      </c>
      <c r="G427" s="122" t="e">
        <f>VLOOKUP('Verwarming Tabula'!C427,'Gebouwgegevens Allacker'!$A$35:$F$46,5,0)</f>
        <v>#N/A</v>
      </c>
      <c r="H427" s="122" t="e">
        <f>VLOOKUP('Verwarming Tabula'!D427,'Gebouwgegevens Allacker'!$A$35:$F$46,5,0)</f>
        <v>#N/A</v>
      </c>
      <c r="I427" s="122" t="e">
        <f>VLOOKUP(B427,'Gebouwgegevens Allacker'!$J$5:$Q$83,7,0)</f>
        <v>#N/A</v>
      </c>
      <c r="J427" s="118" t="e">
        <f>VLOOKUP(B427,'Gebouwgegevens Allacker'!$J$5:$Q$83,8,0)</f>
        <v>#N/A</v>
      </c>
      <c r="K427" s="118" t="e">
        <f>(G427-H427)/(G427-$B$4)</f>
        <v>#N/A</v>
      </c>
      <c r="L427" s="98"/>
      <c r="M427" s="98"/>
      <c r="N427" s="98"/>
      <c r="O427" s="98"/>
      <c r="P427" s="96"/>
    </row>
    <row r="428" spans="1:16" ht="16.5" customHeight="1" x14ac:dyDescent="0.25">
      <c r="A428" s="95"/>
      <c r="B428" s="145" t="s">
        <v>240</v>
      </c>
      <c r="C428" s="122" t="e">
        <f>IF(VLOOKUP(B428,'Gebouwgegevens Allacker'!$J$5:$Q$83,2,0)=$B$394,VLOOKUP(B428,'Gebouwgegevens Allacker'!$J$5:$Q$83,2,0),VLOOKUP(B428,'Gebouwgegevens Allacker'!$J$5:$Q$83,3,0))</f>
        <v>#N/A</v>
      </c>
      <c r="D428" s="122" t="e">
        <f>IF(VLOOKUP(B428,'Gebouwgegevens Allacker'!$J$5:$Q$83,2,0)=$B$394,VLOOKUP(B428,'Gebouwgegevens Allacker'!$J$5:$Q$83,3,0),VLOOKUP(B428,'Gebouwgegevens Allacker'!$J$5:$Q$83,2,0))</f>
        <v>#N/A</v>
      </c>
      <c r="E428" s="122" t="e">
        <f>VLOOKUP(B428,'Gebouwgegevens Allacker'!$J$5:$Q$83,4,0)</f>
        <v>#N/A</v>
      </c>
      <c r="F428" s="122" t="e">
        <f>VLOOKUP(B428,'Gebouwgegevens Allacker'!$J$5:$Q$83,5,0)</f>
        <v>#N/A</v>
      </c>
      <c r="G428" s="122" t="e">
        <f>VLOOKUP('Verwarming Tabula'!C428,'Gebouwgegevens Allacker'!$A$35:$F$46,5,0)</f>
        <v>#N/A</v>
      </c>
      <c r="H428" s="122" t="e">
        <f>VLOOKUP('Verwarming Tabula'!D428,'Gebouwgegevens Allacker'!$A$35:$F$46,5,0)</f>
        <v>#N/A</v>
      </c>
      <c r="I428" s="122" t="e">
        <f>VLOOKUP(B428,'Gebouwgegevens Allacker'!$J$5:$Q$83,7,0)</f>
        <v>#N/A</v>
      </c>
      <c r="J428" s="118" t="e">
        <f>VLOOKUP(B428,'Gebouwgegevens Allacker'!$J$5:$Q$83,8,0)</f>
        <v>#N/A</v>
      </c>
      <c r="K428" s="118" t="e">
        <f>(G428-H428)/(G428-$B$4)</f>
        <v>#N/A</v>
      </c>
      <c r="L428" s="98"/>
      <c r="M428" s="98"/>
      <c r="N428" s="98"/>
      <c r="O428" s="98"/>
      <c r="P428" s="96"/>
    </row>
    <row r="429" spans="1:16" ht="16.5" customHeight="1" x14ac:dyDescent="0.25">
      <c r="A429" s="95"/>
      <c r="B429" s="123"/>
      <c r="C429" s="139"/>
      <c r="D429" s="122"/>
      <c r="E429" s="122"/>
      <c r="F429" s="122"/>
      <c r="G429" s="122"/>
      <c r="H429" s="122"/>
      <c r="I429" s="122"/>
      <c r="J429" s="118"/>
      <c r="K429" s="118"/>
      <c r="L429" s="98"/>
      <c r="M429" s="98"/>
      <c r="N429" s="98"/>
      <c r="O429" s="98"/>
      <c r="P429" s="96"/>
    </row>
    <row r="430" spans="1:16" ht="16.5" customHeight="1" x14ac:dyDescent="0.25">
      <c r="A430" s="95"/>
      <c r="B430" s="123"/>
      <c r="C430" s="139"/>
      <c r="D430" s="122"/>
      <c r="E430" s="122"/>
      <c r="F430" s="122"/>
      <c r="G430" s="122"/>
      <c r="H430" s="122"/>
      <c r="I430" s="122"/>
      <c r="J430" s="118"/>
      <c r="K430" s="118"/>
      <c r="L430" s="98"/>
      <c r="M430" s="98"/>
      <c r="N430" s="98"/>
      <c r="O430" s="98"/>
      <c r="P430" s="96"/>
    </row>
    <row r="431" spans="1:16" ht="16.5" customHeight="1" x14ac:dyDescent="0.25">
      <c r="A431" s="95"/>
      <c r="B431" s="123"/>
      <c r="C431" s="139"/>
      <c r="D431" s="122"/>
      <c r="E431" s="122"/>
      <c r="F431" s="122"/>
      <c r="G431" s="122"/>
      <c r="H431" s="122"/>
      <c r="I431" s="122"/>
      <c r="J431" s="118"/>
      <c r="K431" s="118"/>
      <c r="L431" s="98"/>
      <c r="M431" s="98"/>
      <c r="N431" s="98"/>
      <c r="O431" s="98"/>
      <c r="P431" s="96"/>
    </row>
    <row r="432" spans="1:16" ht="16.5" customHeight="1" x14ac:dyDescent="0.25">
      <c r="A432" s="95"/>
      <c r="B432" s="123"/>
      <c r="C432" s="139"/>
      <c r="D432" s="122"/>
      <c r="E432" s="122"/>
      <c r="F432" s="122"/>
      <c r="G432" s="122"/>
      <c r="H432" s="122"/>
      <c r="I432" s="122"/>
      <c r="J432" s="118"/>
      <c r="K432" s="118"/>
      <c r="L432" s="98"/>
      <c r="M432" s="98"/>
      <c r="N432" s="98"/>
      <c r="O432" s="98"/>
      <c r="P432" s="96"/>
    </row>
    <row r="433" spans="1:16" ht="16.5" customHeight="1" x14ac:dyDescent="0.25">
      <c r="A433" s="95"/>
      <c r="B433" s="123"/>
      <c r="C433" s="139"/>
      <c r="D433" s="122"/>
      <c r="E433" s="122"/>
      <c r="F433" s="122"/>
      <c r="G433" s="122"/>
      <c r="H433" s="122"/>
      <c r="I433" s="122"/>
      <c r="J433" s="118"/>
      <c r="K433" s="118"/>
      <c r="L433" s="98"/>
      <c r="M433" s="98"/>
      <c r="N433" s="98"/>
      <c r="O433" s="98"/>
      <c r="P433" s="96"/>
    </row>
    <row r="434" spans="1:16" ht="15.75" customHeight="1" x14ac:dyDescent="0.25">
      <c r="A434" s="95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8"/>
      <c r="M434" s="98"/>
      <c r="N434" s="98"/>
      <c r="O434" s="98"/>
      <c r="P434" s="96"/>
    </row>
    <row r="435" spans="1:16" ht="15" customHeight="1" x14ac:dyDescent="0.25">
      <c r="A435" s="95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6"/>
    </row>
    <row r="436" spans="1:16" ht="15.75" customHeight="1" x14ac:dyDescent="0.25">
      <c r="A436" s="103" t="s">
        <v>192</v>
      </c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6"/>
    </row>
    <row r="437" spans="1:16" ht="16.5" customHeight="1" x14ac:dyDescent="0.25">
      <c r="A437" s="124" t="s">
        <v>193</v>
      </c>
      <c r="B437" s="118" t="e">
        <f>SUMPRODUCT(H400:H411,I400:I411)+SUMPRODUCT(G416:G420,H416:H420)+SUMPRODUCT(J424:J433,K424:K433)</f>
        <v>#N/A</v>
      </c>
      <c r="C437" s="118" t="s">
        <v>107</v>
      </c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6"/>
    </row>
    <row r="438" spans="1:16" ht="16.5" customHeight="1" x14ac:dyDescent="0.25">
      <c r="A438" s="124" t="s">
        <v>167</v>
      </c>
      <c r="B438" s="118" t="e">
        <f>B437*(G424-$B$4)</f>
        <v>#N/A</v>
      </c>
      <c r="C438" s="118" t="s">
        <v>169</v>
      </c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6"/>
    </row>
    <row r="439" spans="1:16" ht="15.75" customHeight="1" x14ac:dyDescent="0.25">
      <c r="A439" s="109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1"/>
    </row>
    <row r="440" spans="1:16" ht="15.75" customHeight="1" x14ac:dyDescent="0.25">
      <c r="A440" s="343" t="s">
        <v>194</v>
      </c>
      <c r="B440" s="343"/>
      <c r="C440" s="343"/>
      <c r="D440" s="125" t="s">
        <v>222</v>
      </c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94"/>
    </row>
    <row r="441" spans="1:16" ht="15" customHeight="1" x14ac:dyDescent="0.25">
      <c r="A441" s="95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6"/>
    </row>
    <row r="442" spans="1:16" ht="15" customHeight="1" x14ac:dyDescent="0.25">
      <c r="A442" s="126" t="s">
        <v>195</v>
      </c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6"/>
    </row>
    <row r="443" spans="1:16" ht="15" customHeight="1" x14ac:dyDescent="0.25">
      <c r="A443" s="127" t="s">
        <v>196</v>
      </c>
      <c r="B443" s="121">
        <v>8</v>
      </c>
      <c r="C443" s="120" t="s">
        <v>197</v>
      </c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6"/>
    </row>
    <row r="444" spans="1:16" ht="15" customHeight="1" x14ac:dyDescent="0.25">
      <c r="A444" s="127" t="s">
        <v>198</v>
      </c>
      <c r="B444" s="121">
        <v>0.03</v>
      </c>
      <c r="C444" s="120" t="s">
        <v>199</v>
      </c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6"/>
    </row>
    <row r="445" spans="1:16" ht="15.75" customHeight="1" x14ac:dyDescent="0.25">
      <c r="A445" s="127" t="s">
        <v>200</v>
      </c>
      <c r="B445" s="121">
        <v>1</v>
      </c>
      <c r="C445" s="120" t="s">
        <v>201</v>
      </c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6"/>
    </row>
    <row r="446" spans="1:16" ht="16.5" customHeight="1" x14ac:dyDescent="0.25">
      <c r="A446" s="124" t="s">
        <v>202</v>
      </c>
      <c r="B446" s="118" t="e">
        <f>2*VLOOKUP(B394,'Gebouwgegevens Allacker'!$A$35:$F$46,6,0)*B443*B444*B445</f>
        <v>#N/A</v>
      </c>
      <c r="C446" s="118" t="s">
        <v>203</v>
      </c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6"/>
    </row>
    <row r="447" spans="1:16" ht="15.75" customHeight="1" x14ac:dyDescent="0.25">
      <c r="A447" s="95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6"/>
    </row>
    <row r="448" spans="1:16" ht="15" customHeight="1" x14ac:dyDescent="0.25">
      <c r="A448" s="126" t="s">
        <v>204</v>
      </c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6"/>
    </row>
    <row r="449" spans="1:16" ht="15.75" customHeight="1" x14ac:dyDescent="0.25">
      <c r="A449" s="95" t="s">
        <v>180</v>
      </c>
      <c r="B449" s="98" t="e">
        <f>VLOOKUP(B394,'Gebouwgegevens Allacker'!$A$35:$F$46,6,0)</f>
        <v>#N/A</v>
      </c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6"/>
    </row>
    <row r="450" spans="1:16" ht="16.5" customHeight="1" x14ac:dyDescent="0.25">
      <c r="A450" s="124" t="s">
        <v>205</v>
      </c>
      <c r="B450" s="128" t="e">
        <f>B449*3.6</f>
        <v>#N/A</v>
      </c>
      <c r="C450" s="118" t="s">
        <v>203</v>
      </c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6"/>
    </row>
    <row r="451" spans="1:16" ht="15.75" customHeight="1" x14ac:dyDescent="0.25">
      <c r="A451" s="138"/>
      <c r="B451" s="58"/>
      <c r="C451" s="5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6"/>
    </row>
    <row r="452" spans="1:16" ht="15.75" customHeight="1" x14ac:dyDescent="0.25">
      <c r="A452" s="138"/>
      <c r="B452" s="58"/>
      <c r="C452" s="5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6"/>
    </row>
    <row r="453" spans="1:16" ht="16.5" customHeight="1" x14ac:dyDescent="0.25">
      <c r="A453" s="124" t="s">
        <v>207</v>
      </c>
      <c r="B453" s="118" t="e">
        <f>MAX(B446,B450)</f>
        <v>#N/A</v>
      </c>
      <c r="C453" s="118" t="s">
        <v>203</v>
      </c>
      <c r="D453" s="98"/>
      <c r="E453" s="98"/>
      <c r="F453" s="118" t="s">
        <v>208</v>
      </c>
      <c r="G453" s="118" t="e">
        <f>B453/VLOOKUP(B394,'Gebouwgegevens Allacker'!$A$35:$B$46,2,0)</f>
        <v>#N/A</v>
      </c>
      <c r="H453" s="98"/>
      <c r="I453" s="98"/>
      <c r="J453" s="98"/>
      <c r="K453" s="98"/>
      <c r="L453" s="98"/>
      <c r="M453" s="98"/>
      <c r="N453" s="98"/>
      <c r="O453" s="98"/>
      <c r="P453" s="96"/>
    </row>
    <row r="454" spans="1:16" ht="16.5" customHeight="1" x14ac:dyDescent="0.25">
      <c r="A454" s="138"/>
      <c r="B454" s="58"/>
      <c r="C454" s="5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6"/>
    </row>
    <row r="455" spans="1:16" ht="16.5" customHeight="1" x14ac:dyDescent="0.25">
      <c r="A455" s="124" t="s">
        <v>209</v>
      </c>
      <c r="B455" s="118" t="e">
        <f>0.34*B453</f>
        <v>#N/A</v>
      </c>
      <c r="C455" s="118" t="s">
        <v>107</v>
      </c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6"/>
    </row>
    <row r="456" spans="1:16" ht="16.5" customHeight="1" x14ac:dyDescent="0.25">
      <c r="A456" s="124" t="s">
        <v>167</v>
      </c>
      <c r="B456" s="118" t="e">
        <f>B455*('Gebouwgegevens Allacker'!E416-$B$4)</f>
        <v>#N/A</v>
      </c>
      <c r="C456" s="118" t="s">
        <v>169</v>
      </c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6"/>
    </row>
    <row r="457" spans="1:16" ht="15.75" customHeight="1" x14ac:dyDescent="0.25">
      <c r="A457" s="140"/>
      <c r="B457" s="141"/>
      <c r="C457" s="141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1"/>
    </row>
    <row r="458" spans="1:16" ht="15.75" customHeight="1" x14ac:dyDescent="0.25">
      <c r="A458" s="343" t="s">
        <v>210</v>
      </c>
      <c r="B458" s="343"/>
      <c r="C458" s="343"/>
      <c r="D458" s="343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6"/>
    </row>
    <row r="459" spans="1:16" ht="15" customHeight="1" x14ac:dyDescent="0.25">
      <c r="A459" s="95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6"/>
    </row>
    <row r="460" spans="1:16" ht="15" customHeight="1" x14ac:dyDescent="0.25">
      <c r="A460" s="127" t="s">
        <v>211</v>
      </c>
      <c r="B460" s="121">
        <v>22</v>
      </c>
      <c r="C460" s="58" t="s">
        <v>232</v>
      </c>
      <c r="D460" s="5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6"/>
    </row>
    <row r="461" spans="1:16" ht="15.75" customHeight="1" x14ac:dyDescent="0.25">
      <c r="A461" s="3" t="s">
        <v>113</v>
      </c>
      <c r="B461" s="58" t="e">
        <f>VLOOKUP(B394,'Gebouwgegevens Allacker'!$A$35:$F$46,6,0)</f>
        <v>#N/A</v>
      </c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6"/>
    </row>
    <row r="462" spans="1:16" ht="16.5" customHeight="1" x14ac:dyDescent="0.25">
      <c r="A462" s="124" t="s">
        <v>213</v>
      </c>
      <c r="B462" s="118" t="e">
        <f>B463/('Gebouwgegevens Allacker'!E416-'Verwarming Tabula'!$B$4)</f>
        <v>#N/A</v>
      </c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6"/>
    </row>
    <row r="463" spans="1:16" ht="16.5" customHeight="1" x14ac:dyDescent="0.25">
      <c r="A463" s="124" t="s">
        <v>167</v>
      </c>
      <c r="B463" s="118" t="e">
        <f>B460*B461</f>
        <v>#N/A</v>
      </c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6"/>
    </row>
    <row r="464" spans="1:16" ht="15.75" customHeight="1" x14ac:dyDescent="0.25">
      <c r="A464" s="95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6"/>
    </row>
    <row r="465" spans="1:16" ht="15.75" customHeight="1" x14ac:dyDescent="0.25">
      <c r="A465" s="95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6"/>
    </row>
    <row r="466" spans="1:16" ht="15.75" customHeight="1" x14ac:dyDescent="0.25">
      <c r="A466" s="129" t="s">
        <v>214</v>
      </c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1"/>
    </row>
    <row r="467" spans="1:16" ht="16.5" customHeight="1" x14ac:dyDescent="0.25">
      <c r="A467" s="124" t="s">
        <v>215</v>
      </c>
      <c r="B467" s="118" t="e">
        <f>SUM(B437,B455,B462)</f>
        <v>#N/A</v>
      </c>
      <c r="C467" s="118" t="s">
        <v>107</v>
      </c>
      <c r="D467" s="132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  <c r="O467" s="132"/>
      <c r="P467" s="133"/>
    </row>
    <row r="468" spans="1:16" ht="16.5" customHeight="1" x14ac:dyDescent="0.25">
      <c r="A468" s="124" t="s">
        <v>167</v>
      </c>
      <c r="B468" s="118" t="e">
        <f>SUM(B438,B456,B463)</f>
        <v>#N/A</v>
      </c>
      <c r="C468" s="118" t="s">
        <v>169</v>
      </c>
      <c r="D468" s="132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  <c r="O468" s="132"/>
      <c r="P468" s="133"/>
    </row>
    <row r="469" spans="1:16" ht="16.5" customHeight="1" x14ac:dyDescent="0.25">
      <c r="A469" s="134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6"/>
    </row>
    <row r="470" spans="1:16" ht="15.75" customHeight="1" x14ac:dyDescent="0.25">
      <c r="A470" s="137"/>
      <c r="B470" s="137"/>
      <c r="C470" s="137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</row>
    <row r="471" spans="1:16" ht="15" customHeight="1" x14ac:dyDescent="0.25">
      <c r="A471" s="93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94"/>
    </row>
    <row r="472" spans="1:16" ht="17.25" customHeight="1" x14ac:dyDescent="0.3">
      <c r="A472" s="97" t="s">
        <v>166</v>
      </c>
      <c r="B472" s="92">
        <v>7</v>
      </c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6"/>
    </row>
    <row r="473" spans="1:16" ht="15.75" customHeight="1" x14ac:dyDescent="0.25">
      <c r="A473" s="343" t="s">
        <v>168</v>
      </c>
      <c r="B473" s="343"/>
      <c r="C473" s="343"/>
      <c r="D473" s="343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94"/>
    </row>
    <row r="474" spans="1:16" ht="15" customHeight="1" x14ac:dyDescent="0.25">
      <c r="A474" s="95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6"/>
    </row>
    <row r="475" spans="1:16" ht="15" customHeight="1" x14ac:dyDescent="0.25">
      <c r="A475" s="103" t="s">
        <v>170</v>
      </c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6"/>
    </row>
    <row r="476" spans="1:16" ht="15" customHeight="1" x14ac:dyDescent="0.25">
      <c r="A476" s="95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6"/>
    </row>
    <row r="477" spans="1:16" ht="15.75" customHeight="1" x14ac:dyDescent="0.25">
      <c r="A477" s="95"/>
      <c r="B477" s="104" t="s">
        <v>10</v>
      </c>
      <c r="C477" s="104" t="s">
        <v>171</v>
      </c>
      <c r="D477" s="104" t="s">
        <v>172</v>
      </c>
      <c r="E477" s="104" t="s">
        <v>173</v>
      </c>
      <c r="F477" s="104" t="s">
        <v>174</v>
      </c>
      <c r="G477" s="104" t="s">
        <v>16</v>
      </c>
      <c r="H477" s="105" t="s">
        <v>17</v>
      </c>
      <c r="I477" s="105" t="s">
        <v>175</v>
      </c>
      <c r="J477" s="98"/>
      <c r="K477" s="98"/>
      <c r="L477" s="98"/>
      <c r="M477" s="98"/>
      <c r="N477" s="98"/>
      <c r="O477" s="98"/>
      <c r="P477" s="96"/>
    </row>
    <row r="478" spans="1:16" ht="16.5" customHeight="1" x14ac:dyDescent="0.25">
      <c r="A478" s="95"/>
      <c r="B478" s="106" t="s">
        <v>102</v>
      </c>
      <c r="C478" s="107">
        <f>VLOOKUP(B478,'Gebouwgegevens Allacker'!$J$5:$Q$83,3,0)</f>
        <v>2</v>
      </c>
      <c r="D478" s="107" t="str">
        <f>VLOOKUP(B478,'Gebouwgegevens Allacker'!$J$5:$Q$83,4,0)</f>
        <v>Wall internal</v>
      </c>
      <c r="E478" s="107">
        <f>VLOOKUP(B478,'Gebouwgegevens Allacker'!$J$5:$Q$83,5,0)</f>
        <v>14.24</v>
      </c>
      <c r="F478" s="107">
        <f>VLOOKUP(B478,'Gebouwgegevens Allacker'!$J$5:$Q$83,6,0)</f>
        <v>0</v>
      </c>
      <c r="G478" s="107">
        <f>VLOOKUP(B478,'Gebouwgegevens Allacker'!$J$5:$Q$83,7,0)</f>
        <v>1.9926199261992623</v>
      </c>
      <c r="H478" s="108">
        <f>VLOOKUP(B478,'Gebouwgegevens Allacker'!$J$5:$Q$83,8,0)</f>
        <v>28.374907749077497</v>
      </c>
      <c r="I478" s="108">
        <v>1</v>
      </c>
      <c r="J478" s="98"/>
      <c r="K478" s="98"/>
      <c r="L478" s="98"/>
      <c r="M478" s="98"/>
      <c r="N478" s="98"/>
      <c r="O478" s="98"/>
      <c r="P478" s="96"/>
    </row>
    <row r="479" spans="1:16" ht="16.5" customHeight="1" x14ac:dyDescent="0.25">
      <c r="A479" s="95"/>
      <c r="B479" s="106" t="s">
        <v>102</v>
      </c>
      <c r="C479" s="107">
        <f>VLOOKUP(B479,'Gebouwgegevens Allacker'!$J$5:$Q$83,3,0)</f>
        <v>2</v>
      </c>
      <c r="D479" s="107" t="str">
        <f>VLOOKUP(B479,'Gebouwgegevens Allacker'!$J$5:$Q$83,4,0)</f>
        <v>Wall internal</v>
      </c>
      <c r="E479" s="107">
        <f>VLOOKUP(B479,'Gebouwgegevens Allacker'!$J$5:$Q$83,5,0)</f>
        <v>14.24</v>
      </c>
      <c r="F479" s="107">
        <f>VLOOKUP(B479,'Gebouwgegevens Allacker'!$J$5:$Q$83,6,0)</f>
        <v>0</v>
      </c>
      <c r="G479" s="107">
        <f>VLOOKUP(B479,'Gebouwgegevens Allacker'!$J$5:$Q$83,7,0)</f>
        <v>1.9926199261992623</v>
      </c>
      <c r="H479" s="108">
        <f>VLOOKUP(B479,'Gebouwgegevens Allacker'!$J$5:$Q$83,8,0)</f>
        <v>28.374907749077497</v>
      </c>
      <c r="I479" s="108">
        <v>1</v>
      </c>
      <c r="J479" s="98"/>
      <c r="K479" s="98"/>
      <c r="L479" s="98"/>
      <c r="M479" s="98"/>
      <c r="N479" s="98"/>
      <c r="O479" s="98"/>
      <c r="P479" s="96"/>
    </row>
    <row r="480" spans="1:16" ht="16.5" customHeight="1" x14ac:dyDescent="0.25">
      <c r="A480" s="95"/>
      <c r="B480" s="106" t="s">
        <v>241</v>
      </c>
      <c r="C480" s="107" t="e">
        <f>VLOOKUP(B480,'Gebouwgegevens Allacker'!$J$5:$Q$83,3,0)</f>
        <v>#N/A</v>
      </c>
      <c r="D480" s="107" t="e">
        <f>VLOOKUP(B480,'Gebouwgegevens Allacker'!$J$5:$Q$83,4,0)</f>
        <v>#N/A</v>
      </c>
      <c r="E480" s="107" t="e">
        <f>VLOOKUP(B480,'Gebouwgegevens Allacker'!$J$5:$Q$83,5,0)</f>
        <v>#N/A</v>
      </c>
      <c r="F480" s="107" t="e">
        <f>VLOOKUP(B480,'Gebouwgegevens Allacker'!$J$5:$Q$83,6,0)</f>
        <v>#N/A</v>
      </c>
      <c r="G480" s="107" t="e">
        <f>VLOOKUP(B480,'Gebouwgegevens Allacker'!$J$5:$Q$83,7,0)</f>
        <v>#N/A</v>
      </c>
      <c r="H480" s="108" t="e">
        <f>VLOOKUP(B480,'Gebouwgegevens Allacker'!$J$5:$Q$83,8,0)</f>
        <v>#N/A</v>
      </c>
      <c r="I480" s="108">
        <v>1</v>
      </c>
      <c r="J480" s="98"/>
      <c r="K480" s="98"/>
      <c r="L480" s="98"/>
      <c r="M480" s="98"/>
      <c r="N480" s="98"/>
      <c r="O480" s="98"/>
      <c r="P480" s="96"/>
    </row>
    <row r="481" spans="1:16" ht="16.5" customHeight="1" x14ac:dyDescent="0.25">
      <c r="A481" s="95"/>
      <c r="B481" s="106" t="s">
        <v>242</v>
      </c>
      <c r="C481" s="107" t="e">
        <f>VLOOKUP(B481,'Gebouwgegevens Allacker'!$J$5:$Q$83,3,0)</f>
        <v>#N/A</v>
      </c>
      <c r="D481" s="107" t="e">
        <f>VLOOKUP(B481,'Gebouwgegevens Allacker'!$J$5:$Q$83,4,0)</f>
        <v>#N/A</v>
      </c>
      <c r="E481" s="107" t="e">
        <f>VLOOKUP(B481,'Gebouwgegevens Allacker'!$J$5:$Q$83,5,0)</f>
        <v>#N/A</v>
      </c>
      <c r="F481" s="107" t="e">
        <f>VLOOKUP(B481,'Gebouwgegevens Allacker'!$J$5:$Q$83,6,0)</f>
        <v>#N/A</v>
      </c>
      <c r="G481" s="107" t="e">
        <f>VLOOKUP(B481,'Gebouwgegevens Allacker'!$J$5:$Q$83,7,0)</f>
        <v>#N/A</v>
      </c>
      <c r="H481" s="108" t="e">
        <f>VLOOKUP(B481,'Gebouwgegevens Allacker'!$J$5:$Q$83,8,0)</f>
        <v>#N/A</v>
      </c>
      <c r="I481" s="108">
        <v>1</v>
      </c>
      <c r="J481" s="98"/>
      <c r="K481" s="98"/>
      <c r="L481" s="98"/>
      <c r="M481" s="98"/>
      <c r="N481" s="98"/>
      <c r="O481" s="98"/>
      <c r="P481" s="96"/>
    </row>
    <row r="482" spans="1:16" ht="16.5" customHeight="1" x14ac:dyDescent="0.25">
      <c r="A482" s="95"/>
      <c r="B482" s="106" t="s">
        <v>243</v>
      </c>
      <c r="C482" s="107" t="e">
        <f>VLOOKUP(B482,'Gebouwgegevens Allacker'!$J$5:$Q$83,3,0)</f>
        <v>#N/A</v>
      </c>
      <c r="D482" s="107" t="e">
        <f>VLOOKUP(B482,'Gebouwgegevens Allacker'!$J$5:$Q$83,4,0)</f>
        <v>#N/A</v>
      </c>
      <c r="E482" s="107" t="e">
        <f>VLOOKUP(B482,'Gebouwgegevens Allacker'!$J$5:$Q$83,5,0)</f>
        <v>#N/A</v>
      </c>
      <c r="F482" s="107" t="e">
        <f>VLOOKUP(B482,'Gebouwgegevens Allacker'!$J$5:$Q$83,6,0)</f>
        <v>#N/A</v>
      </c>
      <c r="G482" s="107" t="e">
        <f>VLOOKUP(B482,'Gebouwgegevens Allacker'!$J$5:$Q$83,7,0)</f>
        <v>#N/A</v>
      </c>
      <c r="H482" s="108" t="e">
        <f>VLOOKUP(B482,'Gebouwgegevens Allacker'!$J$5:$Q$83,8,0)</f>
        <v>#N/A</v>
      </c>
      <c r="I482" s="108">
        <v>1</v>
      </c>
      <c r="J482" s="98"/>
      <c r="K482" s="98"/>
      <c r="L482" s="98"/>
      <c r="M482" s="98"/>
      <c r="N482" s="98"/>
      <c r="O482" s="98"/>
      <c r="P482" s="96"/>
    </row>
    <row r="483" spans="1:16" ht="16.5" customHeight="1" x14ac:dyDescent="0.25">
      <c r="A483" s="95"/>
      <c r="B483" s="106" t="s">
        <v>244</v>
      </c>
      <c r="C483" s="107" t="e">
        <f>VLOOKUP(B483,'Gebouwgegevens Allacker'!$J$5:$Q$83,3,0)</f>
        <v>#N/A</v>
      </c>
      <c r="D483" s="107" t="e">
        <f>VLOOKUP(B483,'Gebouwgegevens Allacker'!$J$5:$Q$83,4,0)</f>
        <v>#N/A</v>
      </c>
      <c r="E483" s="107" t="e">
        <f>VLOOKUP(B483,'Gebouwgegevens Allacker'!$J$5:$Q$83,5,0)</f>
        <v>#N/A</v>
      </c>
      <c r="F483" s="107" t="e">
        <f>VLOOKUP(B483,'Gebouwgegevens Allacker'!$J$5:$Q$83,6,0)</f>
        <v>#N/A</v>
      </c>
      <c r="G483" s="107" t="e">
        <f>VLOOKUP(B483,'Gebouwgegevens Allacker'!$J$5:$Q$83,7,0)</f>
        <v>#N/A</v>
      </c>
      <c r="H483" s="108" t="e">
        <f>VLOOKUP(B483,'Gebouwgegevens Allacker'!$J$5:$Q$83,8,0)</f>
        <v>#N/A</v>
      </c>
      <c r="I483" s="108">
        <v>1</v>
      </c>
      <c r="J483" s="98"/>
      <c r="K483" s="98"/>
      <c r="L483" s="98"/>
      <c r="M483" s="98"/>
      <c r="N483" s="98"/>
      <c r="O483" s="98"/>
      <c r="P483" s="96"/>
    </row>
    <row r="484" spans="1:16" ht="16.5" customHeight="1" x14ac:dyDescent="0.25">
      <c r="A484" s="95"/>
      <c r="B484" s="106"/>
      <c r="C484" s="107"/>
      <c r="D484" s="107"/>
      <c r="E484" s="107"/>
      <c r="F484" s="107"/>
      <c r="G484" s="107"/>
      <c r="H484" s="108"/>
      <c r="I484" s="108"/>
      <c r="J484" s="98"/>
      <c r="K484" s="98"/>
      <c r="L484" s="98"/>
      <c r="M484" s="98"/>
      <c r="N484" s="98"/>
      <c r="O484" s="98"/>
      <c r="P484" s="96"/>
    </row>
    <row r="485" spans="1:16" ht="16.5" customHeight="1" x14ac:dyDescent="0.25">
      <c r="A485" s="95"/>
      <c r="B485" s="106"/>
      <c r="C485" s="107"/>
      <c r="D485" s="107"/>
      <c r="E485" s="107"/>
      <c r="F485" s="107"/>
      <c r="G485" s="107"/>
      <c r="H485" s="108"/>
      <c r="I485" s="108"/>
      <c r="J485" s="98"/>
      <c r="K485" s="98"/>
      <c r="L485" s="98"/>
      <c r="M485" s="98"/>
      <c r="N485" s="98"/>
      <c r="O485" s="98"/>
      <c r="P485" s="96"/>
    </row>
    <row r="486" spans="1:16" ht="16.5" customHeight="1" x14ac:dyDescent="0.25">
      <c r="A486" s="95"/>
      <c r="B486" s="106"/>
      <c r="C486" s="107"/>
      <c r="D486" s="107"/>
      <c r="E486" s="107"/>
      <c r="F486" s="107"/>
      <c r="G486" s="107"/>
      <c r="H486" s="108"/>
      <c r="I486" s="108"/>
      <c r="J486" s="98"/>
      <c r="K486" s="98"/>
      <c r="L486" s="98"/>
      <c r="M486" s="98"/>
      <c r="N486" s="98"/>
      <c r="O486" s="98"/>
      <c r="P486" s="96"/>
    </row>
    <row r="487" spans="1:16" ht="16.5" customHeight="1" x14ac:dyDescent="0.25">
      <c r="A487" s="95"/>
      <c r="B487" s="106"/>
      <c r="C487" s="107"/>
      <c r="D487" s="107"/>
      <c r="E487" s="107"/>
      <c r="F487" s="107"/>
      <c r="G487" s="107"/>
      <c r="H487" s="108"/>
      <c r="I487" s="108"/>
      <c r="J487" s="98"/>
      <c r="K487" s="98"/>
      <c r="L487" s="98"/>
      <c r="M487" s="98"/>
      <c r="N487" s="98"/>
      <c r="O487" s="98"/>
      <c r="P487" s="96"/>
    </row>
    <row r="488" spans="1:16" ht="16.5" customHeight="1" x14ac:dyDescent="0.25">
      <c r="A488" s="95"/>
      <c r="B488" s="106"/>
      <c r="C488" s="107"/>
      <c r="D488" s="107"/>
      <c r="E488" s="107"/>
      <c r="F488" s="107"/>
      <c r="G488" s="107"/>
      <c r="H488" s="108"/>
      <c r="I488" s="108"/>
      <c r="J488" s="98"/>
      <c r="K488" s="98"/>
      <c r="L488" s="98"/>
      <c r="M488" s="98"/>
      <c r="N488" s="98"/>
      <c r="O488" s="98"/>
      <c r="P488" s="96"/>
    </row>
    <row r="489" spans="1:16" ht="16.5" customHeight="1" x14ac:dyDescent="0.25">
      <c r="A489" s="95"/>
      <c r="B489" s="106"/>
      <c r="C489" s="107"/>
      <c r="D489" s="107"/>
      <c r="E489" s="107"/>
      <c r="F489" s="107"/>
      <c r="G489" s="107"/>
      <c r="H489" s="108"/>
      <c r="I489" s="108"/>
      <c r="J489" s="98"/>
      <c r="K489" s="98"/>
      <c r="L489" s="98"/>
      <c r="M489" s="98"/>
      <c r="N489" s="98"/>
      <c r="O489" s="98"/>
      <c r="P489" s="96"/>
    </row>
    <row r="490" spans="1:16" ht="15.75" customHeight="1" x14ac:dyDescent="0.25">
      <c r="A490" s="95"/>
      <c r="B490" s="58"/>
      <c r="C490" s="58"/>
      <c r="D490" s="58"/>
      <c r="E490" s="58"/>
      <c r="F490" s="58"/>
      <c r="G490" s="114"/>
      <c r="H490" s="58"/>
      <c r="I490" s="58"/>
      <c r="J490" s="98"/>
      <c r="K490" s="98"/>
      <c r="L490" s="98"/>
      <c r="M490" s="98"/>
      <c r="N490" s="98"/>
      <c r="O490" s="98"/>
      <c r="P490" s="96"/>
    </row>
    <row r="491" spans="1:16" ht="15" customHeight="1" x14ac:dyDescent="0.25">
      <c r="A491" s="95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6"/>
    </row>
    <row r="492" spans="1:16" ht="15" customHeight="1" x14ac:dyDescent="0.25">
      <c r="A492" s="103" t="s">
        <v>177</v>
      </c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6"/>
    </row>
    <row r="493" spans="1:16" ht="15.75" customHeight="1" x14ac:dyDescent="0.25">
      <c r="A493" s="95"/>
      <c r="B493" s="58" t="s">
        <v>10</v>
      </c>
      <c r="C493" s="58" t="s">
        <v>178</v>
      </c>
      <c r="D493" s="58" t="s">
        <v>172</v>
      </c>
      <c r="E493" s="58" t="s">
        <v>179</v>
      </c>
      <c r="F493" s="58" t="s">
        <v>16</v>
      </c>
      <c r="G493" s="114" t="s">
        <v>17</v>
      </c>
      <c r="H493" s="114" t="s">
        <v>175</v>
      </c>
      <c r="I493" s="58" t="s">
        <v>180</v>
      </c>
      <c r="J493" s="58" t="s">
        <v>181</v>
      </c>
      <c r="K493" s="58" t="s">
        <v>182</v>
      </c>
      <c r="L493" s="115" t="s">
        <v>183</v>
      </c>
      <c r="M493" s="115" t="s">
        <v>184</v>
      </c>
      <c r="N493" s="115" t="s">
        <v>185</v>
      </c>
      <c r="O493" s="98"/>
      <c r="P493" s="96"/>
    </row>
    <row r="494" spans="1:16" ht="16.5" customHeight="1" x14ac:dyDescent="0.25">
      <c r="A494" s="95"/>
      <c r="B494" s="116"/>
      <c r="C494" s="117"/>
      <c r="D494" s="117"/>
      <c r="E494" s="117"/>
      <c r="F494" s="117"/>
      <c r="G494" s="118"/>
      <c r="H494" s="118"/>
      <c r="I494" s="117"/>
      <c r="J494" s="116"/>
      <c r="K494" s="116"/>
      <c r="L494" s="119"/>
      <c r="M494" s="119"/>
      <c r="N494" s="120"/>
      <c r="O494" s="98"/>
      <c r="P494" s="96"/>
    </row>
    <row r="495" spans="1:16" ht="16.5" customHeight="1" x14ac:dyDescent="0.25">
      <c r="A495" s="95"/>
      <c r="B495" s="116"/>
      <c r="C495" s="117"/>
      <c r="D495" s="117"/>
      <c r="E495" s="117"/>
      <c r="F495" s="117"/>
      <c r="G495" s="118"/>
      <c r="H495" s="118"/>
      <c r="I495" s="117"/>
      <c r="J495" s="116"/>
      <c r="K495" s="116"/>
      <c r="L495" s="119"/>
      <c r="M495" s="119"/>
      <c r="N495" s="120"/>
      <c r="O495" s="98"/>
      <c r="P495" s="96"/>
    </row>
    <row r="496" spans="1:16" ht="16.5" customHeight="1" x14ac:dyDescent="0.25">
      <c r="A496" s="95"/>
      <c r="B496" s="116"/>
      <c r="C496" s="117"/>
      <c r="D496" s="117"/>
      <c r="E496" s="117"/>
      <c r="F496" s="117"/>
      <c r="G496" s="118"/>
      <c r="H496" s="118"/>
      <c r="I496" s="117"/>
      <c r="J496" s="116"/>
      <c r="K496" s="116"/>
      <c r="L496" s="119"/>
      <c r="M496" s="119"/>
      <c r="N496" s="120"/>
      <c r="O496" s="98"/>
      <c r="P496" s="96"/>
    </row>
    <row r="497" spans="1:16" ht="16.5" customHeight="1" x14ac:dyDescent="0.25">
      <c r="A497" s="95"/>
      <c r="B497" s="116"/>
      <c r="C497" s="117"/>
      <c r="D497" s="117"/>
      <c r="E497" s="117"/>
      <c r="F497" s="117"/>
      <c r="G497" s="118"/>
      <c r="H497" s="118"/>
      <c r="I497" s="117"/>
      <c r="J497" s="116"/>
      <c r="K497" s="116"/>
      <c r="L497" s="119"/>
      <c r="M497" s="119"/>
      <c r="N497" s="120"/>
      <c r="O497" s="98"/>
      <c r="P497" s="96"/>
    </row>
    <row r="498" spans="1:16" ht="16.5" customHeight="1" x14ac:dyDescent="0.25">
      <c r="A498" s="138"/>
      <c r="B498" s="116"/>
      <c r="C498" s="117"/>
      <c r="D498" s="117"/>
      <c r="E498" s="117"/>
      <c r="F498" s="117"/>
      <c r="G498" s="118"/>
      <c r="H498" s="118"/>
      <c r="I498" s="117"/>
      <c r="J498" s="116"/>
      <c r="K498" s="116"/>
      <c r="L498" s="119"/>
      <c r="M498" s="119"/>
      <c r="N498" s="120"/>
      <c r="O498" s="98"/>
      <c r="P498" s="96"/>
    </row>
    <row r="499" spans="1:16" ht="15.75" customHeight="1" x14ac:dyDescent="0.25">
      <c r="A499" s="95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6"/>
    </row>
    <row r="500" spans="1:16" ht="15" customHeight="1" x14ac:dyDescent="0.25">
      <c r="A500" s="103" t="s">
        <v>186</v>
      </c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6"/>
    </row>
    <row r="501" spans="1:16" ht="15.75" customHeight="1" x14ac:dyDescent="0.25">
      <c r="A501" s="95"/>
      <c r="B501" s="58" t="s">
        <v>10</v>
      </c>
      <c r="C501" s="58" t="s">
        <v>187</v>
      </c>
      <c r="D501" s="58" t="s">
        <v>188</v>
      </c>
      <c r="E501" s="58" t="s">
        <v>135</v>
      </c>
      <c r="F501" s="58" t="s">
        <v>189</v>
      </c>
      <c r="G501" s="58" t="s">
        <v>190</v>
      </c>
      <c r="H501" s="58" t="s">
        <v>191</v>
      </c>
      <c r="I501" s="58" t="s">
        <v>16</v>
      </c>
      <c r="J501" s="114" t="s">
        <v>17</v>
      </c>
      <c r="K501" s="114" t="s">
        <v>175</v>
      </c>
      <c r="L501" s="98"/>
      <c r="M501" s="98"/>
      <c r="N501" s="98"/>
      <c r="O501" s="98"/>
      <c r="P501" s="96"/>
    </row>
    <row r="502" spans="1:16" ht="16.5" customHeight="1" x14ac:dyDescent="0.25">
      <c r="A502" s="95"/>
      <c r="B502" s="116" t="s">
        <v>237</v>
      </c>
      <c r="C502" s="122" t="e">
        <f>IF(VLOOKUP(B502,'Gebouwgegevens Allacker'!$J$5:$Q$83,2,0)=$B$472,VLOOKUP(B502,'Gebouwgegevens Allacker'!$J$5:$Q$83,2,0),VLOOKUP(B502,'Gebouwgegevens Allacker'!$J$5:$Q$83,3,0))</f>
        <v>#N/A</v>
      </c>
      <c r="D502" s="122" t="e">
        <f>IF(VLOOKUP(B502,'Gebouwgegevens Allacker'!$J$5:$Q$83,2,0)=$B$472,VLOOKUP(B502,'Gebouwgegevens Allacker'!$J$5:$Q$83,3,0),VLOOKUP(B502,'Gebouwgegevens Allacker'!$J$5:$Q$83,2,0))</f>
        <v>#N/A</v>
      </c>
      <c r="E502" s="122" t="e">
        <f>VLOOKUP(B502,'Gebouwgegevens Allacker'!$J$5:$Q$83,4,0)</f>
        <v>#N/A</v>
      </c>
      <c r="F502" s="122" t="e">
        <f>VLOOKUP(B502,'Gebouwgegevens Allacker'!$J$5:$Q$83,5,0)</f>
        <v>#N/A</v>
      </c>
      <c r="G502" s="122" t="e">
        <f>VLOOKUP('Verwarming Tabula'!C502,'Gebouwgegevens Allacker'!$A$35:$F$46,5,0)</f>
        <v>#N/A</v>
      </c>
      <c r="H502" s="122" t="e">
        <f>VLOOKUP('Verwarming Tabula'!D502,'Gebouwgegevens Allacker'!$A$35:$F$46,5,0)</f>
        <v>#N/A</v>
      </c>
      <c r="I502" s="122" t="e">
        <f>VLOOKUP(B502,'Gebouwgegevens Allacker'!$J$5:$Q$83,7,0)</f>
        <v>#N/A</v>
      </c>
      <c r="J502" s="118" t="e">
        <f>VLOOKUP(B502,'Gebouwgegevens Allacker'!$J$5:$Q$83,8,0)</f>
        <v>#N/A</v>
      </c>
      <c r="K502" s="118" t="e">
        <f>(G502-H502)/(G502-$B$4)</f>
        <v>#N/A</v>
      </c>
      <c r="L502" s="98"/>
      <c r="M502" s="98"/>
      <c r="N502" s="98"/>
      <c r="O502" s="98"/>
      <c r="P502" s="96"/>
    </row>
    <row r="503" spans="1:16" ht="16.5" customHeight="1" x14ac:dyDescent="0.25">
      <c r="A503" s="95"/>
      <c r="B503" s="116" t="s">
        <v>221</v>
      </c>
      <c r="C503" s="122" t="e">
        <f>IF(VLOOKUP(B503,'Gebouwgegevens Allacker'!$J$5:$Q$83,2,0)=$B$472,VLOOKUP(B503,'Gebouwgegevens Allacker'!$J$5:$Q$83,2,0),VLOOKUP(B503,'Gebouwgegevens Allacker'!$J$5:$Q$83,3,0))</f>
        <v>#N/A</v>
      </c>
      <c r="D503" s="122" t="e">
        <f>IF(VLOOKUP(B503,'Gebouwgegevens Allacker'!$J$5:$Q$83,2,0)=$B$472,VLOOKUP(B503,'Gebouwgegevens Allacker'!$J$5:$Q$83,3,0),VLOOKUP(B503,'Gebouwgegevens Allacker'!$J$5:$Q$83,2,0))</f>
        <v>#N/A</v>
      </c>
      <c r="E503" s="122" t="e">
        <f>VLOOKUP(B503,'Gebouwgegevens Allacker'!$J$5:$Q$83,4,0)</f>
        <v>#N/A</v>
      </c>
      <c r="F503" s="122" t="e">
        <f>VLOOKUP(B503,'Gebouwgegevens Allacker'!$J$5:$Q$83,5,0)</f>
        <v>#N/A</v>
      </c>
      <c r="G503" s="122" t="e">
        <f>VLOOKUP('Verwarming Tabula'!C503,'Gebouwgegevens Allacker'!$A$35:$F$46,5,0)</f>
        <v>#N/A</v>
      </c>
      <c r="H503" s="122" t="e">
        <f>VLOOKUP('Verwarming Tabula'!D503,'Gebouwgegevens Allacker'!$A$35:$F$46,5,0)</f>
        <v>#N/A</v>
      </c>
      <c r="I503" s="122" t="e">
        <f>VLOOKUP(B503,'Gebouwgegevens Allacker'!$J$5:$Q$83,7,0)</f>
        <v>#N/A</v>
      </c>
      <c r="J503" s="118" t="e">
        <f>VLOOKUP(B503,'Gebouwgegevens Allacker'!$J$5:$Q$83,8,0)</f>
        <v>#N/A</v>
      </c>
      <c r="K503" s="118" t="e">
        <f>(G503-H503)/(G503-$B$4)</f>
        <v>#N/A</v>
      </c>
      <c r="L503" s="98"/>
      <c r="M503" s="98"/>
      <c r="N503" s="98"/>
      <c r="O503" s="98"/>
      <c r="P503" s="96"/>
    </row>
    <row r="504" spans="1:16" ht="16.5" customHeight="1" x14ac:dyDescent="0.25">
      <c r="A504" s="95"/>
      <c r="B504" s="116" t="s">
        <v>245</v>
      </c>
      <c r="C504" s="122" t="e">
        <f>IF(VLOOKUP(B504,'Gebouwgegevens Allacker'!$J$5:$Q$83,2,0)=$B$472,VLOOKUP(B504,'Gebouwgegevens Allacker'!$J$5:$Q$83,2,0),VLOOKUP(B504,'Gebouwgegevens Allacker'!$J$5:$Q$83,3,0))</f>
        <v>#N/A</v>
      </c>
      <c r="D504" s="122" t="e">
        <f>IF(VLOOKUP(B504,'Gebouwgegevens Allacker'!$J$5:$Q$83,2,0)=$B$472,VLOOKUP(B504,'Gebouwgegevens Allacker'!$J$5:$Q$83,3,0),VLOOKUP(B504,'Gebouwgegevens Allacker'!$J$5:$Q$83,2,0))</f>
        <v>#N/A</v>
      </c>
      <c r="E504" s="122" t="e">
        <f>VLOOKUP(B504,'Gebouwgegevens Allacker'!$J$5:$Q$83,4,0)</f>
        <v>#N/A</v>
      </c>
      <c r="F504" s="122" t="e">
        <f>VLOOKUP(B504,'Gebouwgegevens Allacker'!$J$5:$Q$83,5,0)</f>
        <v>#N/A</v>
      </c>
      <c r="G504" s="122" t="e">
        <f>VLOOKUP('Verwarming Tabula'!C504,'Gebouwgegevens Allacker'!$A$35:$F$46,5,0)</f>
        <v>#N/A</v>
      </c>
      <c r="H504" s="122" t="e">
        <f>VLOOKUP('Verwarming Tabula'!D504,'Gebouwgegevens Allacker'!$A$35:$F$46,5,0)</f>
        <v>#N/A</v>
      </c>
      <c r="I504" s="122" t="e">
        <f>VLOOKUP(B504,'Gebouwgegevens Allacker'!$J$5:$Q$83,7,0)</f>
        <v>#N/A</v>
      </c>
      <c r="J504" s="118" t="e">
        <f>VLOOKUP(B504,'Gebouwgegevens Allacker'!$J$5:$Q$83,8,0)</f>
        <v>#N/A</v>
      </c>
      <c r="K504" s="118" t="e">
        <f>(G504-H504)/(G504-$B$4)</f>
        <v>#N/A</v>
      </c>
      <c r="L504" s="98"/>
      <c r="M504" s="98"/>
      <c r="N504" s="98"/>
      <c r="O504" s="98"/>
      <c r="P504" s="96"/>
    </row>
    <row r="505" spans="1:16" ht="16.5" customHeight="1" x14ac:dyDescent="0.25">
      <c r="A505" s="95"/>
      <c r="B505" s="116"/>
      <c r="C505" s="122"/>
      <c r="D505" s="122"/>
      <c r="E505" s="122"/>
      <c r="F505" s="122"/>
      <c r="G505" s="122"/>
      <c r="H505" s="122"/>
      <c r="I505" s="122"/>
      <c r="J505" s="118"/>
      <c r="K505" s="118"/>
      <c r="L505" s="98"/>
      <c r="M505" s="98"/>
      <c r="N505" s="98"/>
      <c r="O505" s="98"/>
      <c r="P505" s="96"/>
    </row>
    <row r="506" spans="1:16" ht="16.5" customHeight="1" x14ac:dyDescent="0.25">
      <c r="A506" s="95"/>
      <c r="B506" s="145"/>
      <c r="C506" s="122"/>
      <c r="D506" s="122"/>
      <c r="E506" s="122"/>
      <c r="F506" s="122"/>
      <c r="G506" s="122"/>
      <c r="H506" s="122"/>
      <c r="I506" s="122"/>
      <c r="J506" s="118"/>
      <c r="K506" s="118"/>
      <c r="L506" s="98"/>
      <c r="M506" s="98"/>
      <c r="N506" s="98"/>
      <c r="O506" s="98"/>
      <c r="P506" s="96"/>
    </row>
    <row r="507" spans="1:16" ht="16.5" customHeight="1" x14ac:dyDescent="0.25">
      <c r="A507" s="95"/>
      <c r="B507" s="123"/>
      <c r="C507" s="139"/>
      <c r="D507" s="122"/>
      <c r="E507" s="122"/>
      <c r="F507" s="122"/>
      <c r="G507" s="122"/>
      <c r="H507" s="122"/>
      <c r="I507" s="122"/>
      <c r="J507" s="118"/>
      <c r="K507" s="118"/>
      <c r="L507" s="98"/>
      <c r="M507" s="98"/>
      <c r="N507" s="98"/>
      <c r="O507" s="98"/>
      <c r="P507" s="96"/>
    </row>
    <row r="508" spans="1:16" ht="16.5" customHeight="1" x14ac:dyDescent="0.25">
      <c r="A508" s="95"/>
      <c r="B508" s="123"/>
      <c r="C508" s="139"/>
      <c r="D508" s="122"/>
      <c r="E508" s="122"/>
      <c r="F508" s="122"/>
      <c r="G508" s="122"/>
      <c r="H508" s="122"/>
      <c r="I508" s="122"/>
      <c r="J508" s="118"/>
      <c r="K508" s="118"/>
      <c r="L508" s="98"/>
      <c r="M508" s="98"/>
      <c r="N508" s="98"/>
      <c r="O508" s="98"/>
      <c r="P508" s="96"/>
    </row>
    <row r="509" spans="1:16" ht="16.5" customHeight="1" x14ac:dyDescent="0.25">
      <c r="A509" s="95"/>
      <c r="B509" s="123"/>
      <c r="C509" s="139"/>
      <c r="D509" s="122"/>
      <c r="E509" s="122"/>
      <c r="F509" s="122"/>
      <c r="G509" s="122"/>
      <c r="H509" s="122"/>
      <c r="I509" s="122"/>
      <c r="J509" s="118"/>
      <c r="K509" s="118"/>
      <c r="L509" s="98"/>
      <c r="M509" s="98"/>
      <c r="N509" s="98"/>
      <c r="O509" s="98"/>
      <c r="P509" s="96"/>
    </row>
    <row r="510" spans="1:16" ht="16.5" customHeight="1" x14ac:dyDescent="0.25">
      <c r="A510" s="95"/>
      <c r="B510" s="123"/>
      <c r="C510" s="139"/>
      <c r="D510" s="122"/>
      <c r="E510" s="122"/>
      <c r="F510" s="122"/>
      <c r="G510" s="122"/>
      <c r="H510" s="122"/>
      <c r="I510" s="122"/>
      <c r="J510" s="118"/>
      <c r="K510" s="118"/>
      <c r="L510" s="98"/>
      <c r="M510" s="98"/>
      <c r="N510" s="98"/>
      <c r="O510" s="98"/>
      <c r="P510" s="96"/>
    </row>
    <row r="511" spans="1:16" ht="16.5" customHeight="1" x14ac:dyDescent="0.25">
      <c r="A511" s="95"/>
      <c r="B511" s="123"/>
      <c r="C511" s="139"/>
      <c r="D511" s="122"/>
      <c r="E511" s="122"/>
      <c r="F511" s="122"/>
      <c r="G511" s="122"/>
      <c r="H511" s="122"/>
      <c r="I511" s="122"/>
      <c r="J511" s="118"/>
      <c r="K511" s="118"/>
      <c r="L511" s="98"/>
      <c r="M511" s="98"/>
      <c r="N511" s="98"/>
      <c r="O511" s="98"/>
      <c r="P511" s="96"/>
    </row>
    <row r="512" spans="1:16" ht="15.75" customHeight="1" x14ac:dyDescent="0.25">
      <c r="A512" s="95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8"/>
      <c r="M512" s="98"/>
      <c r="N512" s="98"/>
      <c r="O512" s="98"/>
      <c r="P512" s="96"/>
    </row>
    <row r="513" spans="1:16" ht="15" customHeight="1" x14ac:dyDescent="0.25">
      <c r="A513" s="95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6"/>
    </row>
    <row r="514" spans="1:16" ht="15.75" customHeight="1" x14ac:dyDescent="0.25">
      <c r="A514" s="103" t="s">
        <v>192</v>
      </c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6"/>
    </row>
    <row r="515" spans="1:16" ht="16.5" customHeight="1" x14ac:dyDescent="0.25">
      <c r="A515" s="124" t="s">
        <v>193</v>
      </c>
      <c r="B515" s="118" t="e">
        <f>SUMPRODUCT(H478:H489,I478:I489)+SUMPRODUCT(G494:G498,H494:H498)+SUMPRODUCT(J502:J511,K502:K511)</f>
        <v>#N/A</v>
      </c>
      <c r="C515" s="118" t="s">
        <v>107</v>
      </c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6"/>
    </row>
    <row r="516" spans="1:16" ht="16.5" customHeight="1" x14ac:dyDescent="0.25">
      <c r="A516" s="124" t="s">
        <v>167</v>
      </c>
      <c r="B516" s="118" t="e">
        <f>B515*(G502-$B$4)</f>
        <v>#N/A</v>
      </c>
      <c r="C516" s="118" t="s">
        <v>169</v>
      </c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6"/>
    </row>
    <row r="517" spans="1:16" ht="15.75" customHeight="1" x14ac:dyDescent="0.25">
      <c r="A517" s="109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1"/>
    </row>
    <row r="518" spans="1:16" ht="15.75" customHeight="1" x14ac:dyDescent="0.25">
      <c r="A518" s="343" t="s">
        <v>194</v>
      </c>
      <c r="B518" s="343"/>
      <c r="C518" s="343"/>
      <c r="D518" s="125" t="s">
        <v>222</v>
      </c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94"/>
    </row>
    <row r="519" spans="1:16" ht="15" customHeight="1" x14ac:dyDescent="0.25">
      <c r="A519" s="95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6"/>
    </row>
    <row r="520" spans="1:16" ht="15" customHeight="1" x14ac:dyDescent="0.25">
      <c r="A520" s="126" t="s">
        <v>195</v>
      </c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6"/>
    </row>
    <row r="521" spans="1:16" ht="15" customHeight="1" x14ac:dyDescent="0.25">
      <c r="A521" s="127" t="s">
        <v>196</v>
      </c>
      <c r="B521" s="121">
        <v>8</v>
      </c>
      <c r="C521" s="120" t="s">
        <v>197</v>
      </c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6"/>
    </row>
    <row r="522" spans="1:16" ht="15" customHeight="1" x14ac:dyDescent="0.25">
      <c r="A522" s="127" t="s">
        <v>198</v>
      </c>
      <c r="B522" s="121">
        <v>0.03</v>
      </c>
      <c r="C522" s="120" t="s">
        <v>199</v>
      </c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6"/>
    </row>
    <row r="523" spans="1:16" ht="15.75" customHeight="1" x14ac:dyDescent="0.25">
      <c r="A523" s="127" t="s">
        <v>200</v>
      </c>
      <c r="B523" s="121">
        <v>1</v>
      </c>
      <c r="C523" s="120" t="s">
        <v>201</v>
      </c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6"/>
    </row>
    <row r="524" spans="1:16" ht="16.5" customHeight="1" x14ac:dyDescent="0.25">
      <c r="A524" s="124" t="s">
        <v>202</v>
      </c>
      <c r="B524" s="118" t="e">
        <f>2*VLOOKUP(B472,'Gebouwgegevens Allacker'!$A$35:$F$46,6,0)*B521*B522*B523</f>
        <v>#N/A</v>
      </c>
      <c r="C524" s="118" t="s">
        <v>203</v>
      </c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6"/>
    </row>
    <row r="525" spans="1:16" ht="15.75" customHeight="1" x14ac:dyDescent="0.25">
      <c r="A525" s="138"/>
      <c r="B525" s="58"/>
      <c r="C525" s="5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6"/>
    </row>
    <row r="526" spans="1:16" ht="15" customHeight="1" x14ac:dyDescent="0.25">
      <c r="A526" s="146" t="s">
        <v>204</v>
      </c>
      <c r="B526" s="58"/>
      <c r="C526" s="5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6"/>
    </row>
    <row r="527" spans="1:16" ht="15.75" customHeight="1" x14ac:dyDescent="0.25">
      <c r="A527" s="138" t="s">
        <v>180</v>
      </c>
      <c r="B527" s="58" t="e">
        <f>VLOOKUP(B472,'Gebouwgegevens Allacker'!$A$35:$F$46,6,0)</f>
        <v>#N/A</v>
      </c>
      <c r="C527" s="5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6"/>
    </row>
    <row r="528" spans="1:16" ht="16.5" customHeight="1" x14ac:dyDescent="0.25">
      <c r="A528" s="124" t="s">
        <v>205</v>
      </c>
      <c r="B528" s="128" t="e">
        <f>B527*3.6</f>
        <v>#N/A</v>
      </c>
      <c r="C528" s="118" t="s">
        <v>203</v>
      </c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6"/>
    </row>
    <row r="529" spans="1:16" ht="15.75" customHeight="1" x14ac:dyDescent="0.25">
      <c r="A529" s="138"/>
      <c r="B529" s="58"/>
      <c r="C529" s="5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6"/>
    </row>
    <row r="530" spans="1:16" ht="15.75" customHeight="1" x14ac:dyDescent="0.25">
      <c r="A530" s="138"/>
      <c r="B530" s="58"/>
      <c r="C530" s="5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6"/>
    </row>
    <row r="531" spans="1:16" ht="16.5" customHeight="1" x14ac:dyDescent="0.25">
      <c r="A531" s="124" t="s">
        <v>207</v>
      </c>
      <c r="B531" s="118" t="e">
        <f>MAX(B524,B528)</f>
        <v>#N/A</v>
      </c>
      <c r="C531" s="118" t="s">
        <v>203</v>
      </c>
      <c r="D531" s="98"/>
      <c r="E531" s="98"/>
      <c r="F531" s="118" t="s">
        <v>208</v>
      </c>
      <c r="G531" s="118" t="e">
        <f>B531/VLOOKUP(B472,'Gebouwgegevens Allacker'!$A$35:$B$46,2,0)</f>
        <v>#N/A</v>
      </c>
      <c r="H531" s="98"/>
      <c r="I531" s="98"/>
      <c r="J531" s="98"/>
      <c r="K531" s="98"/>
      <c r="L531" s="98"/>
      <c r="M531" s="98"/>
      <c r="N531" s="98"/>
      <c r="O531" s="98"/>
      <c r="P531" s="96"/>
    </row>
    <row r="532" spans="1:16" ht="16.5" customHeight="1" x14ac:dyDescent="0.25">
      <c r="A532" s="138"/>
      <c r="B532" s="58"/>
      <c r="C532" s="5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6"/>
    </row>
    <row r="533" spans="1:16" ht="16.5" customHeight="1" x14ac:dyDescent="0.25">
      <c r="A533" s="124" t="s">
        <v>209</v>
      </c>
      <c r="B533" s="118" t="e">
        <f>0.34*B531</f>
        <v>#N/A</v>
      </c>
      <c r="C533" s="118" t="s">
        <v>107</v>
      </c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6"/>
    </row>
    <row r="534" spans="1:16" ht="16.5" customHeight="1" x14ac:dyDescent="0.25">
      <c r="A534" s="124" t="s">
        <v>167</v>
      </c>
      <c r="B534" s="118" t="e">
        <f>B533*('Gebouwgegevens Allacker'!E494-$B$4)</f>
        <v>#N/A</v>
      </c>
      <c r="C534" s="118" t="s">
        <v>169</v>
      </c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6"/>
    </row>
    <row r="535" spans="1:16" ht="15.75" customHeight="1" x14ac:dyDescent="0.25">
      <c r="A535" s="140"/>
      <c r="B535" s="141"/>
      <c r="C535" s="141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1"/>
    </row>
    <row r="536" spans="1:16" ht="15.75" customHeight="1" x14ac:dyDescent="0.25">
      <c r="A536" s="343" t="s">
        <v>210</v>
      </c>
      <c r="B536" s="343"/>
      <c r="C536" s="343"/>
      <c r="D536" s="343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6"/>
    </row>
    <row r="537" spans="1:16" ht="15" customHeight="1" x14ac:dyDescent="0.25">
      <c r="A537" s="95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6"/>
    </row>
    <row r="538" spans="1:16" ht="15" customHeight="1" x14ac:dyDescent="0.25">
      <c r="A538" s="127" t="s">
        <v>211</v>
      </c>
      <c r="B538" s="121">
        <v>22</v>
      </c>
      <c r="C538" s="58" t="s">
        <v>232</v>
      </c>
      <c r="D538" s="5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6"/>
    </row>
    <row r="539" spans="1:16" ht="15.75" customHeight="1" x14ac:dyDescent="0.25">
      <c r="A539" s="91" t="s">
        <v>113</v>
      </c>
      <c r="B539" s="98" t="e">
        <f>VLOOKUP(B472,'Gebouwgegevens Allacker'!$A$35:$F$46,6,0)</f>
        <v>#N/A</v>
      </c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6"/>
    </row>
    <row r="540" spans="1:16" ht="16.5" customHeight="1" x14ac:dyDescent="0.25">
      <c r="A540" s="124" t="s">
        <v>213</v>
      </c>
      <c r="B540" s="118" t="e">
        <f>B541/('Gebouwgegevens Allacker'!E494-'Verwarming Tabula'!$B$4)</f>
        <v>#N/A</v>
      </c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6"/>
    </row>
    <row r="541" spans="1:16" ht="16.5" customHeight="1" x14ac:dyDescent="0.25">
      <c r="A541" s="124" t="s">
        <v>167</v>
      </c>
      <c r="B541" s="118" t="e">
        <f>B538*B539</f>
        <v>#N/A</v>
      </c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6"/>
    </row>
    <row r="542" spans="1:16" ht="15.75" customHeight="1" x14ac:dyDescent="0.25">
      <c r="A542" s="95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6"/>
    </row>
    <row r="543" spans="1:16" ht="15.75" customHeight="1" x14ac:dyDescent="0.25">
      <c r="A543" s="95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6"/>
    </row>
    <row r="544" spans="1:16" ht="15.75" customHeight="1" x14ac:dyDescent="0.25">
      <c r="A544" s="129" t="s">
        <v>214</v>
      </c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1"/>
    </row>
    <row r="545" spans="1:16" ht="16.5" customHeight="1" x14ac:dyDescent="0.25">
      <c r="A545" s="124" t="s">
        <v>215</v>
      </c>
      <c r="B545" s="118" t="e">
        <f>SUM(B515,B533,B540)</f>
        <v>#N/A</v>
      </c>
      <c r="C545" s="118" t="s">
        <v>107</v>
      </c>
      <c r="D545" s="132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  <c r="O545" s="132"/>
      <c r="P545" s="133"/>
    </row>
    <row r="546" spans="1:16" ht="16.5" customHeight="1" x14ac:dyDescent="0.25">
      <c r="A546" s="124" t="s">
        <v>167</v>
      </c>
      <c r="B546" s="118" t="e">
        <f>SUM(B516,B534,B541)</f>
        <v>#N/A</v>
      </c>
      <c r="C546" s="118" t="s">
        <v>169</v>
      </c>
      <c r="D546" s="132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  <c r="O546" s="132"/>
      <c r="P546" s="133"/>
    </row>
    <row r="547" spans="1:16" ht="16.5" customHeight="1" x14ac:dyDescent="0.25">
      <c r="A547" s="134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6"/>
    </row>
    <row r="548" spans="1:16" ht="15" customHeight="1" x14ac:dyDescent="0.25">
      <c r="A548" s="137"/>
      <c r="B548" s="137"/>
      <c r="C548" s="137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</row>
    <row r="549" spans="1:16" ht="15.75" customHeight="1" x14ac:dyDescent="0.25">
      <c r="A549" s="137"/>
      <c r="B549" s="137"/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</row>
    <row r="550" spans="1:16" ht="15" customHeight="1" x14ac:dyDescent="0.25">
      <c r="A550" s="93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94"/>
    </row>
    <row r="551" spans="1:16" ht="17.25" customHeight="1" x14ac:dyDescent="0.3">
      <c r="A551" s="97" t="s">
        <v>166</v>
      </c>
      <c r="B551" s="92">
        <v>8</v>
      </c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6"/>
    </row>
    <row r="552" spans="1:16" ht="15.75" customHeight="1" x14ac:dyDescent="0.25">
      <c r="A552" s="343" t="s">
        <v>168</v>
      </c>
      <c r="B552" s="343"/>
      <c r="C552" s="343"/>
      <c r="D552" s="343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94"/>
    </row>
    <row r="553" spans="1:16" ht="15" customHeight="1" x14ac:dyDescent="0.25">
      <c r="A553" s="95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6"/>
    </row>
    <row r="554" spans="1:16" ht="15" customHeight="1" x14ac:dyDescent="0.25">
      <c r="A554" s="103" t="s">
        <v>170</v>
      </c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6"/>
    </row>
    <row r="555" spans="1:16" ht="15" customHeight="1" x14ac:dyDescent="0.25">
      <c r="A555" s="95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6"/>
    </row>
    <row r="556" spans="1:16" ht="15.75" customHeight="1" x14ac:dyDescent="0.25">
      <c r="A556" s="95"/>
      <c r="B556" s="104" t="s">
        <v>10</v>
      </c>
      <c r="C556" s="104" t="s">
        <v>171</v>
      </c>
      <c r="D556" s="104" t="s">
        <v>172</v>
      </c>
      <c r="E556" s="104" t="s">
        <v>173</v>
      </c>
      <c r="F556" s="104" t="s">
        <v>174</v>
      </c>
      <c r="G556" s="104" t="s">
        <v>16</v>
      </c>
      <c r="H556" s="105" t="s">
        <v>17</v>
      </c>
      <c r="I556" s="105" t="s">
        <v>175</v>
      </c>
      <c r="J556" s="98"/>
      <c r="K556" s="98"/>
      <c r="L556" s="98"/>
      <c r="M556" s="98"/>
      <c r="N556" s="98"/>
      <c r="O556" s="98"/>
      <c r="P556" s="96"/>
    </row>
    <row r="557" spans="1:16" ht="16.5" customHeight="1" x14ac:dyDescent="0.25">
      <c r="A557" s="95"/>
      <c r="B557" s="106" t="s">
        <v>246</v>
      </c>
      <c r="C557" s="107" t="e">
        <f>VLOOKUP(B557,'Gebouwgegevens Allacker'!$J$5:$Q$83,3,0)</f>
        <v>#N/A</v>
      </c>
      <c r="D557" s="107" t="e">
        <f>VLOOKUP(B557,'Gebouwgegevens Allacker'!$J$5:$Q$83,4,0)</f>
        <v>#N/A</v>
      </c>
      <c r="E557" s="107" t="e">
        <f>VLOOKUP(B557,'Gebouwgegevens Allacker'!$J$5:$Q$83,5,0)</f>
        <v>#N/A</v>
      </c>
      <c r="F557" s="107" t="e">
        <f>VLOOKUP(B557,'Gebouwgegevens Allacker'!$J$5:$Q$83,6,0)</f>
        <v>#N/A</v>
      </c>
      <c r="G557" s="107" t="e">
        <f>VLOOKUP(B557,'Gebouwgegevens Allacker'!$J$5:$Q$83,7,0)</f>
        <v>#N/A</v>
      </c>
      <c r="H557" s="108" t="e">
        <f>VLOOKUP(B557,'Gebouwgegevens Allacker'!$J$5:$Q$83,8,0)</f>
        <v>#N/A</v>
      </c>
      <c r="I557" s="108">
        <v>1</v>
      </c>
      <c r="J557" s="98"/>
      <c r="K557" s="98"/>
      <c r="L557" s="98"/>
      <c r="M557" s="98"/>
      <c r="N557" s="98"/>
      <c r="O557" s="98"/>
      <c r="P557" s="96"/>
    </row>
    <row r="558" spans="1:16" ht="16.5" customHeight="1" x14ac:dyDescent="0.25">
      <c r="A558" s="95"/>
      <c r="B558" s="106" t="s">
        <v>247</v>
      </c>
      <c r="C558" s="107" t="e">
        <f>VLOOKUP(B558,'Gebouwgegevens Allacker'!$J$5:$Q$83,3,0)</f>
        <v>#N/A</v>
      </c>
      <c r="D558" s="107" t="e">
        <f>VLOOKUP(B558,'Gebouwgegevens Allacker'!$J$5:$Q$83,4,0)</f>
        <v>#N/A</v>
      </c>
      <c r="E558" s="107" t="e">
        <f>VLOOKUP(B558,'Gebouwgegevens Allacker'!$J$5:$Q$83,5,0)</f>
        <v>#N/A</v>
      </c>
      <c r="F558" s="107" t="e">
        <f>VLOOKUP(B558,'Gebouwgegevens Allacker'!$J$5:$Q$83,6,0)</f>
        <v>#N/A</v>
      </c>
      <c r="G558" s="107" t="e">
        <f>VLOOKUP(B558,'Gebouwgegevens Allacker'!$J$5:$Q$83,7,0)</f>
        <v>#N/A</v>
      </c>
      <c r="H558" s="108" t="e">
        <f>VLOOKUP(B558,'Gebouwgegevens Allacker'!$J$5:$Q$83,8,0)</f>
        <v>#N/A</v>
      </c>
      <c r="I558" s="108">
        <v>1</v>
      </c>
      <c r="J558" s="98"/>
      <c r="K558" s="98"/>
      <c r="L558" s="98"/>
      <c r="M558" s="98"/>
      <c r="N558" s="98"/>
      <c r="O558" s="98"/>
      <c r="P558" s="96"/>
    </row>
    <row r="559" spans="1:16" ht="16.5" customHeight="1" x14ac:dyDescent="0.25">
      <c r="A559" s="95"/>
      <c r="B559" s="106" t="s">
        <v>248</v>
      </c>
      <c r="C559" s="107" t="e">
        <f>VLOOKUP(B559,'Gebouwgegevens Allacker'!$J$5:$Q$83,3,0)</f>
        <v>#N/A</v>
      </c>
      <c r="D559" s="107" t="e">
        <f>VLOOKUP(B559,'Gebouwgegevens Allacker'!$J$5:$Q$83,4,0)</f>
        <v>#N/A</v>
      </c>
      <c r="E559" s="107" t="e">
        <f>VLOOKUP(B559,'Gebouwgegevens Allacker'!$J$5:$Q$83,5,0)</f>
        <v>#N/A</v>
      </c>
      <c r="F559" s="107" t="e">
        <f>VLOOKUP(B559,'Gebouwgegevens Allacker'!$J$5:$Q$83,6,0)</f>
        <v>#N/A</v>
      </c>
      <c r="G559" s="107" t="e">
        <f>VLOOKUP(B559,'Gebouwgegevens Allacker'!$J$5:$Q$83,7,0)</f>
        <v>#N/A</v>
      </c>
      <c r="H559" s="108" t="e">
        <f>VLOOKUP(B559,'Gebouwgegevens Allacker'!$J$5:$Q$83,8,0)</f>
        <v>#N/A</v>
      </c>
      <c r="I559" s="108">
        <v>1</v>
      </c>
      <c r="J559" s="98"/>
      <c r="K559" s="98"/>
      <c r="L559" s="98"/>
      <c r="M559" s="98"/>
      <c r="N559" s="98"/>
      <c r="O559" s="98"/>
      <c r="P559" s="96"/>
    </row>
    <row r="560" spans="1:16" ht="16.5" customHeight="1" x14ac:dyDescent="0.25">
      <c r="A560" s="95"/>
      <c r="B560" s="106"/>
      <c r="C560" s="107"/>
      <c r="D560" s="107"/>
      <c r="E560" s="107"/>
      <c r="F560" s="107"/>
      <c r="G560" s="107"/>
      <c r="H560" s="108"/>
      <c r="I560" s="108"/>
      <c r="J560" s="98"/>
      <c r="K560" s="98"/>
      <c r="L560" s="98"/>
      <c r="M560" s="98"/>
      <c r="N560" s="98"/>
      <c r="O560" s="98"/>
      <c r="P560" s="96"/>
    </row>
    <row r="561" spans="1:16" ht="16.5" customHeight="1" x14ac:dyDescent="0.25">
      <c r="A561" s="95"/>
      <c r="B561" s="106"/>
      <c r="C561" s="107"/>
      <c r="D561" s="107"/>
      <c r="E561" s="107"/>
      <c r="F561" s="107"/>
      <c r="G561" s="107"/>
      <c r="H561" s="108"/>
      <c r="I561" s="108"/>
      <c r="J561" s="98"/>
      <c r="K561" s="98"/>
      <c r="L561" s="98"/>
      <c r="M561" s="98"/>
      <c r="N561" s="98"/>
      <c r="O561" s="98"/>
      <c r="P561" s="96"/>
    </row>
    <row r="562" spans="1:16" ht="16.5" customHeight="1" x14ac:dyDescent="0.25">
      <c r="A562" s="95"/>
      <c r="B562" s="106"/>
      <c r="C562" s="107"/>
      <c r="D562" s="107"/>
      <c r="E562" s="107"/>
      <c r="F562" s="107"/>
      <c r="G562" s="107"/>
      <c r="H562" s="108"/>
      <c r="I562" s="108"/>
      <c r="J562" s="98"/>
      <c r="K562" s="98"/>
      <c r="L562" s="98"/>
      <c r="M562" s="98"/>
      <c r="N562" s="98"/>
      <c r="O562" s="98"/>
      <c r="P562" s="96"/>
    </row>
    <row r="563" spans="1:16" ht="16.5" customHeight="1" x14ac:dyDescent="0.25">
      <c r="A563" s="95"/>
      <c r="B563" s="106"/>
      <c r="C563" s="107"/>
      <c r="D563" s="107"/>
      <c r="E563" s="107"/>
      <c r="F563" s="107"/>
      <c r="G563" s="107"/>
      <c r="H563" s="108"/>
      <c r="I563" s="108"/>
      <c r="J563" s="98"/>
      <c r="K563" s="98"/>
      <c r="L563" s="98"/>
      <c r="M563" s="98"/>
      <c r="N563" s="98"/>
      <c r="O563" s="98"/>
      <c r="P563" s="96"/>
    </row>
    <row r="564" spans="1:16" ht="16.5" customHeight="1" x14ac:dyDescent="0.25">
      <c r="A564" s="95"/>
      <c r="B564" s="106"/>
      <c r="C564" s="107"/>
      <c r="D564" s="107"/>
      <c r="E564" s="107"/>
      <c r="F564" s="107"/>
      <c r="G564" s="107"/>
      <c r="H564" s="108"/>
      <c r="I564" s="108"/>
      <c r="J564" s="98"/>
      <c r="K564" s="98"/>
      <c r="L564" s="98"/>
      <c r="M564" s="98"/>
      <c r="N564" s="98"/>
      <c r="O564" s="98"/>
      <c r="P564" s="96"/>
    </row>
    <row r="565" spans="1:16" ht="16.5" customHeight="1" x14ac:dyDescent="0.25">
      <c r="A565" s="95"/>
      <c r="B565" s="106"/>
      <c r="C565" s="107"/>
      <c r="D565" s="107"/>
      <c r="E565" s="107"/>
      <c r="F565" s="107"/>
      <c r="G565" s="107"/>
      <c r="H565" s="108"/>
      <c r="I565" s="108"/>
      <c r="J565" s="98"/>
      <c r="K565" s="98"/>
      <c r="L565" s="98"/>
      <c r="M565" s="98"/>
      <c r="N565" s="98"/>
      <c r="O565" s="98"/>
      <c r="P565" s="96"/>
    </row>
    <row r="566" spans="1:16" ht="16.5" customHeight="1" x14ac:dyDescent="0.25">
      <c r="A566" s="95"/>
      <c r="B566" s="106"/>
      <c r="C566" s="107"/>
      <c r="D566" s="107"/>
      <c r="E566" s="107"/>
      <c r="F566" s="107"/>
      <c r="G566" s="107"/>
      <c r="H566" s="108"/>
      <c r="I566" s="108"/>
      <c r="J566" s="98"/>
      <c r="K566" s="98"/>
      <c r="L566" s="98"/>
      <c r="M566" s="98"/>
      <c r="N566" s="98"/>
      <c r="O566" s="98"/>
      <c r="P566" s="96"/>
    </row>
    <row r="567" spans="1:16" ht="16.5" customHeight="1" x14ac:dyDescent="0.25">
      <c r="A567" s="95"/>
      <c r="B567" s="106"/>
      <c r="C567" s="107"/>
      <c r="D567" s="107"/>
      <c r="E567" s="107"/>
      <c r="F567" s="107"/>
      <c r="G567" s="107"/>
      <c r="H567" s="108"/>
      <c r="I567" s="108"/>
      <c r="J567" s="98"/>
      <c r="K567" s="98"/>
      <c r="L567" s="98"/>
      <c r="M567" s="98"/>
      <c r="N567" s="98"/>
      <c r="O567" s="98"/>
      <c r="P567" s="96"/>
    </row>
    <row r="568" spans="1:16" ht="16.5" customHeight="1" x14ac:dyDescent="0.25">
      <c r="A568" s="95"/>
      <c r="B568" s="106"/>
      <c r="C568" s="107"/>
      <c r="D568" s="107"/>
      <c r="E568" s="107"/>
      <c r="F568" s="107"/>
      <c r="G568" s="107"/>
      <c r="H568" s="108"/>
      <c r="I568" s="108"/>
      <c r="J568" s="98"/>
      <c r="K568" s="98"/>
      <c r="L568" s="98"/>
      <c r="M568" s="98"/>
      <c r="N568" s="98"/>
      <c r="O568" s="98"/>
      <c r="P568" s="96"/>
    </row>
    <row r="569" spans="1:16" ht="15.75" customHeight="1" x14ac:dyDescent="0.25">
      <c r="A569" s="95"/>
      <c r="B569" s="58"/>
      <c r="C569" s="58"/>
      <c r="D569" s="58"/>
      <c r="E569" s="58"/>
      <c r="F569" s="58"/>
      <c r="G569" s="114"/>
      <c r="H569" s="58"/>
      <c r="I569" s="58"/>
      <c r="J569" s="98"/>
      <c r="K569" s="98"/>
      <c r="L569" s="98"/>
      <c r="M569" s="98"/>
      <c r="N569" s="98"/>
      <c r="O569" s="98"/>
      <c r="P569" s="96"/>
    </row>
    <row r="570" spans="1:16" ht="15" customHeight="1" x14ac:dyDescent="0.25">
      <c r="A570" s="95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6"/>
    </row>
    <row r="571" spans="1:16" ht="15" customHeight="1" x14ac:dyDescent="0.25">
      <c r="A571" s="103" t="s">
        <v>177</v>
      </c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6"/>
    </row>
    <row r="572" spans="1:16" ht="15.75" customHeight="1" x14ac:dyDescent="0.25">
      <c r="A572" s="95"/>
      <c r="B572" s="58" t="s">
        <v>10</v>
      </c>
      <c r="C572" s="58" t="s">
        <v>178</v>
      </c>
      <c r="D572" s="58" t="s">
        <v>172</v>
      </c>
      <c r="E572" s="58" t="s">
        <v>179</v>
      </c>
      <c r="F572" s="58" t="s">
        <v>16</v>
      </c>
      <c r="G572" s="114" t="s">
        <v>17</v>
      </c>
      <c r="H572" s="114" t="s">
        <v>175</v>
      </c>
      <c r="I572" s="58" t="s">
        <v>180</v>
      </c>
      <c r="J572" s="58" t="s">
        <v>181</v>
      </c>
      <c r="K572" s="58" t="s">
        <v>182</v>
      </c>
      <c r="L572" s="115" t="s">
        <v>183</v>
      </c>
      <c r="M572" s="115" t="s">
        <v>184</v>
      </c>
      <c r="N572" s="115" t="s">
        <v>185</v>
      </c>
      <c r="O572" s="98"/>
      <c r="P572" s="96"/>
    </row>
    <row r="573" spans="1:16" ht="16.5" customHeight="1" x14ac:dyDescent="0.25">
      <c r="A573" s="95"/>
      <c r="B573" s="116" t="s">
        <v>249</v>
      </c>
      <c r="C573" s="117" t="e">
        <f>VLOOKUP(B573,'Gebouwgegevens Allacker'!$J$5:$Q$83,3,0)</f>
        <v>#N/A</v>
      </c>
      <c r="D573" s="117" t="e">
        <f>VLOOKUP(B573,'Gebouwgegevens Allacker'!$J$5:$Q$83,4,0)</f>
        <v>#N/A</v>
      </c>
      <c r="E573" s="117" t="e">
        <f>VLOOKUP(B573,'Gebouwgegevens Allacker'!$J$5:$Q$83,5,0)</f>
        <v>#N/A</v>
      </c>
      <c r="F573" s="117" t="e">
        <f>VLOOKUP(B573,'Gebouwgegevens Allacker'!$J$5:$Q$83,7,0)</f>
        <v>#N/A</v>
      </c>
      <c r="G573" s="118" t="e">
        <f>VLOOKUP(B573,'Gebouwgegevens Allacker'!$J$5:$Q$83,8,0)</f>
        <v>#N/A</v>
      </c>
      <c r="H573" s="118" t="e">
        <f>N573/F573</f>
        <v>#N/A</v>
      </c>
      <c r="I573" s="117" t="e">
        <f>VLOOKUP(C573,'Gebouwgegevens Allacker'!$A$35:$F$46,6,0)</f>
        <v>#N/A</v>
      </c>
      <c r="J573" s="116">
        <v>6.11</v>
      </c>
      <c r="K573" s="116">
        <v>0.33</v>
      </c>
      <c r="L573" s="119" t="e">
        <f>I573/(0.5*J573)</f>
        <v>#N/A</v>
      </c>
      <c r="M573" s="119" t="e">
        <f>K573+2*(1/F573)</f>
        <v>#N/A</v>
      </c>
      <c r="N573" s="120" t="e">
        <f>IF(M573&lt;L573,2*2/(PI()*L573+M573)*LN(PI()*L573/M573+1),2/(0.457*L573+M573))</f>
        <v>#N/A</v>
      </c>
      <c r="O573" s="98"/>
      <c r="P573" s="96"/>
    </row>
    <row r="574" spans="1:16" ht="16.5" customHeight="1" x14ac:dyDescent="0.25">
      <c r="A574" s="95"/>
      <c r="B574" s="116"/>
      <c r="C574" s="117"/>
      <c r="D574" s="117"/>
      <c r="E574" s="117"/>
      <c r="F574" s="117"/>
      <c r="G574" s="118"/>
      <c r="H574" s="118"/>
      <c r="I574" s="117"/>
      <c r="J574" s="116"/>
      <c r="K574" s="116"/>
      <c r="L574" s="119"/>
      <c r="M574" s="119"/>
      <c r="N574" s="120"/>
      <c r="O574" s="98"/>
      <c r="P574" s="96"/>
    </row>
    <row r="575" spans="1:16" ht="16.5" customHeight="1" x14ac:dyDescent="0.25">
      <c r="A575" s="95"/>
      <c r="B575" s="116"/>
      <c r="C575" s="117"/>
      <c r="D575" s="117"/>
      <c r="E575" s="117"/>
      <c r="F575" s="117"/>
      <c r="G575" s="118"/>
      <c r="H575" s="118"/>
      <c r="I575" s="117"/>
      <c r="J575" s="116"/>
      <c r="K575" s="116"/>
      <c r="L575" s="119"/>
      <c r="M575" s="119"/>
      <c r="N575" s="120"/>
      <c r="O575" s="98"/>
      <c r="P575" s="96"/>
    </row>
    <row r="576" spans="1:16" ht="16.5" customHeight="1" x14ac:dyDescent="0.25">
      <c r="A576" s="95"/>
      <c r="B576" s="116"/>
      <c r="C576" s="117"/>
      <c r="D576" s="117"/>
      <c r="E576" s="117"/>
      <c r="F576" s="117"/>
      <c r="G576" s="118"/>
      <c r="H576" s="118"/>
      <c r="I576" s="117"/>
      <c r="J576" s="116"/>
      <c r="K576" s="116"/>
      <c r="L576" s="119"/>
      <c r="M576" s="119"/>
      <c r="N576" s="120"/>
      <c r="O576" s="98"/>
      <c r="P576" s="96"/>
    </row>
    <row r="577" spans="1:16" ht="16.5" customHeight="1" x14ac:dyDescent="0.25">
      <c r="A577" s="138"/>
      <c r="B577" s="116"/>
      <c r="C577" s="117"/>
      <c r="D577" s="117"/>
      <c r="E577" s="117"/>
      <c r="F577" s="117"/>
      <c r="G577" s="118"/>
      <c r="H577" s="118"/>
      <c r="I577" s="117"/>
      <c r="J577" s="116"/>
      <c r="K577" s="116"/>
      <c r="L577" s="119"/>
      <c r="M577" s="119"/>
      <c r="N577" s="120"/>
      <c r="O577" s="98"/>
      <c r="P577" s="96"/>
    </row>
    <row r="578" spans="1:16" ht="15.75" customHeight="1" x14ac:dyDescent="0.25">
      <c r="A578" s="95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6"/>
    </row>
    <row r="579" spans="1:16" ht="15" customHeight="1" x14ac:dyDescent="0.25">
      <c r="A579" s="103" t="s">
        <v>186</v>
      </c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6"/>
    </row>
    <row r="580" spans="1:16" ht="15.75" customHeight="1" x14ac:dyDescent="0.25">
      <c r="A580" s="95"/>
      <c r="B580" s="58" t="s">
        <v>10</v>
      </c>
      <c r="C580" s="58" t="s">
        <v>187</v>
      </c>
      <c r="D580" s="58" t="s">
        <v>188</v>
      </c>
      <c r="E580" s="58" t="s">
        <v>135</v>
      </c>
      <c r="F580" s="58" t="s">
        <v>189</v>
      </c>
      <c r="G580" s="58" t="s">
        <v>190</v>
      </c>
      <c r="H580" s="58" t="s">
        <v>191</v>
      </c>
      <c r="I580" s="58" t="s">
        <v>16</v>
      </c>
      <c r="J580" s="114" t="s">
        <v>17</v>
      </c>
      <c r="K580" s="114" t="s">
        <v>175</v>
      </c>
      <c r="L580" s="98"/>
      <c r="M580" s="98"/>
      <c r="N580" s="98"/>
      <c r="O580" s="98"/>
      <c r="P580" s="96"/>
    </row>
    <row r="581" spans="1:16" ht="16.5" customHeight="1" x14ac:dyDescent="0.25">
      <c r="A581" s="95"/>
      <c r="B581" s="116" t="s">
        <v>250</v>
      </c>
      <c r="C581" s="122" t="e">
        <f>IF(VLOOKUP(B581,'Gebouwgegevens Allacker'!$J$5:$Q$83,2,0)=$B$551,VLOOKUP(B581,'Gebouwgegevens Allacker'!$J$5:$Q$83,2,0),VLOOKUP(B581,'Gebouwgegevens Allacker'!$J$5:$Q$83,3,0))</f>
        <v>#N/A</v>
      </c>
      <c r="D581" s="122" t="e">
        <f>IF(VLOOKUP(B581,'Gebouwgegevens Allacker'!$J$5:$Q$83,2,0)=$B$551,VLOOKUP(B581,'Gebouwgegevens Allacker'!$J$5:$Q$83,3,0),VLOOKUP(B581,'Gebouwgegevens Allacker'!$J$5:$Q$83,2,0))</f>
        <v>#N/A</v>
      </c>
      <c r="E581" s="122" t="e">
        <f>VLOOKUP(B581,'Gebouwgegevens Allacker'!$J$5:$Q$83,4,0)</f>
        <v>#N/A</v>
      </c>
      <c r="F581" s="122" t="e">
        <f>VLOOKUP(B581,'Gebouwgegevens Allacker'!$J$5:$Q$83,5,0)</f>
        <v>#N/A</v>
      </c>
      <c r="G581" s="122" t="e">
        <f>VLOOKUP('Verwarming Tabula'!C581,'Gebouwgegevens Allacker'!$A$35:$F$46,5,0)</f>
        <v>#N/A</v>
      </c>
      <c r="H581" s="122" t="e">
        <f>VLOOKUP('Verwarming Tabula'!D581,'Gebouwgegevens Allacker'!$A$35:$F$46,5,0)</f>
        <v>#N/A</v>
      </c>
      <c r="I581" s="122" t="e">
        <f>VLOOKUP(B581,'Gebouwgegevens Allacker'!$J$5:$Q$83,7,0)</f>
        <v>#N/A</v>
      </c>
      <c r="J581" s="118" t="e">
        <f>VLOOKUP(B581,'Gebouwgegevens Allacker'!$J$5:$Q$83,8,0)</f>
        <v>#N/A</v>
      </c>
      <c r="K581" s="118" t="e">
        <f>(G581-H581)/(G581-$B$4)</f>
        <v>#N/A</v>
      </c>
      <c r="L581" s="98"/>
      <c r="M581" s="98"/>
      <c r="N581" s="98"/>
      <c r="O581" s="98"/>
      <c r="P581" s="96"/>
    </row>
    <row r="582" spans="1:16" ht="16.5" customHeight="1" x14ac:dyDescent="0.25">
      <c r="A582" s="95"/>
      <c r="B582" s="116" t="s">
        <v>224</v>
      </c>
      <c r="C582" s="122" t="e">
        <f>IF(VLOOKUP(B582,'Gebouwgegevens Allacker'!$J$5:$Q$83,2,0)=$B$551,VLOOKUP(B582,'Gebouwgegevens Allacker'!$J$5:$Q$83,2,0),VLOOKUP(B582,'Gebouwgegevens Allacker'!$J$5:$Q$83,3,0))</f>
        <v>#N/A</v>
      </c>
      <c r="D582" s="122" t="e">
        <f>IF(VLOOKUP(B582,'Gebouwgegevens Allacker'!$J$5:$Q$83,2,0)=$B$551,VLOOKUP(B582,'Gebouwgegevens Allacker'!$J$5:$Q$83,3,0),VLOOKUP(B582,'Gebouwgegevens Allacker'!$J$5:$Q$83,2,0))</f>
        <v>#N/A</v>
      </c>
      <c r="E582" s="122" t="e">
        <f>VLOOKUP(B582,'Gebouwgegevens Allacker'!$J$5:$Q$83,4,0)</f>
        <v>#N/A</v>
      </c>
      <c r="F582" s="122" t="e">
        <f>VLOOKUP(B582,'Gebouwgegevens Allacker'!$J$5:$Q$83,5,0)</f>
        <v>#N/A</v>
      </c>
      <c r="G582" s="122" t="e">
        <f>VLOOKUP('Verwarming Tabula'!C582,'Gebouwgegevens Allacker'!$A$35:$F$46,5,0)</f>
        <v>#N/A</v>
      </c>
      <c r="H582" s="122" t="e">
        <f>VLOOKUP('Verwarming Tabula'!D582,'Gebouwgegevens Allacker'!$A$35:$F$46,5,0)</f>
        <v>#N/A</v>
      </c>
      <c r="I582" s="122" t="e">
        <f>VLOOKUP(B582,'Gebouwgegevens Allacker'!$J$5:$Q$83,7,0)</f>
        <v>#N/A</v>
      </c>
      <c r="J582" s="118" t="e">
        <f>VLOOKUP(B582,'Gebouwgegevens Allacker'!$J$5:$Q$83,8,0)</f>
        <v>#N/A</v>
      </c>
      <c r="K582" s="118" t="e">
        <f>(G582-H582)/(G582-$B$4)</f>
        <v>#N/A</v>
      </c>
      <c r="L582" s="98"/>
      <c r="M582" s="98"/>
      <c r="N582" s="98"/>
      <c r="O582" s="98"/>
      <c r="P582" s="96"/>
    </row>
    <row r="583" spans="1:16" ht="16.5" customHeight="1" x14ac:dyDescent="0.25">
      <c r="A583" s="95"/>
      <c r="B583" s="116" t="s">
        <v>230</v>
      </c>
      <c r="C583" s="122" t="e">
        <f>IF(VLOOKUP(B583,'Gebouwgegevens Allacker'!$J$5:$Q$83,2,0)=$B$551,VLOOKUP(B583,'Gebouwgegevens Allacker'!$J$5:$Q$83,2,0),VLOOKUP(B583,'Gebouwgegevens Allacker'!$J$5:$Q$83,3,0))</f>
        <v>#N/A</v>
      </c>
      <c r="D583" s="122" t="e">
        <f>IF(VLOOKUP(B583,'Gebouwgegevens Allacker'!$J$5:$Q$83,2,0)=$B$551,VLOOKUP(B583,'Gebouwgegevens Allacker'!$J$5:$Q$83,3,0),VLOOKUP(B583,'Gebouwgegevens Allacker'!$J$5:$Q$83,2,0))</f>
        <v>#N/A</v>
      </c>
      <c r="E583" s="122" t="e">
        <f>VLOOKUP(B583,'Gebouwgegevens Allacker'!$J$5:$Q$83,4,0)</f>
        <v>#N/A</v>
      </c>
      <c r="F583" s="122" t="e">
        <f>VLOOKUP(B583,'Gebouwgegevens Allacker'!$J$5:$Q$83,5,0)</f>
        <v>#N/A</v>
      </c>
      <c r="G583" s="122" t="e">
        <f>VLOOKUP('Verwarming Tabula'!C583,'Gebouwgegevens Allacker'!$A$35:$F$46,5,0)</f>
        <v>#N/A</v>
      </c>
      <c r="H583" s="122" t="e">
        <f>VLOOKUP('Verwarming Tabula'!D583,'Gebouwgegevens Allacker'!$A$35:$F$46,5,0)</f>
        <v>#N/A</v>
      </c>
      <c r="I583" s="122" t="e">
        <f>VLOOKUP(B583,'Gebouwgegevens Allacker'!$J$5:$Q$83,7,0)</f>
        <v>#N/A</v>
      </c>
      <c r="J583" s="118" t="e">
        <f>VLOOKUP(B583,'Gebouwgegevens Allacker'!$J$5:$Q$83,8,0)</f>
        <v>#N/A</v>
      </c>
      <c r="K583" s="118" t="e">
        <f>(G583-H583)/(G583-$B$4)</f>
        <v>#N/A</v>
      </c>
      <c r="L583" s="98"/>
      <c r="M583" s="98"/>
      <c r="N583" s="98"/>
      <c r="O583" s="98"/>
      <c r="P583" s="96"/>
    </row>
    <row r="584" spans="1:16" ht="16.5" customHeight="1" x14ac:dyDescent="0.25">
      <c r="A584" s="95"/>
      <c r="B584" s="116"/>
      <c r="C584" s="122"/>
      <c r="D584" s="122"/>
      <c r="E584" s="122"/>
      <c r="F584" s="122"/>
      <c r="G584" s="122"/>
      <c r="H584" s="122"/>
      <c r="I584" s="122"/>
      <c r="J584" s="118"/>
      <c r="K584" s="118"/>
      <c r="L584" s="98"/>
      <c r="M584" s="98"/>
      <c r="N584" s="98"/>
      <c r="O584" s="98"/>
      <c r="P584" s="96"/>
    </row>
    <row r="585" spans="1:16" ht="16.5" customHeight="1" x14ac:dyDescent="0.25">
      <c r="A585" s="95"/>
      <c r="B585" s="145"/>
      <c r="C585" s="122"/>
      <c r="D585" s="122"/>
      <c r="E585" s="122"/>
      <c r="F585" s="122"/>
      <c r="G585" s="122"/>
      <c r="H585" s="122"/>
      <c r="I585" s="122"/>
      <c r="J585" s="118"/>
      <c r="K585" s="118"/>
      <c r="L585" s="98"/>
      <c r="M585" s="98"/>
      <c r="N585" s="98"/>
      <c r="O585" s="98"/>
      <c r="P585" s="96"/>
    </row>
    <row r="586" spans="1:16" ht="16.5" customHeight="1" x14ac:dyDescent="0.25">
      <c r="A586" s="95"/>
      <c r="B586" s="123"/>
      <c r="C586" s="139"/>
      <c r="D586" s="122"/>
      <c r="E586" s="122"/>
      <c r="F586" s="122"/>
      <c r="G586" s="122"/>
      <c r="H586" s="122"/>
      <c r="I586" s="122"/>
      <c r="J586" s="118"/>
      <c r="K586" s="118"/>
      <c r="L586" s="98"/>
      <c r="M586" s="98"/>
      <c r="N586" s="98"/>
      <c r="O586" s="98"/>
      <c r="P586" s="96"/>
    </row>
    <row r="587" spans="1:16" ht="16.5" customHeight="1" x14ac:dyDescent="0.25">
      <c r="A587" s="95"/>
      <c r="B587" s="123"/>
      <c r="C587" s="139"/>
      <c r="D587" s="122"/>
      <c r="E587" s="122"/>
      <c r="F587" s="122"/>
      <c r="G587" s="122"/>
      <c r="H587" s="122"/>
      <c r="I587" s="122"/>
      <c r="J587" s="118"/>
      <c r="K587" s="118"/>
      <c r="L587" s="98"/>
      <c r="M587" s="98"/>
      <c r="N587" s="98"/>
      <c r="O587" s="98"/>
      <c r="P587" s="96"/>
    </row>
    <row r="588" spans="1:16" ht="16.5" customHeight="1" x14ac:dyDescent="0.25">
      <c r="A588" s="95"/>
      <c r="B588" s="123"/>
      <c r="C588" s="139"/>
      <c r="D588" s="122"/>
      <c r="E588" s="122"/>
      <c r="F588" s="122"/>
      <c r="G588" s="122"/>
      <c r="H588" s="122"/>
      <c r="I588" s="122"/>
      <c r="J588" s="118"/>
      <c r="K588" s="118"/>
      <c r="L588" s="98"/>
      <c r="M588" s="98"/>
      <c r="N588" s="98"/>
      <c r="O588" s="98"/>
      <c r="P588" s="96"/>
    </row>
    <row r="589" spans="1:16" ht="16.5" customHeight="1" x14ac:dyDescent="0.25">
      <c r="A589" s="95"/>
      <c r="B589" s="123"/>
      <c r="C589" s="139"/>
      <c r="D589" s="122"/>
      <c r="E589" s="122"/>
      <c r="F589" s="122"/>
      <c r="G589" s="122"/>
      <c r="H589" s="122"/>
      <c r="I589" s="122"/>
      <c r="J589" s="118"/>
      <c r="K589" s="118"/>
      <c r="L589" s="98"/>
      <c r="M589" s="98"/>
      <c r="N589" s="98"/>
      <c r="O589" s="98"/>
      <c r="P589" s="96"/>
    </row>
    <row r="590" spans="1:16" ht="16.5" customHeight="1" x14ac:dyDescent="0.25">
      <c r="A590" s="95"/>
      <c r="B590" s="123"/>
      <c r="C590" s="139"/>
      <c r="D590" s="122"/>
      <c r="E590" s="122"/>
      <c r="F590" s="122"/>
      <c r="G590" s="122"/>
      <c r="H590" s="122"/>
      <c r="I590" s="122"/>
      <c r="J590" s="118"/>
      <c r="K590" s="118"/>
      <c r="L590" s="98"/>
      <c r="M590" s="98"/>
      <c r="N590" s="98"/>
      <c r="O590" s="98"/>
      <c r="P590" s="96"/>
    </row>
    <row r="591" spans="1:16" ht="15.75" customHeight="1" x14ac:dyDescent="0.25">
      <c r="A591" s="95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8"/>
      <c r="M591" s="98"/>
      <c r="N591" s="98"/>
      <c r="O591" s="98"/>
      <c r="P591" s="96"/>
    </row>
    <row r="592" spans="1:16" ht="15" customHeight="1" x14ac:dyDescent="0.25">
      <c r="A592" s="95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6"/>
    </row>
    <row r="593" spans="1:16" ht="15.75" customHeight="1" x14ac:dyDescent="0.25">
      <c r="A593" s="103" t="s">
        <v>192</v>
      </c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6"/>
    </row>
    <row r="594" spans="1:16" ht="16.5" customHeight="1" x14ac:dyDescent="0.25">
      <c r="A594" s="124" t="s">
        <v>193</v>
      </c>
      <c r="B594" s="118" t="e">
        <f>SUMPRODUCT(H557:H568,I557:I568)+SUMPRODUCT(G573:G577,H573:H577)+SUMPRODUCT(J581:J590,K581:K590)</f>
        <v>#N/A</v>
      </c>
      <c r="C594" s="118" t="s">
        <v>107</v>
      </c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6"/>
    </row>
    <row r="595" spans="1:16" ht="16.5" customHeight="1" x14ac:dyDescent="0.25">
      <c r="A595" s="124" t="s">
        <v>167</v>
      </c>
      <c r="B595" s="118" t="e">
        <f>B594*(G581-$B$4)</f>
        <v>#N/A</v>
      </c>
      <c r="C595" s="118" t="s">
        <v>169</v>
      </c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6"/>
    </row>
    <row r="596" spans="1:16" ht="15.75" customHeight="1" x14ac:dyDescent="0.25">
      <c r="A596" s="109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1"/>
    </row>
    <row r="597" spans="1:16" ht="15.75" customHeight="1" x14ac:dyDescent="0.25">
      <c r="A597" s="343" t="s">
        <v>194</v>
      </c>
      <c r="B597" s="343"/>
      <c r="C597" s="343"/>
      <c r="D597" s="125" t="s">
        <v>222</v>
      </c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94"/>
    </row>
    <row r="598" spans="1:16" ht="15" customHeight="1" x14ac:dyDescent="0.25">
      <c r="A598" s="95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6"/>
    </row>
    <row r="599" spans="1:16" ht="15" customHeight="1" x14ac:dyDescent="0.25">
      <c r="A599" s="126" t="s">
        <v>195</v>
      </c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6"/>
    </row>
    <row r="600" spans="1:16" ht="15" customHeight="1" x14ac:dyDescent="0.25">
      <c r="A600" s="127" t="s">
        <v>196</v>
      </c>
      <c r="B600" s="121">
        <v>8</v>
      </c>
      <c r="C600" s="120" t="s">
        <v>197</v>
      </c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6"/>
    </row>
    <row r="601" spans="1:16" ht="15" customHeight="1" x14ac:dyDescent="0.25">
      <c r="A601" s="127" t="s">
        <v>198</v>
      </c>
      <c r="B601" s="121">
        <v>0.03</v>
      </c>
      <c r="C601" s="120" t="s">
        <v>199</v>
      </c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6"/>
    </row>
    <row r="602" spans="1:16" ht="15.75" customHeight="1" x14ac:dyDescent="0.25">
      <c r="A602" s="127" t="s">
        <v>200</v>
      </c>
      <c r="B602" s="121">
        <v>1</v>
      </c>
      <c r="C602" s="120" t="s">
        <v>201</v>
      </c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6"/>
    </row>
    <row r="603" spans="1:16" ht="16.5" customHeight="1" x14ac:dyDescent="0.25">
      <c r="A603" s="124" t="s">
        <v>202</v>
      </c>
      <c r="B603" s="118" t="e">
        <f>2*VLOOKUP(B551,'Gebouwgegevens Allacker'!$A$35:$F$46,6,0)*B600*B601*B602</f>
        <v>#N/A</v>
      </c>
      <c r="C603" s="118" t="s">
        <v>203</v>
      </c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6"/>
    </row>
    <row r="604" spans="1:16" ht="15.75" customHeight="1" x14ac:dyDescent="0.25">
      <c r="A604" s="138"/>
      <c r="B604" s="58"/>
      <c r="C604" s="5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6"/>
    </row>
    <row r="605" spans="1:16" ht="15" customHeight="1" x14ac:dyDescent="0.25">
      <c r="A605" s="146" t="s">
        <v>204</v>
      </c>
      <c r="B605" s="58"/>
      <c r="C605" s="5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6"/>
    </row>
    <row r="606" spans="1:16" ht="15.75" customHeight="1" x14ac:dyDescent="0.25">
      <c r="A606" s="138" t="s">
        <v>180</v>
      </c>
      <c r="B606" s="58" t="e">
        <f>VLOOKUP(B551,'Gebouwgegevens Allacker'!$A$35:$F$46,6,0)</f>
        <v>#N/A</v>
      </c>
      <c r="C606" s="5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6"/>
    </row>
    <row r="607" spans="1:16" ht="16.5" customHeight="1" x14ac:dyDescent="0.25">
      <c r="A607" s="124" t="s">
        <v>205</v>
      </c>
      <c r="B607" s="128" t="e">
        <f>B606*3.6</f>
        <v>#N/A</v>
      </c>
      <c r="C607" s="118" t="s">
        <v>203</v>
      </c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6"/>
    </row>
    <row r="608" spans="1:16" ht="15.75" customHeight="1" x14ac:dyDescent="0.25">
      <c r="A608" s="138"/>
      <c r="B608" s="58"/>
      <c r="C608" s="5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6"/>
    </row>
    <row r="609" spans="1:16" ht="15.75" customHeight="1" x14ac:dyDescent="0.25">
      <c r="A609" s="138"/>
      <c r="B609" s="58"/>
      <c r="C609" s="5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6"/>
    </row>
    <row r="610" spans="1:16" ht="16.5" customHeight="1" x14ac:dyDescent="0.25">
      <c r="A610" s="124" t="s">
        <v>207</v>
      </c>
      <c r="B610" s="118" t="e">
        <f>MAX(B603,B607)</f>
        <v>#N/A</v>
      </c>
      <c r="C610" s="118" t="s">
        <v>203</v>
      </c>
      <c r="D610" s="98"/>
      <c r="E610" s="98"/>
      <c r="F610" s="118" t="s">
        <v>208</v>
      </c>
      <c r="G610" s="118" t="e">
        <f>B610/VLOOKUP(B551,'Gebouwgegevens Allacker'!$A$35:$B$46,2,0)</f>
        <v>#N/A</v>
      </c>
      <c r="H610" s="98"/>
      <c r="I610" s="98"/>
      <c r="J610" s="98"/>
      <c r="K610" s="98"/>
      <c r="L610" s="98"/>
      <c r="M610" s="98"/>
      <c r="N610" s="98"/>
      <c r="O610" s="98"/>
      <c r="P610" s="96"/>
    </row>
    <row r="611" spans="1:16" ht="16.5" customHeight="1" x14ac:dyDescent="0.25">
      <c r="A611" s="138"/>
      <c r="B611" s="58"/>
      <c r="C611" s="5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6"/>
    </row>
    <row r="612" spans="1:16" ht="16.5" customHeight="1" x14ac:dyDescent="0.25">
      <c r="A612" s="124" t="s">
        <v>209</v>
      </c>
      <c r="B612" s="118" t="e">
        <f>0.34*B610</f>
        <v>#N/A</v>
      </c>
      <c r="C612" s="118" t="s">
        <v>107</v>
      </c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6"/>
    </row>
    <row r="613" spans="1:16" ht="16.5" customHeight="1" x14ac:dyDescent="0.25">
      <c r="A613" s="124" t="s">
        <v>167</v>
      </c>
      <c r="B613" s="118" t="e">
        <f>B612*('Gebouwgegevens Allacker'!E573-$B$4)</f>
        <v>#N/A</v>
      </c>
      <c r="C613" s="118" t="s">
        <v>169</v>
      </c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6"/>
    </row>
    <row r="614" spans="1:16" ht="15.75" customHeight="1" x14ac:dyDescent="0.25">
      <c r="A614" s="140"/>
      <c r="B614" s="141"/>
      <c r="C614" s="141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1"/>
    </row>
    <row r="615" spans="1:16" ht="15.75" customHeight="1" x14ac:dyDescent="0.25">
      <c r="A615" s="343" t="s">
        <v>210</v>
      </c>
      <c r="B615" s="343"/>
      <c r="C615" s="343"/>
      <c r="D615" s="343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6"/>
    </row>
    <row r="616" spans="1:16" ht="15" customHeight="1" x14ac:dyDescent="0.25">
      <c r="A616" s="95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6"/>
    </row>
    <row r="617" spans="1:16" ht="15" customHeight="1" x14ac:dyDescent="0.25">
      <c r="A617" s="127" t="s">
        <v>211</v>
      </c>
      <c r="B617" s="121">
        <v>45</v>
      </c>
      <c r="C617" s="58" t="s">
        <v>232</v>
      </c>
      <c r="D617" s="5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6"/>
    </row>
    <row r="618" spans="1:16" ht="15.75" customHeight="1" x14ac:dyDescent="0.25">
      <c r="A618" s="3" t="s">
        <v>113</v>
      </c>
      <c r="B618" s="58" t="e">
        <f>VLOOKUP(B551,'Gebouwgegevens Allacker'!$A$35:$F$46,6,0)</f>
        <v>#N/A</v>
      </c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6"/>
    </row>
    <row r="619" spans="1:16" ht="16.5" customHeight="1" x14ac:dyDescent="0.25">
      <c r="A619" s="124" t="s">
        <v>213</v>
      </c>
      <c r="B619" s="118" t="e">
        <f>B620/('Gebouwgegevens Allacker'!E573-'Verwarming Tabula'!$B$4)</f>
        <v>#N/A</v>
      </c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6"/>
    </row>
    <row r="620" spans="1:16" ht="16.5" customHeight="1" x14ac:dyDescent="0.25">
      <c r="A620" s="124" t="s">
        <v>167</v>
      </c>
      <c r="B620" s="118" t="e">
        <f>B617*B618</f>
        <v>#N/A</v>
      </c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6"/>
    </row>
    <row r="621" spans="1:16" ht="15.75" customHeight="1" x14ac:dyDescent="0.25">
      <c r="A621" s="95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6"/>
    </row>
    <row r="622" spans="1:16" ht="15.75" customHeight="1" x14ac:dyDescent="0.25">
      <c r="A622" s="95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6"/>
    </row>
    <row r="623" spans="1:16" ht="15.75" customHeight="1" x14ac:dyDescent="0.25">
      <c r="A623" s="129" t="s">
        <v>214</v>
      </c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1"/>
    </row>
    <row r="624" spans="1:16" ht="16.5" customHeight="1" x14ac:dyDescent="0.25">
      <c r="A624" s="124" t="s">
        <v>215</v>
      </c>
      <c r="B624" s="118" t="e">
        <f>SUM(B594,B612,B619)</f>
        <v>#N/A</v>
      </c>
      <c r="C624" s="118" t="s">
        <v>107</v>
      </c>
      <c r="D624" s="132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  <c r="O624" s="132"/>
      <c r="P624" s="133"/>
    </row>
    <row r="625" spans="1:16" ht="16.5" customHeight="1" x14ac:dyDescent="0.25">
      <c r="A625" s="124" t="s">
        <v>167</v>
      </c>
      <c r="B625" s="118" t="e">
        <f>SUM(B595,B613,B620)</f>
        <v>#N/A</v>
      </c>
      <c r="C625" s="118" t="s">
        <v>169</v>
      </c>
      <c r="D625" s="132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  <c r="O625" s="132"/>
      <c r="P625" s="133"/>
    </row>
    <row r="626" spans="1:16" ht="16.5" customHeight="1" x14ac:dyDescent="0.25">
      <c r="A626" s="134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6"/>
    </row>
    <row r="627" spans="1:16" ht="15" customHeight="1" x14ac:dyDescent="0.25">
      <c r="A627" s="137"/>
      <c r="B627" s="137"/>
      <c r="C627" s="137"/>
      <c r="D627" s="137"/>
      <c r="E627" s="137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</row>
    <row r="628" spans="1:16" ht="15.75" customHeight="1" x14ac:dyDescent="0.25">
      <c r="A628" s="137"/>
      <c r="B628" s="137"/>
      <c r="C628" s="137"/>
      <c r="D628" s="137"/>
      <c r="E628" s="137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</row>
    <row r="629" spans="1:16" ht="15" customHeight="1" x14ac:dyDescent="0.25">
      <c r="A629" s="93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94"/>
    </row>
    <row r="630" spans="1:16" ht="17.25" customHeight="1" x14ac:dyDescent="0.3">
      <c r="A630" s="97" t="s">
        <v>166</v>
      </c>
      <c r="B630" s="92">
        <v>9</v>
      </c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6"/>
    </row>
    <row r="631" spans="1:16" ht="15.75" customHeight="1" x14ac:dyDescent="0.25">
      <c r="A631" s="343" t="s">
        <v>168</v>
      </c>
      <c r="B631" s="343"/>
      <c r="C631" s="343"/>
      <c r="D631" s="343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94"/>
    </row>
    <row r="632" spans="1:16" ht="15" customHeight="1" x14ac:dyDescent="0.25">
      <c r="A632" s="95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6"/>
    </row>
    <row r="633" spans="1:16" ht="15" customHeight="1" x14ac:dyDescent="0.25">
      <c r="A633" s="103" t="s">
        <v>170</v>
      </c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6"/>
    </row>
    <row r="634" spans="1:16" ht="15" customHeight="1" x14ac:dyDescent="0.25">
      <c r="A634" s="95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6"/>
    </row>
    <row r="635" spans="1:16" ht="15.75" customHeight="1" x14ac:dyDescent="0.25">
      <c r="A635" s="95"/>
      <c r="B635" s="104" t="s">
        <v>10</v>
      </c>
      <c r="C635" s="104" t="s">
        <v>171</v>
      </c>
      <c r="D635" s="104" t="s">
        <v>172</v>
      </c>
      <c r="E635" s="104" t="s">
        <v>173</v>
      </c>
      <c r="F635" s="104" t="s">
        <v>174</v>
      </c>
      <c r="G635" s="104" t="s">
        <v>16</v>
      </c>
      <c r="H635" s="105" t="s">
        <v>17</v>
      </c>
      <c r="I635" s="105" t="s">
        <v>175</v>
      </c>
      <c r="J635" s="98"/>
      <c r="K635" s="98"/>
      <c r="L635" s="98"/>
      <c r="M635" s="98"/>
      <c r="N635" s="98"/>
      <c r="O635" s="98"/>
      <c r="P635" s="96"/>
    </row>
    <row r="636" spans="1:16" ht="16.5" customHeight="1" x14ac:dyDescent="0.25">
      <c r="A636" s="95"/>
      <c r="B636" s="106" t="s">
        <v>251</v>
      </c>
      <c r="C636" s="107" t="e">
        <f>VLOOKUP(B636,'Gebouwgegevens Allacker'!$J$5:$Q$83,3,0)</f>
        <v>#N/A</v>
      </c>
      <c r="D636" s="107" t="e">
        <f>VLOOKUP(B636,'Gebouwgegevens Allacker'!$J$5:$Q$83,4,0)</f>
        <v>#N/A</v>
      </c>
      <c r="E636" s="107" t="e">
        <f>VLOOKUP(B636,'Gebouwgegevens Allacker'!$J$5:$Q$83,5,0)</f>
        <v>#N/A</v>
      </c>
      <c r="F636" s="107" t="e">
        <f>VLOOKUP(B636,'Gebouwgegevens Allacker'!$J$5:$Q$83,6,0)</f>
        <v>#N/A</v>
      </c>
      <c r="G636" s="107" t="e">
        <f>VLOOKUP(B636,'Gebouwgegevens Allacker'!$J$5:$Q$83,7,0)</f>
        <v>#N/A</v>
      </c>
      <c r="H636" s="108" t="e">
        <f>VLOOKUP(B636,'Gebouwgegevens Allacker'!$J$5:$Q$83,8,0)</f>
        <v>#N/A</v>
      </c>
      <c r="I636" s="108">
        <v>1</v>
      </c>
      <c r="J636" s="98"/>
      <c r="K636" s="98"/>
      <c r="L636" s="98"/>
      <c r="M636" s="98"/>
      <c r="N636" s="98"/>
      <c r="O636" s="98"/>
      <c r="P636" s="96"/>
    </row>
    <row r="637" spans="1:16" ht="16.5" customHeight="1" x14ac:dyDescent="0.25">
      <c r="A637" s="95"/>
      <c r="B637" s="106" t="s">
        <v>252</v>
      </c>
      <c r="C637" s="107" t="e">
        <f>VLOOKUP(B637,'Gebouwgegevens Allacker'!$J$5:$Q$83,3,0)</f>
        <v>#N/A</v>
      </c>
      <c r="D637" s="107" t="e">
        <f>VLOOKUP(B637,'Gebouwgegevens Allacker'!$J$5:$Q$83,4,0)</f>
        <v>#N/A</v>
      </c>
      <c r="E637" s="107" t="e">
        <f>VLOOKUP(B637,'Gebouwgegevens Allacker'!$J$5:$Q$83,5,0)</f>
        <v>#N/A</v>
      </c>
      <c r="F637" s="107" t="e">
        <f>VLOOKUP(B637,'Gebouwgegevens Allacker'!$J$5:$Q$83,6,0)</f>
        <v>#N/A</v>
      </c>
      <c r="G637" s="107" t="e">
        <f>VLOOKUP(B637,'Gebouwgegevens Allacker'!$J$5:$Q$83,7,0)</f>
        <v>#N/A</v>
      </c>
      <c r="H637" s="108" t="e">
        <f>VLOOKUP(B637,'Gebouwgegevens Allacker'!$J$5:$Q$83,8,0)</f>
        <v>#N/A</v>
      </c>
      <c r="I637" s="108">
        <v>1</v>
      </c>
      <c r="J637" s="98"/>
      <c r="K637" s="98"/>
      <c r="L637" s="98"/>
      <c r="M637" s="98"/>
      <c r="N637" s="98"/>
      <c r="O637" s="98"/>
      <c r="P637" s="96"/>
    </row>
    <row r="638" spans="1:16" ht="16.5" customHeight="1" x14ac:dyDescent="0.25">
      <c r="A638" s="95"/>
      <c r="B638" s="106"/>
      <c r="C638" s="107"/>
      <c r="D638" s="107"/>
      <c r="E638" s="107"/>
      <c r="F638" s="107"/>
      <c r="G638" s="107"/>
      <c r="H638" s="108"/>
      <c r="I638" s="108"/>
      <c r="J638" s="98"/>
      <c r="K638" s="98"/>
      <c r="L638" s="98"/>
      <c r="M638" s="98"/>
      <c r="N638" s="98"/>
      <c r="O638" s="98"/>
      <c r="P638" s="96"/>
    </row>
    <row r="639" spans="1:16" ht="16.5" customHeight="1" x14ac:dyDescent="0.25">
      <c r="A639" s="95"/>
      <c r="B639" s="106"/>
      <c r="C639" s="107"/>
      <c r="D639" s="107"/>
      <c r="E639" s="107"/>
      <c r="F639" s="107"/>
      <c r="G639" s="107"/>
      <c r="H639" s="108"/>
      <c r="I639" s="108"/>
      <c r="J639" s="98"/>
      <c r="K639" s="98"/>
      <c r="L639" s="98"/>
      <c r="M639" s="98"/>
      <c r="N639" s="98"/>
      <c r="O639" s="98"/>
      <c r="P639" s="96"/>
    </row>
    <row r="640" spans="1:16" ht="16.5" customHeight="1" x14ac:dyDescent="0.25">
      <c r="A640" s="95"/>
      <c r="B640" s="106"/>
      <c r="C640" s="107"/>
      <c r="D640" s="107"/>
      <c r="E640" s="107"/>
      <c r="F640" s="107"/>
      <c r="G640" s="107"/>
      <c r="H640" s="108"/>
      <c r="I640" s="108"/>
      <c r="J640" s="98"/>
      <c r="K640" s="98"/>
      <c r="L640" s="98"/>
      <c r="M640" s="98"/>
      <c r="N640" s="98"/>
      <c r="O640" s="98"/>
      <c r="P640" s="96"/>
    </row>
    <row r="641" spans="1:16" ht="16.5" customHeight="1" x14ac:dyDescent="0.25">
      <c r="A641" s="95"/>
      <c r="B641" s="106"/>
      <c r="C641" s="107"/>
      <c r="D641" s="107"/>
      <c r="E641" s="107"/>
      <c r="F641" s="107"/>
      <c r="G641" s="107"/>
      <c r="H641" s="108"/>
      <c r="I641" s="108"/>
      <c r="J641" s="98"/>
      <c r="K641" s="98"/>
      <c r="L641" s="98"/>
      <c r="M641" s="98"/>
      <c r="N641" s="98"/>
      <c r="O641" s="98"/>
      <c r="P641" s="96"/>
    </row>
    <row r="642" spans="1:16" ht="16.5" customHeight="1" x14ac:dyDescent="0.25">
      <c r="A642" s="95"/>
      <c r="B642" s="106"/>
      <c r="C642" s="107"/>
      <c r="D642" s="107"/>
      <c r="E642" s="107"/>
      <c r="F642" s="107"/>
      <c r="G642" s="107"/>
      <c r="H642" s="108"/>
      <c r="I642" s="108"/>
      <c r="J642" s="98"/>
      <c r="K642" s="98"/>
      <c r="L642" s="98"/>
      <c r="M642" s="98"/>
      <c r="N642" s="98"/>
      <c r="O642" s="98"/>
      <c r="P642" s="96"/>
    </row>
    <row r="643" spans="1:16" ht="16.5" customHeight="1" x14ac:dyDescent="0.25">
      <c r="A643" s="95"/>
      <c r="B643" s="106"/>
      <c r="C643" s="107"/>
      <c r="D643" s="107"/>
      <c r="E643" s="107"/>
      <c r="F643" s="107"/>
      <c r="G643" s="107"/>
      <c r="H643" s="108"/>
      <c r="I643" s="108"/>
      <c r="J643" s="98"/>
      <c r="K643" s="98"/>
      <c r="L643" s="98"/>
      <c r="M643" s="98"/>
      <c r="N643" s="98"/>
      <c r="O643" s="98"/>
      <c r="P643" s="96"/>
    </row>
    <row r="644" spans="1:16" ht="16.5" customHeight="1" x14ac:dyDescent="0.25">
      <c r="A644" s="95"/>
      <c r="B644" s="106"/>
      <c r="C644" s="107"/>
      <c r="D644" s="107"/>
      <c r="E644" s="107"/>
      <c r="F644" s="107"/>
      <c r="G644" s="107"/>
      <c r="H644" s="108"/>
      <c r="I644" s="108"/>
      <c r="J644" s="98"/>
      <c r="K644" s="98"/>
      <c r="L644" s="98"/>
      <c r="M644" s="98"/>
      <c r="N644" s="98"/>
      <c r="O644" s="98"/>
      <c r="P644" s="96"/>
    </row>
    <row r="645" spans="1:16" ht="16.5" customHeight="1" x14ac:dyDescent="0.25">
      <c r="A645" s="95"/>
      <c r="B645" s="106"/>
      <c r="C645" s="107"/>
      <c r="D645" s="107"/>
      <c r="E645" s="107"/>
      <c r="F645" s="107"/>
      <c r="G645" s="107"/>
      <c r="H645" s="108"/>
      <c r="I645" s="108"/>
      <c r="J645" s="98"/>
      <c r="K645" s="98"/>
      <c r="L645" s="98"/>
      <c r="M645" s="98"/>
      <c r="N645" s="98"/>
      <c r="O645" s="98"/>
      <c r="P645" s="96"/>
    </row>
    <row r="646" spans="1:16" ht="16.5" customHeight="1" x14ac:dyDescent="0.25">
      <c r="A646" s="95"/>
      <c r="B646" s="106"/>
      <c r="C646" s="107"/>
      <c r="D646" s="107"/>
      <c r="E646" s="107"/>
      <c r="F646" s="107"/>
      <c r="G646" s="107"/>
      <c r="H646" s="108"/>
      <c r="I646" s="108"/>
      <c r="J646" s="98"/>
      <c r="K646" s="98"/>
      <c r="L646" s="98"/>
      <c r="M646" s="98"/>
      <c r="N646" s="98"/>
      <c r="O646" s="98"/>
      <c r="P646" s="96"/>
    </row>
    <row r="647" spans="1:16" ht="16.5" customHeight="1" x14ac:dyDescent="0.25">
      <c r="A647" s="95"/>
      <c r="B647" s="106"/>
      <c r="C647" s="107"/>
      <c r="D647" s="107"/>
      <c r="E647" s="107"/>
      <c r="F647" s="107"/>
      <c r="G647" s="107"/>
      <c r="H647" s="108"/>
      <c r="I647" s="108"/>
      <c r="J647" s="98"/>
      <c r="K647" s="98"/>
      <c r="L647" s="98"/>
      <c r="M647" s="98"/>
      <c r="N647" s="98"/>
      <c r="O647" s="98"/>
      <c r="P647" s="96"/>
    </row>
    <row r="648" spans="1:16" ht="15.75" customHeight="1" x14ac:dyDescent="0.25">
      <c r="A648" s="95"/>
      <c r="B648" s="58"/>
      <c r="C648" s="58"/>
      <c r="D648" s="58"/>
      <c r="E648" s="58"/>
      <c r="F648" s="58"/>
      <c r="G648" s="114"/>
      <c r="H648" s="58"/>
      <c r="I648" s="58"/>
      <c r="J648" s="98"/>
      <c r="K648" s="98"/>
      <c r="L648" s="98"/>
      <c r="M648" s="98"/>
      <c r="N648" s="98"/>
      <c r="O648" s="98"/>
      <c r="P648" s="96"/>
    </row>
    <row r="649" spans="1:16" ht="15" customHeight="1" x14ac:dyDescent="0.25">
      <c r="A649" s="95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6"/>
    </row>
    <row r="650" spans="1:16" ht="15" customHeight="1" x14ac:dyDescent="0.25">
      <c r="A650" s="103" t="s">
        <v>177</v>
      </c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6"/>
    </row>
    <row r="651" spans="1:16" ht="15.75" customHeight="1" x14ac:dyDescent="0.25">
      <c r="A651" s="95"/>
      <c r="B651" s="58" t="s">
        <v>10</v>
      </c>
      <c r="C651" s="58" t="s">
        <v>178</v>
      </c>
      <c r="D651" s="58" t="s">
        <v>172</v>
      </c>
      <c r="E651" s="58" t="s">
        <v>179</v>
      </c>
      <c r="F651" s="58" t="s">
        <v>16</v>
      </c>
      <c r="G651" s="114" t="s">
        <v>17</v>
      </c>
      <c r="H651" s="114" t="s">
        <v>175</v>
      </c>
      <c r="I651" s="58" t="s">
        <v>180</v>
      </c>
      <c r="J651" s="58" t="s">
        <v>181</v>
      </c>
      <c r="K651" s="58" t="s">
        <v>182</v>
      </c>
      <c r="L651" s="115" t="s">
        <v>183</v>
      </c>
      <c r="M651" s="115" t="s">
        <v>184</v>
      </c>
      <c r="N651" s="115" t="s">
        <v>185</v>
      </c>
      <c r="O651" s="98"/>
      <c r="P651" s="96"/>
    </row>
    <row r="652" spans="1:16" ht="16.5" customHeight="1" x14ac:dyDescent="0.25">
      <c r="A652" s="95"/>
      <c r="B652" s="116" t="s">
        <v>253</v>
      </c>
      <c r="C652" s="117" t="e">
        <f>VLOOKUP(B652,'Gebouwgegevens Allacker'!$J$5:$Q$83,3,0)</f>
        <v>#N/A</v>
      </c>
      <c r="D652" s="117" t="e">
        <f>VLOOKUP(B652,'Gebouwgegevens Allacker'!$J$5:$Q$83,4,0)</f>
        <v>#N/A</v>
      </c>
      <c r="E652" s="117" t="e">
        <f>VLOOKUP(B652,'Gebouwgegevens Allacker'!$J$5:$Q$83,5,0)</f>
        <v>#N/A</v>
      </c>
      <c r="F652" s="117" t="e">
        <f>VLOOKUP(B652,'Gebouwgegevens Allacker'!$J$5:$Q$83,7,0)</f>
        <v>#N/A</v>
      </c>
      <c r="G652" s="118" t="e">
        <f>VLOOKUP(B652,'Gebouwgegevens Allacker'!$J$5:$Q$83,8,0)</f>
        <v>#N/A</v>
      </c>
      <c r="H652" s="118" t="e">
        <f>N652/F652</f>
        <v>#N/A</v>
      </c>
      <c r="I652" s="117" t="e">
        <f>VLOOKUP(C652,'Gebouwgegevens Allacker'!$A$35:$F$46,6,0)</f>
        <v>#N/A</v>
      </c>
      <c r="J652" s="116">
        <v>6.52</v>
      </c>
      <c r="K652" s="116">
        <v>0.33</v>
      </c>
      <c r="L652" s="119" t="e">
        <f>I652/(0.5*J652)</f>
        <v>#N/A</v>
      </c>
      <c r="M652" s="119" t="e">
        <f>K652+2*(1/F652)</f>
        <v>#N/A</v>
      </c>
      <c r="N652" s="120" t="e">
        <f>IF(M652&lt;L652,2*2/(PI()*L652+M652)*LN(PI()*L652/M652+1),2/(0.457*L652+M652))</f>
        <v>#N/A</v>
      </c>
      <c r="O652" s="98"/>
      <c r="P652" s="96"/>
    </row>
    <row r="653" spans="1:16" ht="16.5" customHeight="1" x14ac:dyDescent="0.25">
      <c r="A653" s="95"/>
      <c r="B653" s="116"/>
      <c r="C653" s="117"/>
      <c r="D653" s="117"/>
      <c r="E653" s="117"/>
      <c r="F653" s="117"/>
      <c r="G653" s="118"/>
      <c r="H653" s="118"/>
      <c r="I653" s="117"/>
      <c r="J653" s="116"/>
      <c r="K653" s="116"/>
      <c r="L653" s="119"/>
      <c r="M653" s="119"/>
      <c r="N653" s="120"/>
      <c r="O653" s="98"/>
      <c r="P653" s="96"/>
    </row>
    <row r="654" spans="1:16" ht="16.5" customHeight="1" x14ac:dyDescent="0.25">
      <c r="A654" s="95"/>
      <c r="B654" s="116"/>
      <c r="C654" s="117"/>
      <c r="D654" s="117"/>
      <c r="E654" s="117"/>
      <c r="F654" s="117"/>
      <c r="G654" s="118"/>
      <c r="H654" s="118"/>
      <c r="I654" s="117"/>
      <c r="J654" s="116"/>
      <c r="K654" s="116"/>
      <c r="L654" s="119"/>
      <c r="M654" s="119"/>
      <c r="N654" s="120"/>
      <c r="O654" s="98"/>
      <c r="P654" s="96"/>
    </row>
    <row r="655" spans="1:16" ht="16.5" customHeight="1" x14ac:dyDescent="0.25">
      <c r="A655" s="95"/>
      <c r="B655" s="116"/>
      <c r="C655" s="117"/>
      <c r="D655" s="117"/>
      <c r="E655" s="117"/>
      <c r="F655" s="117"/>
      <c r="G655" s="118"/>
      <c r="H655" s="118"/>
      <c r="I655" s="117"/>
      <c r="J655" s="116"/>
      <c r="K655" s="116"/>
      <c r="L655" s="119"/>
      <c r="M655" s="119"/>
      <c r="N655" s="120"/>
      <c r="O655" s="98"/>
      <c r="P655" s="96"/>
    </row>
    <row r="656" spans="1:16" ht="16.5" customHeight="1" x14ac:dyDescent="0.25">
      <c r="A656" s="138"/>
      <c r="B656" s="116"/>
      <c r="C656" s="117"/>
      <c r="D656" s="117"/>
      <c r="E656" s="117"/>
      <c r="F656" s="117"/>
      <c r="G656" s="118"/>
      <c r="H656" s="118"/>
      <c r="I656" s="117"/>
      <c r="J656" s="116"/>
      <c r="K656" s="116"/>
      <c r="L656" s="119"/>
      <c r="M656" s="119"/>
      <c r="N656" s="120"/>
      <c r="O656" s="98"/>
      <c r="P656" s="96"/>
    </row>
    <row r="657" spans="1:16" ht="15.75" customHeight="1" x14ac:dyDescent="0.25">
      <c r="A657" s="95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6"/>
    </row>
    <row r="658" spans="1:16" ht="15" customHeight="1" x14ac:dyDescent="0.25">
      <c r="A658" s="103" t="s">
        <v>186</v>
      </c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6"/>
    </row>
    <row r="659" spans="1:16" ht="15.75" customHeight="1" x14ac:dyDescent="0.25">
      <c r="A659" s="95"/>
      <c r="B659" s="58" t="s">
        <v>10</v>
      </c>
      <c r="C659" s="58" t="s">
        <v>187</v>
      </c>
      <c r="D659" s="58" t="s">
        <v>188</v>
      </c>
      <c r="E659" s="58" t="s">
        <v>135</v>
      </c>
      <c r="F659" s="58" t="s">
        <v>189</v>
      </c>
      <c r="G659" s="58" t="s">
        <v>190</v>
      </c>
      <c r="H659" s="58" t="s">
        <v>191</v>
      </c>
      <c r="I659" s="58" t="s">
        <v>16</v>
      </c>
      <c r="J659" s="114" t="s">
        <v>17</v>
      </c>
      <c r="K659" s="114" t="s">
        <v>175</v>
      </c>
      <c r="L659" s="98"/>
      <c r="M659" s="98"/>
      <c r="N659" s="98"/>
      <c r="O659" s="98"/>
      <c r="P659" s="96"/>
    </row>
    <row r="660" spans="1:16" ht="16.5" customHeight="1" x14ac:dyDescent="0.25">
      <c r="A660" s="95"/>
      <c r="B660" s="116" t="s">
        <v>219</v>
      </c>
      <c r="C660" s="122" t="e">
        <f>IF(VLOOKUP(B660,'Gebouwgegevens Allacker'!$J$5:$Q$83,2,0)=$B$630,VLOOKUP(B660,'Gebouwgegevens Allacker'!$J$5:$Q$83,2,0),VLOOKUP(B660,'Gebouwgegevens Allacker'!$J$5:$Q$83,3,0))</f>
        <v>#N/A</v>
      </c>
      <c r="D660" s="122" t="e">
        <f>IF(VLOOKUP(B660,'Gebouwgegevens Allacker'!$J$5:$Q$83,2,0)=$B$630,VLOOKUP(B660,'Gebouwgegevens Allacker'!$J$5:$Q$83,3,0),VLOOKUP(B660,'Gebouwgegevens Allacker'!$J$5:$Q$83,2,0))</f>
        <v>#N/A</v>
      </c>
      <c r="E660" s="122" t="e">
        <f>VLOOKUP(B660,'Gebouwgegevens Allacker'!$J$5:$Q$83,4,0)</f>
        <v>#N/A</v>
      </c>
      <c r="F660" s="122" t="e">
        <f>VLOOKUP(B660,'Gebouwgegevens Allacker'!$J$5:$Q$83,5,0)</f>
        <v>#N/A</v>
      </c>
      <c r="G660" s="122" t="e">
        <f>VLOOKUP('Verwarming Tabula'!C660,'Gebouwgegevens Allacker'!$A$35:$F$46,5,0)</f>
        <v>#N/A</v>
      </c>
      <c r="H660" s="122" t="e">
        <f>VLOOKUP('Verwarming Tabula'!D660,'Gebouwgegevens Allacker'!$A$35:$F$46,5,0)</f>
        <v>#N/A</v>
      </c>
      <c r="I660" s="122" t="e">
        <f>VLOOKUP(B660,'Gebouwgegevens Allacker'!$J$5:$Q$83,7,0)</f>
        <v>#N/A</v>
      </c>
      <c r="J660" s="118" t="e">
        <f>VLOOKUP(B660,'Gebouwgegevens Allacker'!$J$5:$Q$83,8,0)</f>
        <v>#N/A</v>
      </c>
      <c r="K660" s="118" t="e">
        <f>(G660-H660)/(G660-$B$4)</f>
        <v>#N/A</v>
      </c>
      <c r="L660" s="98"/>
      <c r="M660" s="98"/>
      <c r="N660" s="98"/>
      <c r="O660" s="98"/>
      <c r="P660" s="96"/>
    </row>
    <row r="661" spans="1:16" ht="16.5" customHeight="1" x14ac:dyDescent="0.25">
      <c r="A661" s="95"/>
      <c r="B661" s="116" t="s">
        <v>254</v>
      </c>
      <c r="C661" s="122" t="e">
        <f>IF(VLOOKUP(B661,'Gebouwgegevens Allacker'!$J$5:$Q$83,2,0)=$B$630,VLOOKUP(B661,'Gebouwgegevens Allacker'!$J$5:$Q$83,2,0),VLOOKUP(B661,'Gebouwgegevens Allacker'!$J$5:$Q$83,3,0))</f>
        <v>#N/A</v>
      </c>
      <c r="D661" s="122" t="e">
        <f>IF(VLOOKUP(B661,'Gebouwgegevens Allacker'!$J$5:$Q$83,2,0)=$B$630,VLOOKUP(B661,'Gebouwgegevens Allacker'!$J$5:$Q$83,3,0),VLOOKUP(B661,'Gebouwgegevens Allacker'!$J$5:$Q$83,2,0))</f>
        <v>#N/A</v>
      </c>
      <c r="E661" s="122" t="e">
        <f>VLOOKUP(B661,'Gebouwgegevens Allacker'!$J$5:$Q$83,4,0)</f>
        <v>#N/A</v>
      </c>
      <c r="F661" s="122" t="e">
        <f>VLOOKUP(B661,'Gebouwgegevens Allacker'!$J$5:$Q$83,5,0)</f>
        <v>#N/A</v>
      </c>
      <c r="G661" s="122" t="e">
        <f>VLOOKUP('Verwarming Tabula'!C661,'Gebouwgegevens Allacker'!$A$35:$F$46,5,0)</f>
        <v>#N/A</v>
      </c>
      <c r="H661" s="122" t="e">
        <f>VLOOKUP('Verwarming Tabula'!D661,'Gebouwgegevens Allacker'!$A$35:$F$46,5,0)</f>
        <v>#N/A</v>
      </c>
      <c r="I661" s="122" t="e">
        <f>VLOOKUP(B661,'Gebouwgegevens Allacker'!$J$5:$Q$83,7,0)</f>
        <v>#N/A</v>
      </c>
      <c r="J661" s="118" t="e">
        <f>VLOOKUP(B661,'Gebouwgegevens Allacker'!$J$5:$Q$83,8,0)</f>
        <v>#N/A</v>
      </c>
      <c r="K661" s="118" t="e">
        <f>(G661-H661)/(G661-$B$4)</f>
        <v>#N/A</v>
      </c>
      <c r="L661" s="98"/>
      <c r="M661" s="98"/>
      <c r="N661" s="98"/>
      <c r="O661" s="98"/>
      <c r="P661" s="96"/>
    </row>
    <row r="662" spans="1:16" ht="16.5" customHeight="1" x14ac:dyDescent="0.25">
      <c r="A662" s="95"/>
      <c r="B662" s="116"/>
      <c r="C662" s="122"/>
      <c r="D662" s="122"/>
      <c r="E662" s="122"/>
      <c r="F662" s="122"/>
      <c r="G662" s="122"/>
      <c r="H662" s="122"/>
      <c r="I662" s="122"/>
      <c r="J662" s="118"/>
      <c r="K662" s="118"/>
      <c r="L662" s="98"/>
      <c r="M662" s="98"/>
      <c r="N662" s="98"/>
      <c r="O662" s="98"/>
      <c r="P662" s="96"/>
    </row>
    <row r="663" spans="1:16" ht="16.5" customHeight="1" x14ac:dyDescent="0.25">
      <c r="A663" s="95"/>
      <c r="B663" s="116"/>
      <c r="C663" s="122"/>
      <c r="D663" s="122"/>
      <c r="E663" s="122"/>
      <c r="F663" s="122"/>
      <c r="G663" s="122"/>
      <c r="H663" s="122"/>
      <c r="I663" s="122"/>
      <c r="J663" s="118"/>
      <c r="K663" s="118"/>
      <c r="L663" s="98"/>
      <c r="M663" s="98"/>
      <c r="N663" s="98"/>
      <c r="O663" s="98"/>
      <c r="P663" s="96"/>
    </row>
    <row r="664" spans="1:16" ht="16.5" customHeight="1" x14ac:dyDescent="0.25">
      <c r="A664" s="95"/>
      <c r="B664" s="145"/>
      <c r="C664" s="122"/>
      <c r="D664" s="122"/>
      <c r="E664" s="122"/>
      <c r="F664" s="122"/>
      <c r="G664" s="122"/>
      <c r="H664" s="122"/>
      <c r="I664" s="122"/>
      <c r="J664" s="118"/>
      <c r="K664" s="118"/>
      <c r="L664" s="98"/>
      <c r="M664" s="98"/>
      <c r="N664" s="98"/>
      <c r="O664" s="98"/>
      <c r="P664" s="96"/>
    </row>
    <row r="665" spans="1:16" ht="16.5" customHeight="1" x14ac:dyDescent="0.25">
      <c r="A665" s="95"/>
      <c r="B665" s="123"/>
      <c r="C665" s="139"/>
      <c r="D665" s="122"/>
      <c r="E665" s="122"/>
      <c r="F665" s="122"/>
      <c r="G665" s="122"/>
      <c r="H665" s="122"/>
      <c r="I665" s="122"/>
      <c r="J665" s="118"/>
      <c r="K665" s="118"/>
      <c r="L665" s="98"/>
      <c r="M665" s="98"/>
      <c r="N665" s="98"/>
      <c r="O665" s="98"/>
      <c r="P665" s="96"/>
    </row>
    <row r="666" spans="1:16" ht="16.5" customHeight="1" x14ac:dyDescent="0.25">
      <c r="A666" s="95"/>
      <c r="B666" s="123"/>
      <c r="C666" s="139"/>
      <c r="D666" s="122"/>
      <c r="E666" s="122"/>
      <c r="F666" s="122"/>
      <c r="G666" s="122"/>
      <c r="H666" s="122"/>
      <c r="I666" s="122"/>
      <c r="J666" s="118"/>
      <c r="K666" s="118"/>
      <c r="L666" s="98"/>
      <c r="M666" s="98"/>
      <c r="N666" s="98"/>
      <c r="O666" s="98"/>
      <c r="P666" s="96"/>
    </row>
    <row r="667" spans="1:16" ht="16.5" customHeight="1" x14ac:dyDescent="0.25">
      <c r="A667" s="95"/>
      <c r="B667" s="123"/>
      <c r="C667" s="139"/>
      <c r="D667" s="122"/>
      <c r="E667" s="122"/>
      <c r="F667" s="122"/>
      <c r="G667" s="122"/>
      <c r="H667" s="122"/>
      <c r="I667" s="122"/>
      <c r="J667" s="118"/>
      <c r="K667" s="118"/>
      <c r="L667" s="98"/>
      <c r="M667" s="98"/>
      <c r="N667" s="98"/>
      <c r="O667" s="98"/>
      <c r="P667" s="96"/>
    </row>
    <row r="668" spans="1:16" ht="16.5" customHeight="1" x14ac:dyDescent="0.25">
      <c r="A668" s="95"/>
      <c r="B668" s="123"/>
      <c r="C668" s="139"/>
      <c r="D668" s="122"/>
      <c r="E668" s="122"/>
      <c r="F668" s="122"/>
      <c r="G668" s="122"/>
      <c r="H668" s="122"/>
      <c r="I668" s="122"/>
      <c r="J668" s="118"/>
      <c r="K668" s="118"/>
      <c r="L668" s="98"/>
      <c r="M668" s="98"/>
      <c r="N668" s="98"/>
      <c r="O668" s="98"/>
      <c r="P668" s="96"/>
    </row>
    <row r="669" spans="1:16" ht="16.5" customHeight="1" x14ac:dyDescent="0.25">
      <c r="A669" s="95"/>
      <c r="B669" s="123"/>
      <c r="C669" s="139"/>
      <c r="D669" s="122"/>
      <c r="E669" s="122"/>
      <c r="F669" s="122"/>
      <c r="G669" s="122"/>
      <c r="H669" s="122"/>
      <c r="I669" s="122"/>
      <c r="J669" s="118"/>
      <c r="K669" s="118"/>
      <c r="L669" s="98"/>
      <c r="M669" s="98"/>
      <c r="N669" s="98"/>
      <c r="O669" s="98"/>
      <c r="P669" s="96"/>
    </row>
    <row r="670" spans="1:16" ht="15.75" customHeight="1" x14ac:dyDescent="0.25">
      <c r="A670" s="95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8"/>
      <c r="M670" s="98"/>
      <c r="N670" s="98"/>
      <c r="O670" s="98"/>
      <c r="P670" s="96"/>
    </row>
    <row r="671" spans="1:16" ht="15" customHeight="1" x14ac:dyDescent="0.25">
      <c r="A671" s="95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6"/>
    </row>
    <row r="672" spans="1:16" ht="15.75" customHeight="1" x14ac:dyDescent="0.25">
      <c r="A672" s="103" t="s">
        <v>192</v>
      </c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6"/>
    </row>
    <row r="673" spans="1:16" ht="16.5" customHeight="1" x14ac:dyDescent="0.25">
      <c r="A673" s="124" t="s">
        <v>193</v>
      </c>
      <c r="B673" s="118" t="e">
        <f>SUMPRODUCT(H636:H647,I636:I647)+SUMPRODUCT(G652:G656,H652:H656)+SUMPRODUCT(J660:J669,K660:K669)</f>
        <v>#N/A</v>
      </c>
      <c r="C673" s="118" t="s">
        <v>107</v>
      </c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6"/>
    </row>
    <row r="674" spans="1:16" ht="16.5" customHeight="1" x14ac:dyDescent="0.25">
      <c r="A674" s="124" t="s">
        <v>167</v>
      </c>
      <c r="B674" s="118" t="e">
        <f>B673*(G660-$B$4)</f>
        <v>#N/A</v>
      </c>
      <c r="C674" s="118" t="s">
        <v>169</v>
      </c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6"/>
    </row>
    <row r="675" spans="1:16" ht="15.75" customHeight="1" x14ac:dyDescent="0.25">
      <c r="A675" s="109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1"/>
    </row>
    <row r="676" spans="1:16" ht="15.75" customHeight="1" x14ac:dyDescent="0.25">
      <c r="A676" s="343" t="s">
        <v>194</v>
      </c>
      <c r="B676" s="343"/>
      <c r="C676" s="343"/>
      <c r="D676" s="125" t="s">
        <v>222</v>
      </c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94"/>
    </row>
    <row r="677" spans="1:16" ht="15" customHeight="1" x14ac:dyDescent="0.25">
      <c r="A677" s="95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6"/>
    </row>
    <row r="678" spans="1:16" ht="15" customHeight="1" x14ac:dyDescent="0.25">
      <c r="A678" s="126" t="s">
        <v>195</v>
      </c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6"/>
    </row>
    <row r="679" spans="1:16" ht="15" customHeight="1" x14ac:dyDescent="0.25">
      <c r="A679" s="127" t="s">
        <v>196</v>
      </c>
      <c r="B679" s="121">
        <v>8</v>
      </c>
      <c r="C679" s="120" t="s">
        <v>197</v>
      </c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6"/>
    </row>
    <row r="680" spans="1:16" ht="15" customHeight="1" x14ac:dyDescent="0.25">
      <c r="A680" s="127" t="s">
        <v>198</v>
      </c>
      <c r="B680" s="121">
        <v>0.03</v>
      </c>
      <c r="C680" s="120" t="s">
        <v>199</v>
      </c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6"/>
    </row>
    <row r="681" spans="1:16" ht="15.75" customHeight="1" x14ac:dyDescent="0.25">
      <c r="A681" s="127" t="s">
        <v>200</v>
      </c>
      <c r="B681" s="121">
        <v>1</v>
      </c>
      <c r="C681" s="120" t="s">
        <v>201</v>
      </c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6"/>
    </row>
    <row r="682" spans="1:16" ht="16.5" customHeight="1" x14ac:dyDescent="0.25">
      <c r="A682" s="124" t="s">
        <v>202</v>
      </c>
      <c r="B682" s="118" t="e">
        <f>2*VLOOKUP(B630,'Gebouwgegevens Allacker'!$A$35:$F$46,6,0)*B679*B680*B681</f>
        <v>#N/A</v>
      </c>
      <c r="C682" s="118" t="s">
        <v>203</v>
      </c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6"/>
    </row>
    <row r="683" spans="1:16" ht="15.75" customHeight="1" x14ac:dyDescent="0.25">
      <c r="A683" s="138"/>
      <c r="B683" s="58"/>
      <c r="C683" s="5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6"/>
    </row>
    <row r="684" spans="1:16" ht="15" customHeight="1" x14ac:dyDescent="0.25">
      <c r="A684" s="146" t="s">
        <v>204</v>
      </c>
      <c r="B684" s="58"/>
      <c r="C684" s="5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6"/>
    </row>
    <row r="685" spans="1:16" ht="15.75" customHeight="1" x14ac:dyDescent="0.25">
      <c r="A685" s="138" t="s">
        <v>180</v>
      </c>
      <c r="B685" s="58" t="e">
        <f>VLOOKUP(B630,'Gebouwgegevens Allacker'!$A$35:$F$46,6,0)</f>
        <v>#N/A</v>
      </c>
      <c r="C685" s="5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6"/>
    </row>
    <row r="686" spans="1:16" ht="16.5" customHeight="1" x14ac:dyDescent="0.25">
      <c r="A686" s="124" t="s">
        <v>205</v>
      </c>
      <c r="B686" s="128">
        <v>50</v>
      </c>
      <c r="C686" s="118" t="s">
        <v>203</v>
      </c>
      <c r="D686" s="147" t="s">
        <v>255</v>
      </c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6"/>
    </row>
    <row r="687" spans="1:16" ht="15.75" customHeight="1" x14ac:dyDescent="0.25">
      <c r="A687" s="138"/>
      <c r="B687" s="58"/>
      <c r="C687" s="5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6"/>
    </row>
    <row r="688" spans="1:16" ht="15.75" customHeight="1" x14ac:dyDescent="0.25">
      <c r="A688" s="138"/>
      <c r="B688" s="58"/>
      <c r="C688" s="5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6"/>
    </row>
    <row r="689" spans="1:16" ht="16.5" customHeight="1" x14ac:dyDescent="0.25">
      <c r="A689" s="124" t="s">
        <v>207</v>
      </c>
      <c r="B689" s="118" t="e">
        <f>MAX(B682,B686)</f>
        <v>#N/A</v>
      </c>
      <c r="C689" s="118" t="s">
        <v>203</v>
      </c>
      <c r="D689" s="98"/>
      <c r="E689" s="98"/>
      <c r="F689" s="118" t="s">
        <v>208</v>
      </c>
      <c r="G689" s="118" t="e">
        <f>B689/VLOOKUP(B630,'Gebouwgegevens Allacker'!$A$35:$B$46,2,0)</f>
        <v>#N/A</v>
      </c>
      <c r="H689" s="98"/>
      <c r="I689" s="98"/>
      <c r="J689" s="98"/>
      <c r="K689" s="98"/>
      <c r="L689" s="98"/>
      <c r="M689" s="98"/>
      <c r="N689" s="98"/>
      <c r="O689" s="98"/>
      <c r="P689" s="96"/>
    </row>
    <row r="690" spans="1:16" ht="16.5" customHeight="1" x14ac:dyDescent="0.25">
      <c r="A690" s="138"/>
      <c r="B690" s="58"/>
      <c r="C690" s="5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6"/>
    </row>
    <row r="691" spans="1:16" ht="16.5" customHeight="1" x14ac:dyDescent="0.25">
      <c r="A691" s="124" t="s">
        <v>209</v>
      </c>
      <c r="B691" s="118" t="e">
        <f>0.34*B689</f>
        <v>#N/A</v>
      </c>
      <c r="C691" s="118" t="s">
        <v>107</v>
      </c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6"/>
    </row>
    <row r="692" spans="1:16" ht="16.5" customHeight="1" x14ac:dyDescent="0.25">
      <c r="A692" s="124" t="s">
        <v>167</v>
      </c>
      <c r="B692" s="118" t="e">
        <f>B691*('Gebouwgegevens Allacker'!E652-$B$4)</f>
        <v>#N/A</v>
      </c>
      <c r="C692" s="118" t="s">
        <v>169</v>
      </c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6"/>
    </row>
    <row r="693" spans="1:16" ht="15.75" customHeight="1" x14ac:dyDescent="0.25">
      <c r="A693" s="140"/>
      <c r="B693" s="141"/>
      <c r="C693" s="141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1"/>
    </row>
    <row r="694" spans="1:16" ht="15.75" customHeight="1" x14ac:dyDescent="0.25">
      <c r="A694" s="343" t="s">
        <v>210</v>
      </c>
      <c r="B694" s="343"/>
      <c r="C694" s="343"/>
      <c r="D694" s="343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6"/>
    </row>
    <row r="695" spans="1:16" ht="15" customHeight="1" x14ac:dyDescent="0.25">
      <c r="A695" s="95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6"/>
    </row>
    <row r="696" spans="1:16" ht="15" customHeight="1" x14ac:dyDescent="0.25">
      <c r="A696" s="127" t="s">
        <v>211</v>
      </c>
      <c r="B696" s="121">
        <v>0</v>
      </c>
      <c r="C696" s="58" t="s">
        <v>232</v>
      </c>
      <c r="D696" s="5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6"/>
    </row>
    <row r="697" spans="1:16" ht="15.75" customHeight="1" x14ac:dyDescent="0.25">
      <c r="A697" s="3" t="s">
        <v>113</v>
      </c>
      <c r="B697" s="58" t="e">
        <f>VLOOKUP(B630,'Gebouwgegevens Allacker'!$A$35:$F$46,6,0)</f>
        <v>#N/A</v>
      </c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6"/>
    </row>
    <row r="698" spans="1:16" ht="16.5" customHeight="1" x14ac:dyDescent="0.25">
      <c r="A698" s="124" t="s">
        <v>213</v>
      </c>
      <c r="B698" s="118" t="e">
        <f>B699/('Gebouwgegevens Allacker'!E652-'Verwarming Tabula'!$B$4)</f>
        <v>#N/A</v>
      </c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6"/>
    </row>
    <row r="699" spans="1:16" ht="16.5" customHeight="1" x14ac:dyDescent="0.25">
      <c r="A699" s="124" t="s">
        <v>167</v>
      </c>
      <c r="B699" s="118" t="e">
        <f>B696*B697</f>
        <v>#N/A</v>
      </c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6"/>
    </row>
    <row r="700" spans="1:16" ht="15.75" customHeight="1" x14ac:dyDescent="0.25">
      <c r="A700" s="95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6"/>
    </row>
    <row r="701" spans="1:16" ht="15.75" customHeight="1" x14ac:dyDescent="0.25">
      <c r="A701" s="95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6"/>
    </row>
    <row r="702" spans="1:16" ht="15.75" customHeight="1" x14ac:dyDescent="0.25">
      <c r="A702" s="129" t="s">
        <v>214</v>
      </c>
      <c r="B702" s="130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1"/>
    </row>
    <row r="703" spans="1:16" ht="16.5" customHeight="1" x14ac:dyDescent="0.25">
      <c r="A703" s="124" t="s">
        <v>215</v>
      </c>
      <c r="B703" s="118" t="e">
        <f>SUM(B673,B691,B698)</f>
        <v>#N/A</v>
      </c>
      <c r="C703" s="118" t="s">
        <v>107</v>
      </c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3"/>
    </row>
    <row r="704" spans="1:16" ht="16.5" customHeight="1" x14ac:dyDescent="0.25">
      <c r="A704" s="124" t="s">
        <v>167</v>
      </c>
      <c r="B704" s="118" t="e">
        <f>SUM(B674,B692,B699)</f>
        <v>#N/A</v>
      </c>
      <c r="C704" s="118" t="s">
        <v>169</v>
      </c>
      <c r="D704" s="132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  <c r="O704" s="132"/>
      <c r="P704" s="133"/>
    </row>
    <row r="705" spans="1:16" ht="16.5" customHeight="1" x14ac:dyDescent="0.25">
      <c r="A705" s="134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6"/>
    </row>
    <row r="706" spans="1:16" ht="15" customHeight="1" x14ac:dyDescent="0.25">
      <c r="A706" s="137"/>
      <c r="B706" s="137"/>
      <c r="C706" s="137"/>
      <c r="D706" s="137"/>
      <c r="E706" s="137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</row>
    <row r="707" spans="1:16" ht="15.75" customHeight="1" x14ac:dyDescent="0.25">
      <c r="A707" s="137"/>
      <c r="B707" s="137"/>
      <c r="C707" s="137"/>
      <c r="D707" s="137"/>
      <c r="E707" s="137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</row>
    <row r="708" spans="1:16" ht="15" customHeight="1" x14ac:dyDescent="0.25">
      <c r="A708" s="93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94"/>
    </row>
    <row r="709" spans="1:16" ht="17.25" customHeight="1" x14ac:dyDescent="0.3">
      <c r="A709" s="97" t="s">
        <v>166</v>
      </c>
      <c r="B709" s="92">
        <v>10</v>
      </c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6"/>
    </row>
    <row r="710" spans="1:16" ht="15.75" customHeight="1" x14ac:dyDescent="0.25">
      <c r="A710" s="343" t="s">
        <v>168</v>
      </c>
      <c r="B710" s="343"/>
      <c r="C710" s="343"/>
      <c r="D710" s="343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94"/>
    </row>
    <row r="711" spans="1:16" ht="15" customHeight="1" x14ac:dyDescent="0.25">
      <c r="A711" s="95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6"/>
    </row>
    <row r="712" spans="1:16" ht="15" customHeight="1" x14ac:dyDescent="0.25">
      <c r="A712" s="103" t="s">
        <v>170</v>
      </c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6"/>
    </row>
    <row r="713" spans="1:16" ht="15" customHeight="1" x14ac:dyDescent="0.25">
      <c r="A713" s="95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6"/>
    </row>
    <row r="714" spans="1:16" ht="15.75" customHeight="1" x14ac:dyDescent="0.25">
      <c r="A714" s="95"/>
      <c r="B714" s="104" t="s">
        <v>10</v>
      </c>
      <c r="C714" s="104" t="s">
        <v>171</v>
      </c>
      <c r="D714" s="104" t="s">
        <v>172</v>
      </c>
      <c r="E714" s="104" t="s">
        <v>173</v>
      </c>
      <c r="F714" s="104" t="s">
        <v>174</v>
      </c>
      <c r="G714" s="104" t="s">
        <v>16</v>
      </c>
      <c r="H714" s="105" t="s">
        <v>17</v>
      </c>
      <c r="I714" s="105" t="s">
        <v>175</v>
      </c>
      <c r="J714" s="98"/>
      <c r="K714" s="98"/>
      <c r="L714" s="98"/>
      <c r="M714" s="98"/>
      <c r="N714" s="98"/>
      <c r="O714" s="98"/>
      <c r="P714" s="96"/>
    </row>
    <row r="715" spans="1:16" ht="16.5" customHeight="1" x14ac:dyDescent="0.25">
      <c r="A715" s="95"/>
      <c r="B715" s="106" t="s">
        <v>256</v>
      </c>
      <c r="C715" s="107" t="e">
        <f>VLOOKUP(B715,'Gebouwgegevens Allacker'!$J$5:$Q$83,3,0)</f>
        <v>#N/A</v>
      </c>
      <c r="D715" s="107" t="e">
        <f>VLOOKUP(B715,'Gebouwgegevens Allacker'!$J$5:$Q$83,4,0)</f>
        <v>#N/A</v>
      </c>
      <c r="E715" s="107" t="e">
        <f>VLOOKUP(B715,'Gebouwgegevens Allacker'!$J$5:$Q$83,5,0)</f>
        <v>#N/A</v>
      </c>
      <c r="F715" s="107" t="e">
        <f>VLOOKUP(B715,'Gebouwgegevens Allacker'!$J$5:$Q$83,6,0)</f>
        <v>#N/A</v>
      </c>
      <c r="G715" s="107" t="e">
        <f>VLOOKUP(B715,'Gebouwgegevens Allacker'!$J$5:$Q$83,7,0)</f>
        <v>#N/A</v>
      </c>
      <c r="H715" s="108" t="e">
        <f>VLOOKUP(B715,'Gebouwgegevens Allacker'!$J$5:$Q$83,8,0)</f>
        <v>#N/A</v>
      </c>
      <c r="I715" s="108">
        <v>1</v>
      </c>
      <c r="J715" s="98"/>
      <c r="K715" s="98"/>
      <c r="L715" s="98"/>
      <c r="M715" s="98"/>
      <c r="N715" s="98"/>
      <c r="O715" s="98"/>
      <c r="P715" s="96"/>
    </row>
    <row r="716" spans="1:16" ht="16.5" customHeight="1" x14ac:dyDescent="0.25">
      <c r="A716" s="95"/>
      <c r="B716" s="106" t="s">
        <v>257</v>
      </c>
      <c r="C716" s="107" t="e">
        <f>VLOOKUP(B716,'Gebouwgegevens Allacker'!$J$5:$Q$83,3,0)</f>
        <v>#N/A</v>
      </c>
      <c r="D716" s="107" t="e">
        <f>VLOOKUP(B716,'Gebouwgegevens Allacker'!$J$5:$Q$83,4,0)</f>
        <v>#N/A</v>
      </c>
      <c r="E716" s="107" t="e">
        <f>VLOOKUP(B716,'Gebouwgegevens Allacker'!$J$5:$Q$83,5,0)</f>
        <v>#N/A</v>
      </c>
      <c r="F716" s="107" t="e">
        <f>VLOOKUP(B716,'Gebouwgegevens Allacker'!$J$5:$Q$83,6,0)</f>
        <v>#N/A</v>
      </c>
      <c r="G716" s="107" t="e">
        <f>VLOOKUP(B716,'Gebouwgegevens Allacker'!$J$5:$Q$83,7,0)</f>
        <v>#N/A</v>
      </c>
      <c r="H716" s="108" t="e">
        <f>VLOOKUP(B716,'Gebouwgegevens Allacker'!$J$5:$Q$83,8,0)</f>
        <v>#N/A</v>
      </c>
      <c r="I716" s="108">
        <v>1</v>
      </c>
      <c r="J716" s="98"/>
      <c r="K716" s="98"/>
      <c r="L716" s="98"/>
      <c r="M716" s="98"/>
      <c r="N716" s="98"/>
      <c r="O716" s="98"/>
      <c r="P716" s="96"/>
    </row>
    <row r="717" spans="1:16" ht="16.5" customHeight="1" x14ac:dyDescent="0.25">
      <c r="A717" s="95"/>
      <c r="B717" s="106" t="s">
        <v>258</v>
      </c>
      <c r="C717" s="107" t="e">
        <f>VLOOKUP(B717,'Gebouwgegevens Allacker'!$J$5:$Q$83,3,0)</f>
        <v>#N/A</v>
      </c>
      <c r="D717" s="107" t="e">
        <f>VLOOKUP(B717,'Gebouwgegevens Allacker'!$J$5:$Q$83,4,0)</f>
        <v>#N/A</v>
      </c>
      <c r="E717" s="107" t="e">
        <f>VLOOKUP(B717,'Gebouwgegevens Allacker'!$J$5:$Q$83,5,0)</f>
        <v>#N/A</v>
      </c>
      <c r="F717" s="107" t="e">
        <f>VLOOKUP(B717,'Gebouwgegevens Allacker'!$J$5:$Q$83,6,0)</f>
        <v>#N/A</v>
      </c>
      <c r="G717" s="107" t="e">
        <f>VLOOKUP(B717,'Gebouwgegevens Allacker'!$J$5:$Q$83,7,0)</f>
        <v>#N/A</v>
      </c>
      <c r="H717" s="108" t="e">
        <f>VLOOKUP(B717,'Gebouwgegevens Allacker'!$J$5:$Q$83,8,0)</f>
        <v>#N/A</v>
      </c>
      <c r="I717" s="108">
        <v>1</v>
      </c>
      <c r="J717" s="98"/>
      <c r="K717" s="98"/>
      <c r="L717" s="98"/>
      <c r="M717" s="98"/>
      <c r="N717" s="98"/>
      <c r="O717" s="98"/>
      <c r="P717" s="96"/>
    </row>
    <row r="718" spans="1:16" ht="16.5" customHeight="1" x14ac:dyDescent="0.25">
      <c r="A718" s="95"/>
      <c r="B718" s="106"/>
      <c r="C718" s="107"/>
      <c r="D718" s="107"/>
      <c r="E718" s="107"/>
      <c r="F718" s="107"/>
      <c r="G718" s="107"/>
      <c r="H718" s="108"/>
      <c r="I718" s="108"/>
      <c r="J718" s="98"/>
      <c r="K718" s="98"/>
      <c r="L718" s="98"/>
      <c r="M718" s="98"/>
      <c r="N718" s="98"/>
      <c r="O718" s="98"/>
      <c r="P718" s="96"/>
    </row>
    <row r="719" spans="1:16" ht="16.5" customHeight="1" x14ac:dyDescent="0.25">
      <c r="A719" s="95"/>
      <c r="B719" s="106"/>
      <c r="C719" s="107"/>
      <c r="D719" s="107"/>
      <c r="E719" s="107"/>
      <c r="F719" s="107"/>
      <c r="G719" s="107"/>
      <c r="H719" s="108"/>
      <c r="I719" s="108"/>
      <c r="J719" s="98"/>
      <c r="K719" s="98"/>
      <c r="L719" s="98"/>
      <c r="M719" s="98"/>
      <c r="N719" s="98"/>
      <c r="O719" s="98"/>
      <c r="P719" s="96"/>
    </row>
    <row r="720" spans="1:16" ht="16.5" customHeight="1" x14ac:dyDescent="0.25">
      <c r="A720" s="95"/>
      <c r="B720" s="106"/>
      <c r="C720" s="107"/>
      <c r="D720" s="107"/>
      <c r="E720" s="107"/>
      <c r="F720" s="107"/>
      <c r="G720" s="107"/>
      <c r="H720" s="108"/>
      <c r="I720" s="108"/>
      <c r="J720" s="98"/>
      <c r="K720" s="98"/>
      <c r="L720" s="98"/>
      <c r="M720" s="98"/>
      <c r="N720" s="98"/>
      <c r="O720" s="98"/>
      <c r="P720" s="96"/>
    </row>
    <row r="721" spans="1:16" ht="16.5" customHeight="1" x14ac:dyDescent="0.25">
      <c r="A721" s="95"/>
      <c r="B721" s="106"/>
      <c r="C721" s="107"/>
      <c r="D721" s="107"/>
      <c r="E721" s="107"/>
      <c r="F721" s="107"/>
      <c r="G721" s="107"/>
      <c r="H721" s="108"/>
      <c r="I721" s="108"/>
      <c r="J721" s="98"/>
      <c r="K721" s="98"/>
      <c r="L721" s="98"/>
      <c r="M721" s="98"/>
      <c r="N721" s="98"/>
      <c r="O721" s="98"/>
      <c r="P721" s="96"/>
    </row>
    <row r="722" spans="1:16" ht="16.5" customHeight="1" x14ac:dyDescent="0.25">
      <c r="A722" s="95"/>
      <c r="B722" s="106"/>
      <c r="C722" s="107"/>
      <c r="D722" s="107"/>
      <c r="E722" s="107"/>
      <c r="F722" s="107"/>
      <c r="G722" s="107"/>
      <c r="H722" s="108"/>
      <c r="I722" s="108"/>
      <c r="J722" s="98"/>
      <c r="K722" s="98"/>
      <c r="L722" s="98"/>
      <c r="M722" s="98"/>
      <c r="N722" s="98"/>
      <c r="O722" s="98"/>
      <c r="P722" s="96"/>
    </row>
    <row r="723" spans="1:16" ht="16.5" customHeight="1" x14ac:dyDescent="0.25">
      <c r="A723" s="95"/>
      <c r="B723" s="106"/>
      <c r="C723" s="107"/>
      <c r="D723" s="107"/>
      <c r="E723" s="107"/>
      <c r="F723" s="107"/>
      <c r="G723" s="107"/>
      <c r="H723" s="108"/>
      <c r="I723" s="108"/>
      <c r="J723" s="98"/>
      <c r="K723" s="98"/>
      <c r="L723" s="98"/>
      <c r="M723" s="98"/>
      <c r="N723" s="98"/>
      <c r="O723" s="98"/>
      <c r="P723" s="96"/>
    </row>
    <row r="724" spans="1:16" ht="16.5" customHeight="1" x14ac:dyDescent="0.25">
      <c r="A724" s="95"/>
      <c r="B724" s="106"/>
      <c r="C724" s="107"/>
      <c r="D724" s="107"/>
      <c r="E724" s="107"/>
      <c r="F724" s="107"/>
      <c r="G724" s="107"/>
      <c r="H724" s="108"/>
      <c r="I724" s="108"/>
      <c r="J724" s="98"/>
      <c r="K724" s="98"/>
      <c r="L724" s="98"/>
      <c r="M724" s="98"/>
      <c r="N724" s="98"/>
      <c r="O724" s="98"/>
      <c r="P724" s="96"/>
    </row>
    <row r="725" spans="1:16" ht="16.5" customHeight="1" x14ac:dyDescent="0.25">
      <c r="A725" s="95"/>
      <c r="B725" s="106"/>
      <c r="C725" s="107"/>
      <c r="D725" s="107"/>
      <c r="E725" s="107"/>
      <c r="F725" s="107"/>
      <c r="G725" s="107"/>
      <c r="H725" s="108"/>
      <c r="I725" s="108"/>
      <c r="J725" s="98"/>
      <c r="K725" s="98"/>
      <c r="L725" s="98"/>
      <c r="M725" s="98"/>
      <c r="N725" s="98"/>
      <c r="O725" s="98"/>
      <c r="P725" s="96"/>
    </row>
    <row r="726" spans="1:16" ht="16.5" customHeight="1" x14ac:dyDescent="0.25">
      <c r="A726" s="95"/>
      <c r="B726" s="106"/>
      <c r="C726" s="107"/>
      <c r="D726" s="107"/>
      <c r="E726" s="107"/>
      <c r="F726" s="107"/>
      <c r="G726" s="107"/>
      <c r="H726" s="108"/>
      <c r="I726" s="108"/>
      <c r="J726" s="98"/>
      <c r="K726" s="98"/>
      <c r="L726" s="98"/>
      <c r="M726" s="98"/>
      <c r="N726" s="98"/>
      <c r="O726" s="98"/>
      <c r="P726" s="96"/>
    </row>
    <row r="727" spans="1:16" ht="15.75" customHeight="1" x14ac:dyDescent="0.25">
      <c r="A727" s="95"/>
      <c r="B727" s="58"/>
      <c r="C727" s="58"/>
      <c r="D727" s="58"/>
      <c r="E727" s="58"/>
      <c r="F727" s="58"/>
      <c r="G727" s="114"/>
      <c r="H727" s="58"/>
      <c r="I727" s="58"/>
      <c r="J727" s="98"/>
      <c r="K727" s="98"/>
      <c r="L727" s="98"/>
      <c r="M727" s="98"/>
      <c r="N727" s="98"/>
      <c r="O727" s="98"/>
      <c r="P727" s="96"/>
    </row>
    <row r="728" spans="1:16" ht="15" customHeight="1" x14ac:dyDescent="0.25">
      <c r="A728" s="95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6"/>
    </row>
    <row r="729" spans="1:16" ht="15" customHeight="1" x14ac:dyDescent="0.25">
      <c r="A729" s="103" t="s">
        <v>177</v>
      </c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6"/>
    </row>
    <row r="730" spans="1:16" ht="15.75" customHeight="1" x14ac:dyDescent="0.25">
      <c r="A730" s="95"/>
      <c r="B730" s="58" t="s">
        <v>10</v>
      </c>
      <c r="C730" s="58" t="s">
        <v>178</v>
      </c>
      <c r="D730" s="58" t="s">
        <v>172</v>
      </c>
      <c r="E730" s="58" t="s">
        <v>179</v>
      </c>
      <c r="F730" s="58" t="s">
        <v>16</v>
      </c>
      <c r="G730" s="114" t="s">
        <v>17</v>
      </c>
      <c r="H730" s="114" t="s">
        <v>175</v>
      </c>
      <c r="I730" s="58" t="s">
        <v>180</v>
      </c>
      <c r="J730" s="58" t="s">
        <v>181</v>
      </c>
      <c r="K730" s="58" t="s">
        <v>182</v>
      </c>
      <c r="L730" s="115" t="s">
        <v>183</v>
      </c>
      <c r="M730" s="115" t="s">
        <v>184</v>
      </c>
      <c r="N730" s="115" t="s">
        <v>185</v>
      </c>
      <c r="O730" s="98"/>
      <c r="P730" s="96"/>
    </row>
    <row r="731" spans="1:16" ht="16.5" customHeight="1" x14ac:dyDescent="0.25">
      <c r="A731" s="95"/>
      <c r="B731" s="116" t="s">
        <v>259</v>
      </c>
      <c r="C731" s="117" t="e">
        <f>VLOOKUP(B731,'Gebouwgegevens Allacker'!$J$5:$Q$83,3,0)</f>
        <v>#N/A</v>
      </c>
      <c r="D731" s="117" t="e">
        <f>VLOOKUP(B731,'Gebouwgegevens Allacker'!$J$5:$Q$83,4,0)</f>
        <v>#N/A</v>
      </c>
      <c r="E731" s="117" t="e">
        <f>VLOOKUP(B731,'Gebouwgegevens Allacker'!$J$5:$Q$83,5,0)</f>
        <v>#N/A</v>
      </c>
      <c r="F731" s="117" t="e">
        <f>VLOOKUP(B731,'Gebouwgegevens Allacker'!$J$5:$Q$83,7,0)</f>
        <v>#N/A</v>
      </c>
      <c r="G731" s="118" t="e">
        <f>VLOOKUP(B731,'Gebouwgegevens Allacker'!$J$5:$Q$83,8,0)</f>
        <v>#N/A</v>
      </c>
      <c r="H731" s="118" t="e">
        <f>N731/F731</f>
        <v>#N/A</v>
      </c>
      <c r="I731" s="117" t="e">
        <f>VLOOKUP(C731,'Gebouwgegevens Allacker'!$A$35:$F$46,6,0)</f>
        <v>#N/A</v>
      </c>
      <c r="J731" s="116">
        <v>4.68</v>
      </c>
      <c r="K731" s="116">
        <v>0.33</v>
      </c>
      <c r="L731" s="119" t="e">
        <f>I731/(0.5*J731)</f>
        <v>#N/A</v>
      </c>
      <c r="M731" s="119" t="e">
        <f>K731+2*(1/F731)</f>
        <v>#N/A</v>
      </c>
      <c r="N731" s="120" t="e">
        <f>IF(M731&lt;L731,2*2/(PI()*L731+M731)*LN(PI()*L731/M731+1),2/(0.457*L731+M731))</f>
        <v>#N/A</v>
      </c>
      <c r="O731" s="98"/>
      <c r="P731" s="96"/>
    </row>
    <row r="732" spans="1:16" ht="16.5" customHeight="1" x14ac:dyDescent="0.25">
      <c r="A732" s="95"/>
      <c r="B732" s="116"/>
      <c r="C732" s="117"/>
      <c r="D732" s="117"/>
      <c r="E732" s="117"/>
      <c r="F732" s="117"/>
      <c r="G732" s="118"/>
      <c r="H732" s="118"/>
      <c r="I732" s="117"/>
      <c r="J732" s="116"/>
      <c r="K732" s="116"/>
      <c r="L732" s="119"/>
      <c r="M732" s="119"/>
      <c r="N732" s="120"/>
      <c r="O732" s="98"/>
      <c r="P732" s="96"/>
    </row>
    <row r="733" spans="1:16" ht="16.5" customHeight="1" x14ac:dyDescent="0.25">
      <c r="A733" s="95"/>
      <c r="B733" s="116"/>
      <c r="C733" s="117"/>
      <c r="D733" s="117"/>
      <c r="E733" s="117"/>
      <c r="F733" s="117"/>
      <c r="G733" s="118"/>
      <c r="H733" s="118"/>
      <c r="I733" s="117"/>
      <c r="J733" s="116"/>
      <c r="K733" s="116"/>
      <c r="L733" s="119"/>
      <c r="M733" s="119"/>
      <c r="N733" s="120"/>
      <c r="O733" s="98"/>
      <c r="P733" s="96"/>
    </row>
    <row r="734" spans="1:16" ht="16.5" customHeight="1" x14ac:dyDescent="0.25">
      <c r="A734" s="95"/>
      <c r="B734" s="116"/>
      <c r="C734" s="117"/>
      <c r="D734" s="117"/>
      <c r="E734" s="117"/>
      <c r="F734" s="117"/>
      <c r="G734" s="118"/>
      <c r="H734" s="118"/>
      <c r="I734" s="117"/>
      <c r="J734" s="116"/>
      <c r="K734" s="116"/>
      <c r="L734" s="119"/>
      <c r="M734" s="119"/>
      <c r="N734" s="120"/>
      <c r="O734" s="98"/>
      <c r="P734" s="96"/>
    </row>
    <row r="735" spans="1:16" ht="16.5" customHeight="1" x14ac:dyDescent="0.25">
      <c r="A735" s="138"/>
      <c r="B735" s="116"/>
      <c r="C735" s="117"/>
      <c r="D735" s="117"/>
      <c r="E735" s="117"/>
      <c r="F735" s="117"/>
      <c r="G735" s="118"/>
      <c r="H735" s="118"/>
      <c r="I735" s="117"/>
      <c r="J735" s="116"/>
      <c r="K735" s="116"/>
      <c r="L735" s="119"/>
      <c r="M735" s="119"/>
      <c r="N735" s="120"/>
      <c r="O735" s="98"/>
      <c r="P735" s="96"/>
    </row>
    <row r="736" spans="1:16" ht="15.75" customHeight="1" x14ac:dyDescent="0.25">
      <c r="A736" s="95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6"/>
    </row>
    <row r="737" spans="1:16" ht="15" customHeight="1" x14ac:dyDescent="0.25">
      <c r="A737" s="103" t="s">
        <v>186</v>
      </c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6"/>
    </row>
    <row r="738" spans="1:16" ht="15.75" customHeight="1" x14ac:dyDescent="0.25">
      <c r="A738" s="95"/>
      <c r="B738" s="58" t="s">
        <v>10</v>
      </c>
      <c r="C738" s="58" t="s">
        <v>187</v>
      </c>
      <c r="D738" s="58" t="s">
        <v>188</v>
      </c>
      <c r="E738" s="58" t="s">
        <v>135</v>
      </c>
      <c r="F738" s="58" t="s">
        <v>189</v>
      </c>
      <c r="G738" s="58" t="s">
        <v>190</v>
      </c>
      <c r="H738" s="58" t="s">
        <v>191</v>
      </c>
      <c r="I738" s="58" t="s">
        <v>16</v>
      </c>
      <c r="J738" s="114" t="s">
        <v>17</v>
      </c>
      <c r="K738" s="114" t="s">
        <v>175</v>
      </c>
      <c r="L738" s="98"/>
      <c r="M738" s="98"/>
      <c r="N738" s="98"/>
      <c r="O738" s="98"/>
      <c r="P738" s="96"/>
    </row>
    <row r="739" spans="1:16" ht="16.5" customHeight="1" x14ac:dyDescent="0.25">
      <c r="A739" s="95"/>
      <c r="B739" s="116" t="s">
        <v>260</v>
      </c>
      <c r="C739" s="122" t="e">
        <f>IF(VLOOKUP(B739,'Gebouwgegevens Allacker'!$J$5:$Q$83,2,0)=$B$709,VLOOKUP(B739,'Gebouwgegevens Allacker'!$J$5:$Q$83,2,0),VLOOKUP(B739,'Gebouwgegevens Allacker'!$J$5:$Q$83,3,0))</f>
        <v>#N/A</v>
      </c>
      <c r="D739" s="122" t="e">
        <f>IF(VLOOKUP(B739,'Gebouwgegevens Allacker'!$J$5:$Q$83,2,0)=$B$709,VLOOKUP(B739,'Gebouwgegevens Allacker'!$J$5:$Q$83,3,0),VLOOKUP(B739,'Gebouwgegevens Allacker'!$J$5:$Q$83,2,0))</f>
        <v>#N/A</v>
      </c>
      <c r="E739" s="122" t="e">
        <f>VLOOKUP(B739,'Gebouwgegevens Allacker'!$J$5:$Q$83,4,0)</f>
        <v>#N/A</v>
      </c>
      <c r="F739" s="122" t="e">
        <f>VLOOKUP(B739,'Gebouwgegevens Allacker'!$J$5:$Q$83,5,0)</f>
        <v>#N/A</v>
      </c>
      <c r="G739" s="122" t="e">
        <f>VLOOKUP('Verwarming Tabula'!C739,'Gebouwgegevens Allacker'!$A$35:$F$46,5,0)</f>
        <v>#N/A</v>
      </c>
      <c r="H739" s="122" t="e">
        <f>VLOOKUP('Verwarming Tabula'!D739,'Gebouwgegevens Allacker'!$A$35:$F$46,5,0)</f>
        <v>#N/A</v>
      </c>
      <c r="I739" s="122" t="e">
        <f>VLOOKUP(B739,'Gebouwgegevens Allacker'!$J$5:$Q$83,7,0)</f>
        <v>#N/A</v>
      </c>
      <c r="J739" s="118" t="e">
        <f>VLOOKUP(B739,'Gebouwgegevens Allacker'!$J$5:$Q$83,8,0)</f>
        <v>#N/A</v>
      </c>
      <c r="K739" s="118" t="e">
        <f t="shared" ref="K739:K750" si="0">(G739-H739)/(G739-$B$4)</f>
        <v>#N/A</v>
      </c>
      <c r="L739" s="98"/>
      <c r="M739" s="98"/>
      <c r="N739" s="98"/>
      <c r="O739" s="98"/>
      <c r="P739" s="96"/>
    </row>
    <row r="740" spans="1:16" ht="16.5" customHeight="1" x14ac:dyDescent="0.25">
      <c r="A740" s="95"/>
      <c r="B740" s="116" t="s">
        <v>220</v>
      </c>
      <c r="C740" s="122" t="e">
        <f>IF(VLOOKUP(B740,'Gebouwgegevens Allacker'!$J$5:$Q$83,2,0)=$B$709,VLOOKUP(B740,'Gebouwgegevens Allacker'!$J$5:$Q$83,2,0),VLOOKUP(B740,'Gebouwgegevens Allacker'!$J$5:$Q$83,3,0))</f>
        <v>#N/A</v>
      </c>
      <c r="D740" s="122" t="e">
        <f>IF(VLOOKUP(B740,'Gebouwgegevens Allacker'!$J$5:$Q$83,2,0)=$B$709,VLOOKUP(B740,'Gebouwgegevens Allacker'!$J$5:$Q$83,3,0),VLOOKUP(B740,'Gebouwgegevens Allacker'!$J$5:$Q$83,2,0))</f>
        <v>#N/A</v>
      </c>
      <c r="E740" s="122" t="e">
        <f>VLOOKUP(B740,'Gebouwgegevens Allacker'!$J$5:$Q$83,4,0)</f>
        <v>#N/A</v>
      </c>
      <c r="F740" s="122" t="e">
        <f>VLOOKUP(B740,'Gebouwgegevens Allacker'!$J$5:$Q$83,5,0)</f>
        <v>#N/A</v>
      </c>
      <c r="G740" s="122" t="e">
        <f>VLOOKUP('Verwarming Tabula'!C740,'Gebouwgegevens Allacker'!$A$35:$F$46,5,0)</f>
        <v>#N/A</v>
      </c>
      <c r="H740" s="122" t="e">
        <f>VLOOKUP('Verwarming Tabula'!D740,'Gebouwgegevens Allacker'!$A$35:$F$46,5,0)</f>
        <v>#N/A</v>
      </c>
      <c r="I740" s="122" t="e">
        <f>VLOOKUP(B740,'Gebouwgegevens Allacker'!$J$5:$Q$83,7,0)</f>
        <v>#N/A</v>
      </c>
      <c r="J740" s="118" t="e">
        <f>VLOOKUP(B740,'Gebouwgegevens Allacker'!$J$5:$Q$83,8,0)</f>
        <v>#N/A</v>
      </c>
      <c r="K740" s="118" t="e">
        <f t="shared" si="0"/>
        <v>#N/A</v>
      </c>
      <c r="L740" s="98"/>
      <c r="M740" s="98"/>
      <c r="N740" s="98"/>
      <c r="O740" s="98"/>
      <c r="P740" s="96"/>
    </row>
    <row r="741" spans="1:16" ht="16.5" customHeight="1" x14ac:dyDescent="0.25">
      <c r="A741" s="95"/>
      <c r="B741" s="116" t="s">
        <v>225</v>
      </c>
      <c r="C741" s="122" t="e">
        <f>IF(VLOOKUP(B741,'Gebouwgegevens Allacker'!$J$5:$Q$83,2,0)=$B$709,VLOOKUP(B741,'Gebouwgegevens Allacker'!$J$5:$Q$83,2,0),VLOOKUP(B741,'Gebouwgegevens Allacker'!$J$5:$Q$83,3,0))</f>
        <v>#N/A</v>
      </c>
      <c r="D741" s="122" t="e">
        <f>IF(VLOOKUP(B741,'Gebouwgegevens Allacker'!$J$5:$Q$83,2,0)=$B$709,VLOOKUP(B741,'Gebouwgegevens Allacker'!$J$5:$Q$83,3,0),VLOOKUP(B741,'Gebouwgegevens Allacker'!$J$5:$Q$83,2,0))</f>
        <v>#N/A</v>
      </c>
      <c r="E741" s="122" t="e">
        <f>VLOOKUP(B741,'Gebouwgegevens Allacker'!$J$5:$Q$83,4,0)</f>
        <v>#N/A</v>
      </c>
      <c r="F741" s="122" t="e">
        <f>VLOOKUP(B741,'Gebouwgegevens Allacker'!$J$5:$Q$83,5,0)</f>
        <v>#N/A</v>
      </c>
      <c r="G741" s="122" t="e">
        <f>VLOOKUP('Verwarming Tabula'!C741,'Gebouwgegevens Allacker'!$A$35:$F$46,5,0)</f>
        <v>#N/A</v>
      </c>
      <c r="H741" s="122" t="e">
        <f>VLOOKUP('Verwarming Tabula'!D741,'Gebouwgegevens Allacker'!$A$35:$F$46,5,0)</f>
        <v>#N/A</v>
      </c>
      <c r="I741" s="122" t="e">
        <f>VLOOKUP(B741,'Gebouwgegevens Allacker'!$J$5:$Q$83,7,0)</f>
        <v>#N/A</v>
      </c>
      <c r="J741" s="118" t="e">
        <f>VLOOKUP(B741,'Gebouwgegevens Allacker'!$J$5:$Q$83,8,0)</f>
        <v>#N/A</v>
      </c>
      <c r="K741" s="118" t="e">
        <f t="shared" si="0"/>
        <v>#N/A</v>
      </c>
      <c r="L741" s="98"/>
      <c r="M741" s="98"/>
      <c r="N741" s="98"/>
      <c r="O741" s="98"/>
      <c r="P741" s="96"/>
    </row>
    <row r="742" spans="1:16" ht="16.5" customHeight="1" x14ac:dyDescent="0.25">
      <c r="A742" s="95"/>
      <c r="B742" s="116" t="s">
        <v>229</v>
      </c>
      <c r="C742" s="122" t="e">
        <f>IF(VLOOKUP(B742,'Gebouwgegevens Allacker'!$J$5:$Q$83,2,0)=$B$709,VLOOKUP(B742,'Gebouwgegevens Allacker'!$J$5:$Q$83,2,0),VLOOKUP(B742,'Gebouwgegevens Allacker'!$J$5:$Q$83,3,0))</f>
        <v>#N/A</v>
      </c>
      <c r="D742" s="122" t="e">
        <f>IF(VLOOKUP(B742,'Gebouwgegevens Allacker'!$J$5:$Q$83,2,0)=$B$709,VLOOKUP(B742,'Gebouwgegevens Allacker'!$J$5:$Q$83,3,0),VLOOKUP(B742,'Gebouwgegevens Allacker'!$J$5:$Q$83,2,0))</f>
        <v>#N/A</v>
      </c>
      <c r="E742" s="122" t="e">
        <f>VLOOKUP(B742,'Gebouwgegevens Allacker'!$J$5:$Q$83,4,0)</f>
        <v>#N/A</v>
      </c>
      <c r="F742" s="122" t="e">
        <f>VLOOKUP(B742,'Gebouwgegevens Allacker'!$J$5:$Q$83,5,0)</f>
        <v>#N/A</v>
      </c>
      <c r="G742" s="122" t="e">
        <f>VLOOKUP('Verwarming Tabula'!C742,'Gebouwgegevens Allacker'!$A$35:$F$46,5,0)</f>
        <v>#N/A</v>
      </c>
      <c r="H742" s="122" t="e">
        <f>VLOOKUP('Verwarming Tabula'!D742,'Gebouwgegevens Allacker'!$A$35:$F$46,5,0)</f>
        <v>#N/A</v>
      </c>
      <c r="I742" s="122" t="e">
        <f>VLOOKUP(B742,'Gebouwgegevens Allacker'!$J$5:$Q$83,7,0)</f>
        <v>#N/A</v>
      </c>
      <c r="J742" s="118" t="e">
        <f>VLOOKUP(B742,'Gebouwgegevens Allacker'!$J$5:$Q$83,8,0)</f>
        <v>#N/A</v>
      </c>
      <c r="K742" s="118" t="e">
        <f t="shared" si="0"/>
        <v>#N/A</v>
      </c>
      <c r="L742" s="98"/>
      <c r="M742" s="98"/>
      <c r="N742" s="98"/>
      <c r="O742" s="98"/>
      <c r="P742" s="96"/>
    </row>
    <row r="743" spans="1:16" ht="16.5" customHeight="1" x14ac:dyDescent="0.25">
      <c r="A743" s="95"/>
      <c r="B743" s="145" t="s">
        <v>234</v>
      </c>
      <c r="C743" s="122" t="e">
        <f>IF(VLOOKUP(B743,'Gebouwgegevens Allacker'!$J$5:$Q$83,2,0)=$B$709,VLOOKUP(B743,'Gebouwgegevens Allacker'!$J$5:$Q$83,2,0),VLOOKUP(B743,'Gebouwgegevens Allacker'!$J$5:$Q$83,3,0))</f>
        <v>#N/A</v>
      </c>
      <c r="D743" s="122" t="e">
        <f>IF(VLOOKUP(B743,'Gebouwgegevens Allacker'!$J$5:$Q$83,2,0)=$B$709,VLOOKUP(B743,'Gebouwgegevens Allacker'!$J$5:$Q$83,3,0),VLOOKUP(B743,'Gebouwgegevens Allacker'!$J$5:$Q$83,2,0))</f>
        <v>#N/A</v>
      </c>
      <c r="E743" s="122" t="e">
        <f>VLOOKUP(B743,'Gebouwgegevens Allacker'!$J$5:$Q$83,4,0)</f>
        <v>#N/A</v>
      </c>
      <c r="F743" s="122" t="e">
        <f>VLOOKUP(B743,'Gebouwgegevens Allacker'!$J$5:$Q$83,5,0)</f>
        <v>#N/A</v>
      </c>
      <c r="G743" s="122" t="e">
        <f>VLOOKUP('Verwarming Tabula'!C743,'Gebouwgegevens Allacker'!$A$35:$F$46,5,0)</f>
        <v>#N/A</v>
      </c>
      <c r="H743" s="122" t="e">
        <f>VLOOKUP('Verwarming Tabula'!D743,'Gebouwgegevens Allacker'!$A$35:$F$46,5,0)</f>
        <v>#N/A</v>
      </c>
      <c r="I743" s="122" t="e">
        <f>VLOOKUP(B743,'Gebouwgegevens Allacker'!$J$5:$Q$83,7,0)</f>
        <v>#N/A</v>
      </c>
      <c r="J743" s="118" t="e">
        <f>VLOOKUP(B743,'Gebouwgegevens Allacker'!$J$5:$Q$83,8,0)</f>
        <v>#N/A</v>
      </c>
      <c r="K743" s="118" t="e">
        <f t="shared" si="0"/>
        <v>#N/A</v>
      </c>
      <c r="L743" s="98"/>
      <c r="M743" s="98"/>
      <c r="N743" s="98"/>
      <c r="O743" s="98"/>
      <c r="P743" s="96"/>
    </row>
    <row r="744" spans="1:16" ht="16.5" customHeight="1" x14ac:dyDescent="0.25">
      <c r="A744" s="95"/>
      <c r="B744" s="123" t="s">
        <v>238</v>
      </c>
      <c r="C744" s="122" t="e">
        <f>IF(VLOOKUP(B744,'Gebouwgegevens Allacker'!$J$5:$Q$83,2,0)=$B$709,VLOOKUP(B744,'Gebouwgegevens Allacker'!$J$5:$Q$83,2,0),VLOOKUP(B744,'Gebouwgegevens Allacker'!$J$5:$Q$83,3,0))</f>
        <v>#N/A</v>
      </c>
      <c r="D744" s="122" t="e">
        <f>IF(VLOOKUP(B744,'Gebouwgegevens Allacker'!$J$5:$Q$83,2,0)=$B$709,VLOOKUP(B744,'Gebouwgegevens Allacker'!$J$5:$Q$83,3,0),VLOOKUP(B744,'Gebouwgegevens Allacker'!$J$5:$Q$83,2,0))</f>
        <v>#N/A</v>
      </c>
      <c r="E744" s="122" t="e">
        <f>VLOOKUP(B744,'Gebouwgegevens Allacker'!$J$5:$Q$83,4,0)</f>
        <v>#N/A</v>
      </c>
      <c r="F744" s="122" t="e">
        <f>VLOOKUP(B744,'Gebouwgegevens Allacker'!$J$5:$Q$83,5,0)</f>
        <v>#N/A</v>
      </c>
      <c r="G744" s="122" t="e">
        <f>VLOOKUP('Verwarming Tabula'!C744,'Gebouwgegevens Allacker'!$A$35:$F$46,5,0)</f>
        <v>#N/A</v>
      </c>
      <c r="H744" s="122" t="e">
        <f>VLOOKUP('Verwarming Tabula'!D744,'Gebouwgegevens Allacker'!$A$35:$F$46,5,0)</f>
        <v>#N/A</v>
      </c>
      <c r="I744" s="122" t="e">
        <f>VLOOKUP(B744,'Gebouwgegevens Allacker'!$J$5:$Q$83,7,0)</f>
        <v>#N/A</v>
      </c>
      <c r="J744" s="118" t="e">
        <f>VLOOKUP(B744,'Gebouwgegevens Allacker'!$J$5:$Q$83,8,0)</f>
        <v>#N/A</v>
      </c>
      <c r="K744" s="118" t="e">
        <f t="shared" si="0"/>
        <v>#N/A</v>
      </c>
      <c r="L744" s="98"/>
      <c r="M744" s="98"/>
      <c r="N744" s="98"/>
      <c r="O744" s="98"/>
      <c r="P744" s="96"/>
    </row>
    <row r="745" spans="1:16" ht="16.5" customHeight="1" x14ac:dyDescent="0.25">
      <c r="A745" s="95"/>
      <c r="B745" s="123" t="s">
        <v>261</v>
      </c>
      <c r="C745" s="122" t="e">
        <f>IF(VLOOKUP(B745,'Gebouwgegevens Allacker'!$J$5:$Q$83,2,0)=$B$709,VLOOKUP(B745,'Gebouwgegevens Allacker'!$J$5:$Q$83,2,0),VLOOKUP(B745,'Gebouwgegevens Allacker'!$J$5:$Q$83,3,0))</f>
        <v>#N/A</v>
      </c>
      <c r="D745" s="122" t="e">
        <f>IF(VLOOKUP(B745,'Gebouwgegevens Allacker'!$J$5:$Q$83,2,0)=$B$709,VLOOKUP(B745,'Gebouwgegevens Allacker'!$J$5:$Q$83,3,0),VLOOKUP(B745,'Gebouwgegevens Allacker'!$J$5:$Q$83,2,0))</f>
        <v>#N/A</v>
      </c>
      <c r="E745" s="122" t="e">
        <f>VLOOKUP(B745,'Gebouwgegevens Allacker'!$J$5:$Q$83,4,0)</f>
        <v>#N/A</v>
      </c>
      <c r="F745" s="122" t="e">
        <f>VLOOKUP(B745,'Gebouwgegevens Allacker'!$J$5:$Q$83,5,0)</f>
        <v>#N/A</v>
      </c>
      <c r="G745" s="122" t="e">
        <f>VLOOKUP('Verwarming Tabula'!C745,'Gebouwgegevens Allacker'!$A$35:$F$46,5,0)</f>
        <v>#N/A</v>
      </c>
      <c r="H745" s="122" t="e">
        <f>VLOOKUP('Verwarming Tabula'!D745,'Gebouwgegevens Allacker'!$A$35:$F$46,5,0)</f>
        <v>#N/A</v>
      </c>
      <c r="I745" s="122" t="e">
        <f>VLOOKUP(B745,'Gebouwgegevens Allacker'!$J$5:$Q$83,7,0)</f>
        <v>#N/A</v>
      </c>
      <c r="J745" s="118" t="e">
        <f>VLOOKUP(B745,'Gebouwgegevens Allacker'!$J$5:$Q$83,8,0)</f>
        <v>#N/A</v>
      </c>
      <c r="K745" s="118" t="e">
        <f t="shared" si="0"/>
        <v>#N/A</v>
      </c>
      <c r="L745" s="98"/>
      <c r="M745" s="98"/>
      <c r="N745" s="98"/>
      <c r="O745" s="98"/>
      <c r="P745" s="96"/>
    </row>
    <row r="746" spans="1:16" ht="16.5" customHeight="1" x14ac:dyDescent="0.25">
      <c r="A746" s="95"/>
      <c r="B746" s="123" t="s">
        <v>262</v>
      </c>
      <c r="C746" s="122" t="e">
        <f>IF(VLOOKUP(B746,'Gebouwgegevens Allacker'!$J$5:$Q$83,2,0)=$B$709,VLOOKUP(B746,'Gebouwgegevens Allacker'!$J$5:$Q$83,2,0),VLOOKUP(B746,'Gebouwgegevens Allacker'!$J$5:$Q$83,3,0))</f>
        <v>#N/A</v>
      </c>
      <c r="D746" s="122" t="e">
        <f>IF(VLOOKUP(B746,'Gebouwgegevens Allacker'!$J$5:$Q$83,2,0)=$B$709,VLOOKUP(B746,'Gebouwgegevens Allacker'!$J$5:$Q$83,3,0),VLOOKUP(B746,'Gebouwgegevens Allacker'!$J$5:$Q$83,2,0))</f>
        <v>#N/A</v>
      </c>
      <c r="E746" s="122" t="e">
        <f>VLOOKUP(B746,'Gebouwgegevens Allacker'!$J$5:$Q$83,4,0)</f>
        <v>#N/A</v>
      </c>
      <c r="F746" s="122" t="e">
        <f>VLOOKUP(B746,'Gebouwgegevens Allacker'!$J$5:$Q$83,5,0)</f>
        <v>#N/A</v>
      </c>
      <c r="G746" s="122" t="e">
        <f>VLOOKUP('Verwarming Tabula'!C746,'Gebouwgegevens Allacker'!$A$35:$F$46,5,0)</f>
        <v>#N/A</v>
      </c>
      <c r="H746" s="122" t="e">
        <f>VLOOKUP('Verwarming Tabula'!D746,'Gebouwgegevens Allacker'!$A$35:$F$46,5,0)</f>
        <v>#N/A</v>
      </c>
      <c r="I746" s="122" t="e">
        <f>VLOOKUP(B746,'Gebouwgegevens Allacker'!$J$5:$Q$83,7,0)</f>
        <v>#N/A</v>
      </c>
      <c r="J746" s="118" t="e">
        <f>VLOOKUP(B746,'Gebouwgegevens Allacker'!$J$5:$Q$83,8,0)</f>
        <v>#N/A</v>
      </c>
      <c r="K746" s="118" t="e">
        <f t="shared" si="0"/>
        <v>#N/A</v>
      </c>
      <c r="L746" s="98"/>
      <c r="M746" s="98"/>
      <c r="N746" s="98"/>
      <c r="O746" s="98"/>
      <c r="P746" s="96"/>
    </row>
    <row r="747" spans="1:16" ht="16.5" customHeight="1" x14ac:dyDescent="0.25">
      <c r="A747" s="95"/>
      <c r="B747" s="123" t="s">
        <v>263</v>
      </c>
      <c r="C747" s="122" t="e">
        <f>IF(VLOOKUP(B747,'Gebouwgegevens Allacker'!$J$5:$Q$83,2,0)=$B$709,VLOOKUP(B747,'Gebouwgegevens Allacker'!$J$5:$Q$83,2,0),VLOOKUP(B747,'Gebouwgegevens Allacker'!$J$5:$Q$83,3,0))</f>
        <v>#N/A</v>
      </c>
      <c r="D747" s="122" t="e">
        <f>IF(VLOOKUP(B747,'Gebouwgegevens Allacker'!$J$5:$Q$83,2,0)=$B$709,VLOOKUP(B747,'Gebouwgegevens Allacker'!$J$5:$Q$83,3,0),VLOOKUP(B747,'Gebouwgegevens Allacker'!$J$5:$Q$83,2,0))</f>
        <v>#N/A</v>
      </c>
      <c r="E747" s="122" t="e">
        <f>VLOOKUP(B747,'Gebouwgegevens Allacker'!$J$5:$Q$83,4,0)</f>
        <v>#N/A</v>
      </c>
      <c r="F747" s="122" t="e">
        <f>VLOOKUP(B747,'Gebouwgegevens Allacker'!$J$5:$Q$83,5,0)</f>
        <v>#N/A</v>
      </c>
      <c r="G747" s="122" t="e">
        <f>VLOOKUP('Verwarming Tabula'!C747,'Gebouwgegevens Allacker'!$A$35:$F$46,5,0)</f>
        <v>#N/A</v>
      </c>
      <c r="H747" s="122" t="e">
        <f>VLOOKUP('Verwarming Tabula'!D747,'Gebouwgegevens Allacker'!$A$35:$F$46,5,0)</f>
        <v>#N/A</v>
      </c>
      <c r="I747" s="122" t="e">
        <f>VLOOKUP(B747,'Gebouwgegevens Allacker'!$J$5:$Q$83,7,0)</f>
        <v>#N/A</v>
      </c>
      <c r="J747" s="118" t="e">
        <f>VLOOKUP(B747,'Gebouwgegevens Allacker'!$J$5:$Q$83,8,0)</f>
        <v>#N/A</v>
      </c>
      <c r="K747" s="118" t="e">
        <f t="shared" si="0"/>
        <v>#N/A</v>
      </c>
      <c r="L747" s="98"/>
      <c r="M747" s="98"/>
      <c r="N747" s="98"/>
      <c r="O747" s="98"/>
      <c r="P747" s="96"/>
    </row>
    <row r="748" spans="1:16" ht="16.5" customHeight="1" x14ac:dyDescent="0.25">
      <c r="A748" s="95"/>
      <c r="B748" s="123" t="s">
        <v>226</v>
      </c>
      <c r="C748" s="122" t="e">
        <f>IF(VLOOKUP(B748,'Gebouwgegevens Allacker'!$J$5:$Q$83,2,0)=$B$709,VLOOKUP(B748,'Gebouwgegevens Allacker'!$J$5:$Q$83,2,0),VLOOKUP(B748,'Gebouwgegevens Allacker'!$J$5:$Q$83,3,0))</f>
        <v>#N/A</v>
      </c>
      <c r="D748" s="122" t="e">
        <f>IF(VLOOKUP(B748,'Gebouwgegevens Allacker'!$J$5:$Q$83,2,0)=$B$709,VLOOKUP(B748,'Gebouwgegevens Allacker'!$J$5:$Q$83,3,0),VLOOKUP(B748,'Gebouwgegevens Allacker'!$J$5:$Q$83,2,0))</f>
        <v>#N/A</v>
      </c>
      <c r="E748" s="122" t="e">
        <f>VLOOKUP(B748,'Gebouwgegevens Allacker'!$J$5:$Q$83,4,0)</f>
        <v>#N/A</v>
      </c>
      <c r="F748" s="122" t="e">
        <f>VLOOKUP(B748,'Gebouwgegevens Allacker'!$J$5:$Q$83,5,0)</f>
        <v>#N/A</v>
      </c>
      <c r="G748" s="122" t="e">
        <f>VLOOKUP('Verwarming Tabula'!C748,'Gebouwgegevens Allacker'!$A$35:$F$46,5,0)</f>
        <v>#N/A</v>
      </c>
      <c r="H748" s="122" t="e">
        <f>VLOOKUP('Verwarming Tabula'!D748,'Gebouwgegevens Allacker'!$A$35:$F$46,5,0)</f>
        <v>#N/A</v>
      </c>
      <c r="I748" s="122" t="e">
        <f>VLOOKUP(B748,'Gebouwgegevens Allacker'!$J$5:$Q$83,7,0)</f>
        <v>#N/A</v>
      </c>
      <c r="J748" s="118" t="e">
        <f>VLOOKUP(B748,'Gebouwgegevens Allacker'!$J$5:$Q$83,8,0)</f>
        <v>#N/A</v>
      </c>
      <c r="K748" s="118" t="e">
        <f t="shared" si="0"/>
        <v>#N/A</v>
      </c>
      <c r="L748" s="98"/>
      <c r="M748" s="98"/>
      <c r="N748" s="98"/>
      <c r="O748" s="98"/>
      <c r="P748" s="96"/>
    </row>
    <row r="749" spans="1:16" ht="16.5" customHeight="1" x14ac:dyDescent="0.25">
      <c r="A749" s="95"/>
      <c r="B749" s="123" t="s">
        <v>264</v>
      </c>
      <c r="C749" s="122" t="e">
        <f>IF(VLOOKUP(B749,'Gebouwgegevens Allacker'!$J$5:$Q$83,2,0)=$B$709,VLOOKUP(B749,'Gebouwgegevens Allacker'!$J$5:$Q$83,2,0),VLOOKUP(B749,'Gebouwgegevens Allacker'!$J$5:$Q$83,3,0))</f>
        <v>#N/A</v>
      </c>
      <c r="D749" s="122" t="e">
        <f>IF(VLOOKUP(B749,'Gebouwgegevens Allacker'!$J$5:$Q$83,2,0)=$B$709,VLOOKUP(B749,'Gebouwgegevens Allacker'!$J$5:$Q$83,3,0),VLOOKUP(B749,'Gebouwgegevens Allacker'!$J$5:$Q$83,2,0))</f>
        <v>#N/A</v>
      </c>
      <c r="E749" s="122" t="e">
        <f>VLOOKUP(B749,'Gebouwgegevens Allacker'!$J$5:$Q$83,4,0)</f>
        <v>#N/A</v>
      </c>
      <c r="F749" s="122" t="e">
        <f>VLOOKUP(B749,'Gebouwgegevens Allacker'!$J$5:$Q$83,5,0)</f>
        <v>#N/A</v>
      </c>
      <c r="G749" s="122" t="e">
        <f>VLOOKUP('Verwarming Tabula'!C749,'Gebouwgegevens Allacker'!$A$35:$F$46,5,0)</f>
        <v>#N/A</v>
      </c>
      <c r="H749" s="122" t="e">
        <f>VLOOKUP('Verwarming Tabula'!D749,'Gebouwgegevens Allacker'!$A$35:$F$46,5,0)</f>
        <v>#N/A</v>
      </c>
      <c r="I749" s="122" t="e">
        <f>VLOOKUP(B749,'Gebouwgegevens Allacker'!$J$5:$Q$83,7,0)</f>
        <v>#N/A</v>
      </c>
      <c r="J749" s="118" t="e">
        <f>VLOOKUP(B749,'Gebouwgegevens Allacker'!$J$5:$Q$83,8,0)</f>
        <v>#N/A</v>
      </c>
      <c r="K749" s="118" t="e">
        <f t="shared" si="0"/>
        <v>#N/A</v>
      </c>
      <c r="L749" s="98"/>
      <c r="M749" s="98"/>
      <c r="N749" s="98"/>
      <c r="O749" s="98"/>
      <c r="P749" s="96"/>
    </row>
    <row r="750" spans="1:16" ht="16.5" customHeight="1" x14ac:dyDescent="0.25">
      <c r="A750" s="95"/>
      <c r="B750" s="123" t="s">
        <v>265</v>
      </c>
      <c r="C750" s="122" t="e">
        <f>IF(VLOOKUP(B750,'Gebouwgegevens Allacker'!$J$5:$Q$83,2,0)=$B$709,VLOOKUP(B750,'Gebouwgegevens Allacker'!$J$5:$Q$83,2,0),VLOOKUP(B750,'Gebouwgegevens Allacker'!$J$5:$Q$83,3,0))</f>
        <v>#N/A</v>
      </c>
      <c r="D750" s="122" t="e">
        <f>IF(VLOOKUP(B750,'Gebouwgegevens Allacker'!$J$5:$Q$83,2,0)=$B$709,VLOOKUP(B750,'Gebouwgegevens Allacker'!$J$5:$Q$83,3,0),VLOOKUP(B750,'Gebouwgegevens Allacker'!$J$5:$Q$83,2,0))</f>
        <v>#N/A</v>
      </c>
      <c r="E750" s="122" t="e">
        <f>VLOOKUP(B750,'Gebouwgegevens Allacker'!$J$5:$Q$83,4,0)</f>
        <v>#N/A</v>
      </c>
      <c r="F750" s="122" t="e">
        <f>VLOOKUP(B750,'Gebouwgegevens Allacker'!$J$5:$Q$83,5,0)</f>
        <v>#N/A</v>
      </c>
      <c r="G750" s="122" t="e">
        <f>VLOOKUP('Verwarming Tabula'!C750,'Gebouwgegevens Allacker'!$A$35:$F$46,5,0)</f>
        <v>#N/A</v>
      </c>
      <c r="H750" s="122" t="e">
        <f>VLOOKUP('Verwarming Tabula'!D750,'Gebouwgegevens Allacker'!$A$35:$F$46,5,0)</f>
        <v>#N/A</v>
      </c>
      <c r="I750" s="122" t="e">
        <f>VLOOKUP(B750,'Gebouwgegevens Allacker'!$J$5:$Q$83,7,0)</f>
        <v>#N/A</v>
      </c>
      <c r="J750" s="118" t="e">
        <f>VLOOKUP(B750,'Gebouwgegevens Allacker'!$J$5:$Q$83,8,0)</f>
        <v>#N/A</v>
      </c>
      <c r="K750" s="118" t="e">
        <f t="shared" si="0"/>
        <v>#N/A</v>
      </c>
      <c r="L750" s="98"/>
      <c r="M750" s="98"/>
      <c r="N750" s="98"/>
      <c r="O750" s="98"/>
      <c r="P750" s="96"/>
    </row>
    <row r="751" spans="1:16" ht="16.5" customHeight="1" x14ac:dyDescent="0.25">
      <c r="A751" s="103" t="s">
        <v>192</v>
      </c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6"/>
    </row>
    <row r="752" spans="1:16" ht="16.5" customHeight="1" x14ac:dyDescent="0.25">
      <c r="A752" s="124" t="s">
        <v>193</v>
      </c>
      <c r="B752" s="118" t="e">
        <f>SUMPRODUCT(H715:H726,I715:I726)+SUMPRODUCT(G731:G735,H731:H735)+SUMPRODUCT(J739:J750,K739:K750)</f>
        <v>#N/A</v>
      </c>
      <c r="C752" s="118" t="s">
        <v>107</v>
      </c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6"/>
    </row>
    <row r="753" spans="1:16" ht="16.5" customHeight="1" x14ac:dyDescent="0.25">
      <c r="A753" s="124" t="s">
        <v>167</v>
      </c>
      <c r="B753" s="118" t="e">
        <f>B752*(G739-$B$4)</f>
        <v>#N/A</v>
      </c>
      <c r="C753" s="118" t="s">
        <v>169</v>
      </c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6"/>
    </row>
    <row r="754" spans="1:16" ht="15.75" customHeight="1" x14ac:dyDescent="0.25">
      <c r="A754" s="109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1"/>
    </row>
    <row r="755" spans="1:16" ht="15.75" customHeight="1" x14ac:dyDescent="0.25">
      <c r="A755" s="343" t="s">
        <v>194</v>
      </c>
      <c r="B755" s="343"/>
      <c r="C755" s="343"/>
      <c r="D755" s="125" t="s">
        <v>222</v>
      </c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94"/>
    </row>
    <row r="756" spans="1:16" ht="15" customHeight="1" x14ac:dyDescent="0.25">
      <c r="A756" s="95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6"/>
    </row>
    <row r="757" spans="1:16" ht="15" customHeight="1" x14ac:dyDescent="0.25">
      <c r="A757" s="126" t="s">
        <v>195</v>
      </c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6"/>
    </row>
    <row r="758" spans="1:16" ht="15" customHeight="1" x14ac:dyDescent="0.25">
      <c r="A758" s="127" t="s">
        <v>196</v>
      </c>
      <c r="B758" s="121">
        <v>8</v>
      </c>
      <c r="C758" s="120" t="s">
        <v>197</v>
      </c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6"/>
    </row>
    <row r="759" spans="1:16" ht="15" customHeight="1" x14ac:dyDescent="0.25">
      <c r="A759" s="127" t="s">
        <v>198</v>
      </c>
      <c r="B759" s="121">
        <v>0.03</v>
      </c>
      <c r="C759" s="120" t="s">
        <v>199</v>
      </c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6"/>
    </row>
    <row r="760" spans="1:16" ht="15.75" customHeight="1" x14ac:dyDescent="0.25">
      <c r="A760" s="127" t="s">
        <v>200</v>
      </c>
      <c r="B760" s="121">
        <v>1</v>
      </c>
      <c r="C760" s="120" t="s">
        <v>201</v>
      </c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6"/>
    </row>
    <row r="761" spans="1:16" ht="16.5" customHeight="1" x14ac:dyDescent="0.25">
      <c r="A761" s="124" t="s">
        <v>202</v>
      </c>
      <c r="B761" s="118" t="e">
        <f>2*VLOOKUP(B709,'Gebouwgegevens Allacker'!$A$35:$F$46,6,0)*B758*B759*B760</f>
        <v>#N/A</v>
      </c>
      <c r="C761" s="118" t="s">
        <v>203</v>
      </c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6"/>
    </row>
    <row r="762" spans="1:16" ht="15.75" customHeight="1" x14ac:dyDescent="0.25">
      <c r="A762" s="138"/>
      <c r="B762" s="58"/>
      <c r="C762" s="5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6"/>
    </row>
    <row r="763" spans="1:16" ht="15" customHeight="1" x14ac:dyDescent="0.25">
      <c r="A763" s="146" t="s">
        <v>204</v>
      </c>
      <c r="B763" s="58"/>
      <c r="C763" s="5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6"/>
    </row>
    <row r="764" spans="1:16" ht="15.75" customHeight="1" x14ac:dyDescent="0.25">
      <c r="A764" s="138" t="s">
        <v>180</v>
      </c>
      <c r="B764" s="58" t="e">
        <f>VLOOKUP(B709,'Gebouwgegevens Allacker'!$A$35:$F$46,6,0)</f>
        <v>#N/A</v>
      </c>
      <c r="C764" s="5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6"/>
    </row>
    <row r="765" spans="1:16" ht="16.5" customHeight="1" x14ac:dyDescent="0.25">
      <c r="A765" s="124" t="s">
        <v>205</v>
      </c>
      <c r="B765" s="118">
        <v>0</v>
      </c>
      <c r="C765" s="118" t="s">
        <v>203</v>
      </c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6"/>
    </row>
    <row r="766" spans="1:16" ht="15.75" customHeight="1" x14ac:dyDescent="0.25">
      <c r="A766" s="138"/>
      <c r="B766" s="58"/>
      <c r="C766" s="5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6"/>
    </row>
    <row r="767" spans="1:16" ht="15.75" customHeight="1" x14ac:dyDescent="0.25">
      <c r="A767" s="138"/>
      <c r="B767" s="58"/>
      <c r="C767" s="5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6"/>
    </row>
    <row r="768" spans="1:16" ht="16.5" customHeight="1" x14ac:dyDescent="0.25">
      <c r="A768" s="124" t="s">
        <v>207</v>
      </c>
      <c r="B768" s="118" t="e">
        <f>MAX(B761,B765)</f>
        <v>#N/A</v>
      </c>
      <c r="C768" s="118" t="s">
        <v>203</v>
      </c>
      <c r="D768" s="98"/>
      <c r="E768" s="98"/>
      <c r="F768" s="118" t="s">
        <v>208</v>
      </c>
      <c r="G768" s="118" t="e">
        <f>B768/VLOOKUP(B709,'Gebouwgegevens Allacker'!$A$35:$B$46,2,0)</f>
        <v>#N/A</v>
      </c>
      <c r="H768" s="98"/>
      <c r="I768" s="98"/>
      <c r="J768" s="98"/>
      <c r="K768" s="98"/>
      <c r="L768" s="98"/>
      <c r="M768" s="98"/>
      <c r="N768" s="98"/>
      <c r="O768" s="98"/>
      <c r="P768" s="96"/>
    </row>
    <row r="769" spans="1:16" ht="16.5" customHeight="1" x14ac:dyDescent="0.25">
      <c r="A769" s="138"/>
      <c r="B769" s="58"/>
      <c r="C769" s="5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6"/>
    </row>
    <row r="770" spans="1:16" ht="16.5" customHeight="1" x14ac:dyDescent="0.25">
      <c r="A770" s="124" t="s">
        <v>209</v>
      </c>
      <c r="B770" s="118" t="e">
        <f>0.34*B768</f>
        <v>#N/A</v>
      </c>
      <c r="C770" s="118" t="s">
        <v>107</v>
      </c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6"/>
    </row>
    <row r="771" spans="1:16" ht="16.5" customHeight="1" x14ac:dyDescent="0.25">
      <c r="A771" s="124" t="s">
        <v>167</v>
      </c>
      <c r="B771" s="118" t="e">
        <f>B770*('Gebouwgegevens Allacker'!E731-$B$4)</f>
        <v>#N/A</v>
      </c>
      <c r="C771" s="118" t="s">
        <v>169</v>
      </c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6"/>
    </row>
    <row r="772" spans="1:16" ht="15.75" customHeight="1" x14ac:dyDescent="0.25">
      <c r="A772" s="140"/>
      <c r="B772" s="141"/>
      <c r="C772" s="141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1"/>
    </row>
    <row r="773" spans="1:16" ht="15.75" customHeight="1" x14ac:dyDescent="0.25">
      <c r="A773" s="343" t="s">
        <v>210</v>
      </c>
      <c r="B773" s="343"/>
      <c r="C773" s="343"/>
      <c r="D773" s="343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6"/>
    </row>
    <row r="774" spans="1:16" ht="15" customHeight="1" x14ac:dyDescent="0.25">
      <c r="A774" s="95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6"/>
    </row>
    <row r="775" spans="1:16" ht="15" customHeight="1" x14ac:dyDescent="0.25">
      <c r="A775" s="127" t="s">
        <v>211</v>
      </c>
      <c r="B775" s="121">
        <v>0</v>
      </c>
      <c r="C775" s="58" t="s">
        <v>232</v>
      </c>
      <c r="D775" s="5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6"/>
    </row>
    <row r="776" spans="1:16" ht="15.75" customHeight="1" x14ac:dyDescent="0.25">
      <c r="A776" s="3" t="s">
        <v>113</v>
      </c>
      <c r="B776" s="58" t="e">
        <f>VLOOKUP(B709,'Gebouwgegevens Allacker'!$A$35:$F$46,6,0)</f>
        <v>#N/A</v>
      </c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6"/>
    </row>
    <row r="777" spans="1:16" ht="16.5" customHeight="1" x14ac:dyDescent="0.25">
      <c r="A777" s="124" t="s">
        <v>213</v>
      </c>
      <c r="B777" s="118" t="e">
        <f>B778/('Gebouwgegevens Allacker'!E731-'Verwarming Tabula'!$B$4)</f>
        <v>#N/A</v>
      </c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6"/>
    </row>
    <row r="778" spans="1:16" ht="16.5" customHeight="1" x14ac:dyDescent="0.25">
      <c r="A778" s="124" t="s">
        <v>167</v>
      </c>
      <c r="B778" s="118" t="e">
        <f>B775*B776</f>
        <v>#N/A</v>
      </c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6"/>
    </row>
    <row r="779" spans="1:16" ht="15.75" customHeight="1" x14ac:dyDescent="0.25">
      <c r="A779" s="95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6"/>
    </row>
    <row r="780" spans="1:16" ht="15.75" customHeight="1" x14ac:dyDescent="0.25">
      <c r="A780" s="95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6"/>
    </row>
    <row r="781" spans="1:16" ht="15.75" customHeight="1" x14ac:dyDescent="0.25">
      <c r="A781" s="129" t="s">
        <v>214</v>
      </c>
      <c r="B781" s="130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1"/>
    </row>
    <row r="782" spans="1:16" ht="16.5" customHeight="1" x14ac:dyDescent="0.25">
      <c r="A782" s="124" t="s">
        <v>215</v>
      </c>
      <c r="B782" s="118" t="e">
        <f>SUM(B752,B770,B777)</f>
        <v>#N/A</v>
      </c>
      <c r="C782" s="118" t="s">
        <v>107</v>
      </c>
      <c r="D782" s="132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P782" s="133"/>
    </row>
    <row r="783" spans="1:16" ht="16.5" customHeight="1" x14ac:dyDescent="0.25">
      <c r="A783" s="124" t="s">
        <v>167</v>
      </c>
      <c r="B783" s="118" t="e">
        <f>SUM(B753,B771,B778)</f>
        <v>#N/A</v>
      </c>
      <c r="C783" s="118" t="s">
        <v>169</v>
      </c>
      <c r="D783" s="132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  <c r="O783" s="132"/>
      <c r="P783" s="133"/>
    </row>
    <row r="784" spans="1:16" ht="16.5" customHeight="1" x14ac:dyDescent="0.25">
      <c r="A784" s="134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6"/>
    </row>
  </sheetData>
  <mergeCells count="32">
    <mergeCell ref="A755:C755"/>
    <mergeCell ref="A773:D773"/>
    <mergeCell ref="A615:D615"/>
    <mergeCell ref="A631:D631"/>
    <mergeCell ref="A676:C676"/>
    <mergeCell ref="A694:D694"/>
    <mergeCell ref="A710:D710"/>
    <mergeCell ref="A473:D473"/>
    <mergeCell ref="A518:C518"/>
    <mergeCell ref="A536:D536"/>
    <mergeCell ref="A552:D552"/>
    <mergeCell ref="A597:C597"/>
    <mergeCell ref="A362:C362"/>
    <mergeCell ref="A380:D380"/>
    <mergeCell ref="A395:D395"/>
    <mergeCell ref="A440:C440"/>
    <mergeCell ref="A458:D458"/>
    <mergeCell ref="A222:D222"/>
    <mergeCell ref="A238:D238"/>
    <mergeCell ref="A283:C283"/>
    <mergeCell ref="A301:D301"/>
    <mergeCell ref="A317:D317"/>
    <mergeCell ref="A79:D79"/>
    <mergeCell ref="A124:C124"/>
    <mergeCell ref="A142:D142"/>
    <mergeCell ref="A159:D159"/>
    <mergeCell ref="A204:C204"/>
    <mergeCell ref="A1:I1"/>
    <mergeCell ref="V5:X5"/>
    <mergeCell ref="A7:D7"/>
    <mergeCell ref="A45:C45"/>
    <mergeCell ref="A63:D6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I127"/>
  <sheetViews>
    <sheetView zoomScale="70" zoomScaleNormal="70" workbookViewId="0">
      <selection sqref="A1:G1"/>
    </sheetView>
  </sheetViews>
  <sheetFormatPr defaultRowHeight="16.5" thickTop="1" thickBottom="1" x14ac:dyDescent="0.3"/>
  <cols>
    <col min="1" max="1" width="20.5703125"/>
    <col min="2" max="2" width="12.28515625"/>
    <col min="4" max="4" width="22.140625"/>
    <col min="6" max="6" width="8.28515625" bestFit="1" customWidth="1"/>
    <col min="7" max="7" width="6.85546875" bestFit="1" customWidth="1"/>
    <col min="8" max="8" width="7.7109375"/>
    <col min="9" max="9" width="9.140625" style="81"/>
    <col min="10" max="10" width="9.140625" style="1"/>
    <col min="12" max="12" width="10.42578125" style="2"/>
    <col min="13" max="13" width="8" style="2"/>
    <col min="14" max="14" width="16.85546875" style="2"/>
    <col min="15" max="15" width="12.5703125"/>
    <col min="16" max="16" width="11.28515625"/>
    <col min="17" max="18" width="9.28515625" style="3"/>
    <col min="19" max="19" width="12.140625"/>
    <col min="20" max="20" width="11.7109375"/>
    <col min="21" max="21" width="12.140625"/>
    <col min="22" max="22" width="3.140625" style="1"/>
    <col min="23" max="23" width="3"/>
    <col min="36" max="37" width="9.140625" style="173"/>
    <col min="38" max="38" width="9.140625" style="154"/>
    <col min="39" max="39" width="10.28515625" style="154" bestFit="1" customWidth="1"/>
    <col min="40" max="41" width="9.140625" style="81"/>
    <col min="42" max="42" width="12.7109375" style="81" bestFit="1" customWidth="1"/>
    <col min="43" max="43" width="12.7109375" style="81" customWidth="1"/>
    <col min="44" max="47" width="9.140625" style="81"/>
    <col min="48" max="51" width="9.140625" style="199"/>
    <col min="52" max="52" width="16.140625" style="206" customWidth="1"/>
    <col min="53" max="53" width="9.140625" style="199"/>
    <col min="54" max="65" width="9.140625" customWidth="1"/>
    <col min="66" max="67" width="9.140625" style="173"/>
    <col min="68" max="68" width="9.140625" style="154"/>
    <col min="69" max="69" width="10.28515625" style="154" bestFit="1" customWidth="1"/>
    <col min="70" max="71" width="9.140625" style="81"/>
    <col min="72" max="72" width="12.7109375" style="81" bestFit="1" customWidth="1"/>
    <col min="73" max="74" width="12.7109375" style="81" customWidth="1"/>
    <col min="78" max="78" width="10.42578125" style="210" bestFit="1" customWidth="1"/>
    <col min="79" max="79" width="10.42578125" style="210" customWidth="1"/>
    <col min="81" max="81" width="10.5703125" bestFit="1" customWidth="1"/>
    <col min="87" max="87" width="11" customWidth="1"/>
    <col min="93" max="93" width="19.42578125" bestFit="1" customWidth="1"/>
    <col min="94" max="94" width="12" customWidth="1"/>
    <col min="95" max="95" width="11" customWidth="1"/>
    <col min="100" max="100" width="9.140625" style="212"/>
    <col min="102" max="102" width="19.42578125" bestFit="1" customWidth="1"/>
    <col min="114" max="114" width="9.7109375" bestFit="1" customWidth="1"/>
    <col min="116" max="116" width="9.140625" style="81"/>
    <col min="117" max="119" width="9.85546875" style="81" bestFit="1" customWidth="1"/>
    <col min="121" max="127" width="9.140625" style="290"/>
    <col min="129" max="129" width="15.5703125" style="212" bestFit="1" customWidth="1"/>
    <col min="130" max="133" width="9.140625" style="212"/>
    <col min="135" max="139" width="9.140625" style="81"/>
  </cols>
  <sheetData>
    <row r="1" spans="1:139" ht="20.25" customHeight="1" thickTop="1" thickBot="1" x14ac:dyDescent="0.35">
      <c r="A1" s="341" t="s">
        <v>0</v>
      </c>
      <c r="B1" s="341"/>
      <c r="C1" s="341"/>
      <c r="D1" s="341"/>
      <c r="E1" s="341"/>
      <c r="F1" s="341"/>
      <c r="G1" s="341"/>
      <c r="AO1" s="191" t="s">
        <v>384</v>
      </c>
      <c r="BD1" s="81" t="s">
        <v>435</v>
      </c>
      <c r="BE1" s="191"/>
      <c r="BF1" s="191" t="s">
        <v>436</v>
      </c>
      <c r="BG1" s="81"/>
      <c r="BH1" s="81"/>
      <c r="BI1" s="81"/>
      <c r="BJ1" s="81"/>
      <c r="BK1" s="81"/>
      <c r="BS1" s="191" t="s">
        <v>384</v>
      </c>
      <c r="EE1" s="160"/>
      <c r="EF1" s="160"/>
      <c r="EG1" s="160"/>
      <c r="EH1" s="160"/>
      <c r="EI1" s="160"/>
    </row>
    <row r="2" spans="1:139" thickTop="1" thickBot="1" x14ac:dyDescent="0.3">
      <c r="AO2" s="81" t="s">
        <v>385</v>
      </c>
      <c r="BD2" s="81"/>
      <c r="BE2" s="81"/>
      <c r="BF2" s="81"/>
      <c r="BG2" s="81"/>
      <c r="BH2" s="81"/>
      <c r="BI2" s="81"/>
      <c r="BJ2" s="81"/>
      <c r="BK2" s="81"/>
      <c r="BS2" s="81" t="s">
        <v>385</v>
      </c>
      <c r="DL2" s="81" t="s">
        <v>386</v>
      </c>
      <c r="DM2" s="79" t="s">
        <v>534</v>
      </c>
      <c r="DN2" s="79" t="s">
        <v>535</v>
      </c>
      <c r="DO2" s="79" t="s">
        <v>536</v>
      </c>
      <c r="DQ2" s="290" t="s">
        <v>537</v>
      </c>
      <c r="EE2" s="160"/>
      <c r="EF2" s="160"/>
      <c r="EG2" s="160"/>
      <c r="EH2" s="160"/>
      <c r="EI2" s="160"/>
    </row>
    <row r="3" spans="1:139" thickTop="1" thickBot="1" x14ac:dyDescent="0.3">
      <c r="A3" s="347" t="s">
        <v>1</v>
      </c>
      <c r="B3" s="348"/>
      <c r="C3" s="348"/>
      <c r="D3" s="348"/>
      <c r="E3" s="348"/>
      <c r="F3" s="348"/>
      <c r="G3" s="348"/>
      <c r="H3" s="349"/>
      <c r="I3" s="321"/>
      <c r="K3" s="338" t="s">
        <v>2</v>
      </c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4"/>
      <c r="W3" s="338" t="s">
        <v>3</v>
      </c>
      <c r="X3" s="338"/>
      <c r="Y3" s="338"/>
      <c r="Z3" s="338"/>
      <c r="AA3" s="338"/>
      <c r="AB3" s="338"/>
      <c r="AC3" s="338"/>
      <c r="AD3" s="338"/>
      <c r="AE3" s="338"/>
      <c r="AF3" s="338"/>
      <c r="AG3" s="338"/>
      <c r="AH3" s="338"/>
      <c r="AO3" s="200" t="s">
        <v>386</v>
      </c>
      <c r="AP3" s="201" t="s">
        <v>387</v>
      </c>
      <c r="AQ3" s="201"/>
      <c r="AR3" s="209" t="s">
        <v>458</v>
      </c>
      <c r="AS3" s="202"/>
      <c r="AT3" s="202"/>
      <c r="AV3" s="203" t="s">
        <v>388</v>
      </c>
      <c r="BD3" s="81"/>
      <c r="BE3" s="208"/>
      <c r="BF3" s="208" t="s">
        <v>437</v>
      </c>
      <c r="BG3" s="81"/>
      <c r="BH3" s="81"/>
      <c r="BI3" s="81"/>
      <c r="BJ3" s="208" t="s">
        <v>438</v>
      </c>
      <c r="BK3" s="208"/>
      <c r="BS3" s="200" t="s">
        <v>386</v>
      </c>
      <c r="BT3" s="201" t="s">
        <v>387</v>
      </c>
      <c r="BU3" s="201"/>
      <c r="BV3" s="213" t="s">
        <v>533</v>
      </c>
      <c r="CB3" s="81" t="s">
        <v>465</v>
      </c>
      <c r="CC3" s="204">
        <v>292</v>
      </c>
      <c r="CD3" s="204">
        <v>0.10299999999999999</v>
      </c>
      <c r="DL3" s="81" t="s">
        <v>391</v>
      </c>
      <c r="DM3" s="286">
        <f>AP4</f>
        <v>0.15058202140242583</v>
      </c>
      <c r="DN3" s="286">
        <f>BV4</f>
        <v>0.1641929</v>
      </c>
      <c r="DO3" s="286">
        <f>BZ4</f>
        <v>0.19500000000000001</v>
      </c>
      <c r="DY3" s="212" t="s">
        <v>567</v>
      </c>
      <c r="EE3" s="212" t="s">
        <v>620</v>
      </c>
      <c r="EF3" s="160"/>
      <c r="EG3" s="160"/>
      <c r="EH3" s="160"/>
      <c r="EI3" s="160"/>
    </row>
    <row r="4" spans="1:139" ht="15.75" customHeight="1" thickTop="1" thickBot="1" x14ac:dyDescent="0.3">
      <c r="A4" s="214" t="s">
        <v>6</v>
      </c>
      <c r="B4" s="215">
        <f>'Tabula data'!B5</f>
        <v>615.9</v>
      </c>
      <c r="C4" s="215" t="s">
        <v>7</v>
      </c>
      <c r="D4" s="214" t="s">
        <v>8</v>
      </c>
      <c r="E4" s="215"/>
      <c r="F4" s="215"/>
      <c r="G4" s="216">
        <f>SUM(H6:H13)</f>
        <v>34.1</v>
      </c>
      <c r="H4" s="217" t="s">
        <v>9</v>
      </c>
      <c r="I4" s="225"/>
      <c r="L4" s="350" t="s">
        <v>2</v>
      </c>
      <c r="M4" s="351"/>
      <c r="N4" s="351"/>
      <c r="O4" s="351"/>
      <c r="P4" s="352"/>
      <c r="X4" s="258"/>
      <c r="Y4" s="258"/>
      <c r="Z4" s="259" t="s">
        <v>4</v>
      </c>
      <c r="AA4" s="259">
        <v>0.6</v>
      </c>
      <c r="AB4" s="259" t="s">
        <v>5</v>
      </c>
      <c r="AC4" s="258"/>
      <c r="AD4" s="258"/>
      <c r="AE4" s="258"/>
      <c r="AM4" s="154" t="s">
        <v>389</v>
      </c>
      <c r="AN4" s="81" t="s">
        <v>390</v>
      </c>
      <c r="AO4" s="81" t="s">
        <v>391</v>
      </c>
      <c r="AP4" s="81">
        <f>SUM(O6:O9)/SUM($O$6:$O$14,$O$26,2*$O$27,O30)</f>
        <v>0.15058202140242583</v>
      </c>
      <c r="AQ4" s="81" t="s">
        <v>392</v>
      </c>
      <c r="AR4" s="204">
        <v>0.1641929</v>
      </c>
      <c r="AV4" s="205" t="s">
        <v>389</v>
      </c>
      <c r="AW4" s="205" t="s">
        <v>390</v>
      </c>
      <c r="AX4" s="205" t="s">
        <v>391</v>
      </c>
      <c r="AY4" s="207" t="s">
        <v>434</v>
      </c>
      <c r="AZ4" s="206">
        <f>BZ4</f>
        <v>0.19500000000000001</v>
      </c>
      <c r="BA4" s="205" t="s">
        <v>392</v>
      </c>
      <c r="BD4" s="81"/>
      <c r="BE4" s="81"/>
      <c r="BF4" s="81" t="s">
        <v>281</v>
      </c>
      <c r="BG4" s="81">
        <f>1/(1/AP19+1/AP23)</f>
        <v>39.521718678758312</v>
      </c>
      <c r="BH4" s="81"/>
      <c r="BI4" s="81"/>
      <c r="BJ4" s="81" t="s">
        <v>439</v>
      </c>
      <c r="BK4" s="81">
        <f>BG4</f>
        <v>39.521718678758312</v>
      </c>
      <c r="BQ4" s="154" t="s">
        <v>389</v>
      </c>
      <c r="BR4" s="81" t="s">
        <v>390</v>
      </c>
      <c r="BS4" s="81" t="s">
        <v>391</v>
      </c>
      <c r="BT4" s="204">
        <f>AR4</f>
        <v>0.1641929</v>
      </c>
      <c r="BU4" s="81" t="s">
        <v>392</v>
      </c>
      <c r="BV4" s="204">
        <v>0.1641929</v>
      </c>
      <c r="BZ4" s="211">
        <f>CC8</f>
        <v>0.19500000000000001</v>
      </c>
      <c r="CA4" s="211"/>
      <c r="CB4" s="81" t="s">
        <v>466</v>
      </c>
      <c r="CC4" s="204">
        <v>291</v>
      </c>
      <c r="CD4" s="204">
        <v>0.105</v>
      </c>
      <c r="CH4" s="81" t="s">
        <v>497</v>
      </c>
      <c r="CI4" t="s">
        <v>498</v>
      </c>
      <c r="CM4" s="81"/>
      <c r="CN4" s="81" t="s">
        <v>497</v>
      </c>
      <c r="CO4" s="81" t="s">
        <v>507</v>
      </c>
      <c r="CP4" s="81"/>
      <c r="CQ4" s="81"/>
      <c r="CR4" s="81"/>
      <c r="CS4" s="81"/>
      <c r="CT4" s="81"/>
      <c r="DL4" s="81" t="s">
        <v>393</v>
      </c>
      <c r="DM4" s="286">
        <f t="shared" ref="DM4:DM49" si="0">AP5</f>
        <v>0.37160322670037677</v>
      </c>
      <c r="DN4" s="286">
        <f t="shared" ref="DN4:DN49" si="1">BV5</f>
        <v>0.32600000000000001</v>
      </c>
      <c r="DO4" s="286">
        <f t="shared" ref="DO4:DO48" si="2">BZ5</f>
        <v>0.38800000000000001</v>
      </c>
      <c r="DQ4" s="290" t="s">
        <v>506</v>
      </c>
      <c r="DR4" s="290" t="s">
        <v>497</v>
      </c>
      <c r="DS4" s="290" t="s">
        <v>540</v>
      </c>
      <c r="DX4" s="81"/>
      <c r="EE4" s="160"/>
      <c r="EF4" s="160"/>
      <c r="EG4" s="160"/>
      <c r="EH4" s="160"/>
      <c r="EI4" s="160"/>
    </row>
    <row r="5" spans="1:139" ht="15" customHeight="1" thickTop="1" thickBot="1" x14ac:dyDescent="0.3">
      <c r="A5" s="218"/>
      <c r="B5" s="219"/>
      <c r="C5" s="219"/>
      <c r="D5" s="220"/>
      <c r="E5" s="221"/>
      <c r="F5" s="221"/>
      <c r="G5" s="221"/>
      <c r="H5" s="222"/>
      <c r="I5" s="221"/>
      <c r="K5" t="s">
        <v>10</v>
      </c>
      <c r="L5" s="243" t="s">
        <v>11</v>
      </c>
      <c r="M5" s="244" t="s">
        <v>12</v>
      </c>
      <c r="N5" s="244" t="s">
        <v>13</v>
      </c>
      <c r="O5" s="244" t="s">
        <v>14</v>
      </c>
      <c r="P5" s="245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60" t="s">
        <v>20</v>
      </c>
      <c r="Y5" s="261"/>
      <c r="Z5" s="262" t="s">
        <v>21</v>
      </c>
      <c r="AA5" s="263">
        <f>1/(1/10+SUM(AD7:AD10)+1/23)</f>
        <v>0.59974793202856758</v>
      </c>
      <c r="AB5" s="261" t="s">
        <v>5</v>
      </c>
      <c r="AC5" s="261"/>
      <c r="AD5" s="261" t="s">
        <v>22</v>
      </c>
      <c r="AE5" s="264">
        <f>SUM(AE7:AE10)</f>
        <v>57607.199999999997</v>
      </c>
      <c r="AF5" s="14" t="s">
        <v>23</v>
      </c>
      <c r="AG5" s="14">
        <f>SUM(AE9:AE10)</f>
        <v>21907.200000000001</v>
      </c>
      <c r="AH5" s="14"/>
      <c r="AM5" s="154" t="s">
        <v>389</v>
      </c>
      <c r="AN5" s="81" t="s">
        <v>390</v>
      </c>
      <c r="AO5" s="81" t="s">
        <v>393</v>
      </c>
      <c r="AP5" s="81">
        <f>SUM(2*O27,O30)/SUM($O$6:$O$14,$O$26,2*$O$27,O30)</f>
        <v>0.37160322670037677</v>
      </c>
      <c r="AQ5" s="81" t="s">
        <v>392</v>
      </c>
      <c r="AR5" s="204">
        <v>0.32600000000000001</v>
      </c>
      <c r="AV5" s="205" t="s">
        <v>389</v>
      </c>
      <c r="AW5" s="205" t="s">
        <v>390</v>
      </c>
      <c r="AX5" s="205" t="s">
        <v>393</v>
      </c>
      <c r="AY5" s="207" t="s">
        <v>434</v>
      </c>
      <c r="AZ5" s="206">
        <f t="shared" ref="AZ5:AZ50" si="3">BZ5</f>
        <v>0.38800000000000001</v>
      </c>
      <c r="BA5" s="205" t="s">
        <v>392</v>
      </c>
      <c r="BD5" s="81"/>
      <c r="BE5" s="81"/>
      <c r="BF5" s="81" t="s">
        <v>291</v>
      </c>
      <c r="BG5" s="204">
        <f>AP10</f>
        <v>8856365.1000000015</v>
      </c>
      <c r="BH5" s="81"/>
      <c r="BI5" s="81"/>
      <c r="BJ5" s="81" t="s">
        <v>440</v>
      </c>
      <c r="BK5" s="81">
        <f>BG24</f>
        <v>191.34953032476545</v>
      </c>
      <c r="BQ5" s="154" t="s">
        <v>389</v>
      </c>
      <c r="BR5" s="81" t="s">
        <v>390</v>
      </c>
      <c r="BS5" s="81" t="s">
        <v>393</v>
      </c>
      <c r="BT5" s="204">
        <f t="shared" ref="BT5:BT7" si="4">AR5</f>
        <v>0.32600000000000001</v>
      </c>
      <c r="BU5" s="81" t="s">
        <v>392</v>
      </c>
      <c r="BV5" s="204">
        <v>0.32600000000000001</v>
      </c>
      <c r="BZ5" s="211">
        <f>CC9</f>
        <v>0.38800000000000001</v>
      </c>
      <c r="CA5" s="211"/>
      <c r="CB5" s="81" t="s">
        <v>467</v>
      </c>
      <c r="CC5" s="204">
        <v>294</v>
      </c>
      <c r="CD5" s="204">
        <v>5.4199999999999998E-2</v>
      </c>
      <c r="CH5" s="81" t="s">
        <v>499</v>
      </c>
      <c r="CM5" s="81"/>
      <c r="CN5" s="81" t="s">
        <v>499</v>
      </c>
      <c r="CO5" s="81"/>
      <c r="CP5" s="81"/>
      <c r="CQ5" s="81"/>
      <c r="CR5" s="81"/>
      <c r="CS5" s="81"/>
      <c r="CT5" s="81"/>
      <c r="DL5" s="81" t="s">
        <v>394</v>
      </c>
      <c r="DM5" s="286">
        <f t="shared" si="0"/>
        <v>3.884024562501652E-2</v>
      </c>
      <c r="DN5" s="286">
        <f t="shared" si="1"/>
        <v>0.251</v>
      </c>
      <c r="DO5" s="286">
        <f t="shared" si="2"/>
        <v>6.13E-2</v>
      </c>
      <c r="DQ5" s="290" t="s">
        <v>506</v>
      </c>
      <c r="DR5" s="290" t="s">
        <v>499</v>
      </c>
      <c r="DX5" s="81"/>
      <c r="DY5" s="212" t="s">
        <v>568</v>
      </c>
      <c r="DZ5" s="292" t="s">
        <v>569</v>
      </c>
      <c r="EA5" s="292" t="s">
        <v>434</v>
      </c>
      <c r="EB5" s="293">
        <f>DS12</f>
        <v>0.32200000000000001</v>
      </c>
      <c r="EC5" s="212" t="s">
        <v>392</v>
      </c>
      <c r="EE5" s="160" t="s">
        <v>568</v>
      </c>
      <c r="EF5" s="322" t="s">
        <v>569</v>
      </c>
      <c r="EG5" s="322" t="s">
        <v>434</v>
      </c>
      <c r="EH5" s="160">
        <f>$O$11*$Z$37*$AP$4</f>
        <v>0.30650970456463772</v>
      </c>
      <c r="EI5" s="160" t="s">
        <v>392</v>
      </c>
    </row>
    <row r="6" spans="1:139" ht="15" customHeight="1" thickTop="1" thickBot="1" x14ac:dyDescent="0.3">
      <c r="A6" s="223" t="s">
        <v>34</v>
      </c>
      <c r="B6" s="224">
        <f>'Tabula data'!B4</f>
        <v>224</v>
      </c>
      <c r="C6" s="225" t="s">
        <v>9</v>
      </c>
      <c r="D6" s="226" t="s">
        <v>35</v>
      </c>
      <c r="E6" s="221" t="s">
        <v>36</v>
      </c>
      <c r="F6" s="227">
        <f t="shared" ref="F6:F13" si="5">H6/$G$4</f>
        <v>0.11876832844574779</v>
      </c>
      <c r="G6" s="221"/>
      <c r="H6" s="228">
        <f>'Tabula data'!B22*'Gebouwgegevens Tabula 2zone'!C45</f>
        <v>4.05</v>
      </c>
      <c r="I6" s="240"/>
      <c r="K6" t="s">
        <v>24</v>
      </c>
      <c r="L6" s="246">
        <v>0</v>
      </c>
      <c r="M6" s="247">
        <v>1</v>
      </c>
      <c r="N6" s="247" t="s">
        <v>25</v>
      </c>
      <c r="O6" s="248">
        <f>'[1]Tabula data'!B19*C43</f>
        <v>17.590457494591035</v>
      </c>
      <c r="P6" s="249" t="s">
        <v>26</v>
      </c>
      <c r="Q6" s="30">
        <f t="shared" ref="Q6:Q28" si="6">VLOOKUP(N6,$X$5:$AA$391,4,0)</f>
        <v>0.59788861556532236</v>
      </c>
      <c r="R6" s="30">
        <f t="shared" ref="R6:R28" si="7">Q6*O6</f>
        <v>10.517134278601683</v>
      </c>
      <c r="S6" s="30">
        <f t="shared" ref="S6:S14" si="8">VLOOKUP(N6,$X$5:$AE$391,8,0)*O6</f>
        <v>4448938.051479727</v>
      </c>
      <c r="T6" s="30">
        <f t="shared" ref="T6:T14" si="9">S6/O6</f>
        <v>252917.69999999998</v>
      </c>
      <c r="U6" s="30">
        <f t="shared" ref="U6:U14" si="10">VLOOKUP(N6,$X$5:$AG$391,10,0)*O6</f>
        <v>2356769.4951253068</v>
      </c>
      <c r="V6" s="31"/>
      <c r="W6" s="3"/>
      <c r="X6" s="265"/>
      <c r="Y6" s="266" t="s">
        <v>27</v>
      </c>
      <c r="Z6" s="266" t="s">
        <v>28</v>
      </c>
      <c r="AA6" s="266" t="s">
        <v>29</v>
      </c>
      <c r="AB6" s="266" t="s">
        <v>30</v>
      </c>
      <c r="AC6" s="266" t="s">
        <v>31</v>
      </c>
      <c r="AD6" s="266" t="s">
        <v>32</v>
      </c>
      <c r="AE6" s="267" t="s">
        <v>33</v>
      </c>
      <c r="AF6" s="14"/>
      <c r="AG6" s="14"/>
      <c r="AH6" s="14"/>
      <c r="AM6" s="154" t="s">
        <v>389</v>
      </c>
      <c r="AN6" s="81" t="s">
        <v>390</v>
      </c>
      <c r="AO6" s="81" t="s">
        <v>394</v>
      </c>
      <c r="AP6" s="81">
        <f>SUM(O10:O13)/SUM($O$6:$O$14,$O$26,2*$O$27,O30)</f>
        <v>3.884024562501652E-2</v>
      </c>
      <c r="AQ6" s="81" t="s">
        <v>392</v>
      </c>
      <c r="AR6" s="204">
        <v>0.251</v>
      </c>
      <c r="AV6" s="205" t="s">
        <v>389</v>
      </c>
      <c r="AW6" s="205" t="s">
        <v>390</v>
      </c>
      <c r="AX6" s="205" t="s">
        <v>394</v>
      </c>
      <c r="AY6" s="207" t="s">
        <v>434</v>
      </c>
      <c r="AZ6" s="206">
        <f t="shared" si="3"/>
        <v>6.13E-2</v>
      </c>
      <c r="BA6" s="205" t="s">
        <v>392</v>
      </c>
      <c r="BD6" s="81"/>
      <c r="BE6" s="81"/>
      <c r="BF6" s="81" t="s">
        <v>282</v>
      </c>
      <c r="BG6" s="3">
        <f>AP22</f>
        <v>142.0714783244033</v>
      </c>
      <c r="BH6" s="81"/>
      <c r="BI6" s="81"/>
      <c r="BJ6" s="81" t="s">
        <v>441</v>
      </c>
      <c r="BK6" s="3">
        <f>BG6</f>
        <v>142.0714783244033</v>
      </c>
      <c r="BQ6" s="154" t="s">
        <v>389</v>
      </c>
      <c r="BR6" s="81" t="s">
        <v>390</v>
      </c>
      <c r="BS6" s="81" t="s">
        <v>394</v>
      </c>
      <c r="BT6" s="204">
        <f t="shared" si="4"/>
        <v>0.251</v>
      </c>
      <c r="BU6" s="81" t="s">
        <v>392</v>
      </c>
      <c r="BV6" s="204">
        <v>0.251</v>
      </c>
      <c r="BZ6" s="211">
        <f>CC10</f>
        <v>6.13E-2</v>
      </c>
      <c r="CA6" s="211"/>
      <c r="CB6" s="81" t="s">
        <v>468</v>
      </c>
      <c r="CC6" s="204">
        <v>290</v>
      </c>
      <c r="CD6" s="204">
        <v>0.111</v>
      </c>
      <c r="CH6" s="81" t="s">
        <v>500</v>
      </c>
      <c r="CI6" t="s">
        <v>501</v>
      </c>
      <c r="CJ6" t="s">
        <v>502</v>
      </c>
      <c r="CK6" t="s">
        <v>503</v>
      </c>
      <c r="CL6" t="s">
        <v>504</v>
      </c>
      <c r="CM6" s="81"/>
      <c r="CN6" s="81" t="s">
        <v>500</v>
      </c>
      <c r="CO6" s="81" t="s">
        <v>501</v>
      </c>
      <c r="CP6" s="81" t="s">
        <v>502</v>
      </c>
      <c r="CQ6" s="81" t="s">
        <v>503</v>
      </c>
      <c r="CR6" s="81" t="s">
        <v>504</v>
      </c>
      <c r="CS6" s="81" t="s">
        <v>508</v>
      </c>
      <c r="CT6" s="81"/>
      <c r="CV6" s="212" t="s">
        <v>506</v>
      </c>
      <c r="CW6" s="81" t="s">
        <v>497</v>
      </c>
      <c r="CX6" s="81" t="s">
        <v>521</v>
      </c>
      <c r="CY6" s="81"/>
      <c r="CZ6" s="81"/>
      <c r="DA6" s="81"/>
      <c r="DB6" s="81"/>
      <c r="DL6" s="81" t="s">
        <v>395</v>
      </c>
      <c r="DM6" s="286">
        <f t="shared" si="0"/>
        <v>0.23554729604848729</v>
      </c>
      <c r="DN6" s="286">
        <f t="shared" si="1"/>
        <v>0.13800000000000001</v>
      </c>
      <c r="DO6" s="286">
        <f t="shared" si="2"/>
        <v>0.17799999999999999</v>
      </c>
      <c r="DQ6" s="290" t="s">
        <v>506</v>
      </c>
      <c r="DR6" s="290" t="s">
        <v>500</v>
      </c>
      <c r="DS6" s="290" t="s">
        <v>501</v>
      </c>
      <c r="DT6" s="290" t="s">
        <v>502</v>
      </c>
      <c r="DU6" s="290" t="s">
        <v>503</v>
      </c>
      <c r="DV6" s="290" t="s">
        <v>504</v>
      </c>
      <c r="DW6" s="290" t="s">
        <v>508</v>
      </c>
      <c r="DX6" s="81"/>
      <c r="DY6" s="212" t="s">
        <v>568</v>
      </c>
      <c r="DZ6" s="292" t="s">
        <v>570</v>
      </c>
      <c r="EA6" s="292" t="s">
        <v>434</v>
      </c>
      <c r="EB6" s="293">
        <f t="shared" ref="EB6:EB24" si="11">DS13</f>
        <v>0.161</v>
      </c>
      <c r="EC6" s="212" t="s">
        <v>392</v>
      </c>
      <c r="EE6" s="160" t="s">
        <v>568</v>
      </c>
      <c r="EF6" s="322" t="s">
        <v>570</v>
      </c>
      <c r="EG6" s="322" t="s">
        <v>434</v>
      </c>
      <c r="EH6" s="160">
        <f>$O$10*$Z$37*$AP$4</f>
        <v>0.35981574014109652</v>
      </c>
      <c r="EI6" s="160" t="s">
        <v>392</v>
      </c>
    </row>
    <row r="7" spans="1:139" ht="15" customHeight="1" thickTop="1" thickBot="1" x14ac:dyDescent="0.3">
      <c r="A7" s="226" t="s">
        <v>42</v>
      </c>
      <c r="B7" s="229">
        <f>'Tabula data'!B14</f>
        <v>103.4</v>
      </c>
      <c r="C7" s="230" t="s">
        <v>9</v>
      </c>
      <c r="D7" s="226" t="s">
        <v>43</v>
      </c>
      <c r="E7" s="221" t="s">
        <v>36</v>
      </c>
      <c r="F7" s="227">
        <f t="shared" si="5"/>
        <v>0.10117302052785924</v>
      </c>
      <c r="G7" s="221"/>
      <c r="H7" s="228">
        <f>'Tabula data'!B23*'Gebouwgegevens Tabula 2zone'!C45</f>
        <v>3.45</v>
      </c>
      <c r="I7" s="240"/>
      <c r="K7" t="s">
        <v>38</v>
      </c>
      <c r="L7" s="250">
        <v>0</v>
      </c>
      <c r="M7" s="251">
        <v>1</v>
      </c>
      <c r="N7" s="251" t="s">
        <v>25</v>
      </c>
      <c r="O7" s="252">
        <f>'[1]Tabula data'!B20*C43</f>
        <v>30.921227867960802</v>
      </c>
      <c r="P7" s="253" t="s">
        <v>39</v>
      </c>
      <c r="Q7" s="30">
        <f t="shared" si="6"/>
        <v>0.59788861556532236</v>
      </c>
      <c r="R7" s="30">
        <f t="shared" si="7"/>
        <v>18.487450121554946</v>
      </c>
      <c r="S7" s="30">
        <f t="shared" si="8"/>
        <v>7820525.8335405504</v>
      </c>
      <c r="T7" s="30">
        <f t="shared" si="9"/>
        <v>252917.7</v>
      </c>
      <c r="U7" s="30">
        <f t="shared" si="10"/>
        <v>4142826.1097493884</v>
      </c>
      <c r="V7" s="31"/>
      <c r="W7" s="3"/>
      <c r="X7" s="220"/>
      <c r="Y7" s="221" t="s">
        <v>40</v>
      </c>
      <c r="Z7" s="221">
        <v>2.5000000000000001E-2</v>
      </c>
      <c r="AA7" s="221">
        <v>1</v>
      </c>
      <c r="AB7" s="221">
        <v>1700</v>
      </c>
      <c r="AC7" s="221">
        <v>840</v>
      </c>
      <c r="AD7" s="268">
        <f>Z7/AA7</f>
        <v>2.5000000000000001E-2</v>
      </c>
      <c r="AE7" s="222">
        <f>Z7*AB7*AC7</f>
        <v>35700</v>
      </c>
      <c r="AF7" s="14" t="s">
        <v>41</v>
      </c>
      <c r="AG7" s="14"/>
      <c r="AH7" s="14"/>
      <c r="AM7" s="154" t="s">
        <v>389</v>
      </c>
      <c r="AN7" s="81" t="s">
        <v>390</v>
      </c>
      <c r="AO7" s="81" t="s">
        <v>395</v>
      </c>
      <c r="AP7" s="81">
        <f>SUM(O14)/SUM($O$6:$O$14,$O$26,2*$O$27,O30)</f>
        <v>0.23554729604848729</v>
      </c>
      <c r="AQ7" s="81" t="s">
        <v>392</v>
      </c>
      <c r="AR7" s="204">
        <v>0.13800000000000001</v>
      </c>
      <c r="AV7" s="205" t="s">
        <v>389</v>
      </c>
      <c r="AW7" s="205" t="s">
        <v>390</v>
      </c>
      <c r="AX7" s="205" t="s">
        <v>395</v>
      </c>
      <c r="AY7" s="207" t="s">
        <v>434</v>
      </c>
      <c r="AZ7" s="206">
        <f t="shared" si="3"/>
        <v>0.17799999999999999</v>
      </c>
      <c r="BA7" s="205" t="s">
        <v>392</v>
      </c>
      <c r="BD7" s="81"/>
      <c r="BE7" s="81"/>
      <c r="BF7" s="81" t="s">
        <v>122</v>
      </c>
      <c r="BG7" s="204">
        <f>AP9</f>
        <v>1904462.5600000003</v>
      </c>
      <c r="BH7" s="81"/>
      <c r="BI7" s="81"/>
      <c r="BJ7" s="81" t="s">
        <v>442</v>
      </c>
      <c r="BK7" s="3">
        <f>BG25</f>
        <v>94.168521675596679</v>
      </c>
      <c r="BQ7" s="154" t="s">
        <v>389</v>
      </c>
      <c r="BR7" s="81" t="s">
        <v>390</v>
      </c>
      <c r="BS7" s="81" t="s">
        <v>395</v>
      </c>
      <c r="BT7" s="204">
        <f t="shared" si="4"/>
        <v>0.13800000000000001</v>
      </c>
      <c r="BU7" s="81" t="s">
        <v>392</v>
      </c>
      <c r="BV7" s="204">
        <v>0.13800000000000001</v>
      </c>
      <c r="BZ7" s="211">
        <f>CC11</f>
        <v>0.17799999999999999</v>
      </c>
      <c r="CA7" s="211"/>
      <c r="CB7" s="81" t="s">
        <v>469</v>
      </c>
      <c r="CC7" s="204">
        <v>292</v>
      </c>
      <c r="CD7" s="204">
        <v>6.6199999999999995E-2</v>
      </c>
      <c r="CH7" s="81" t="s">
        <v>465</v>
      </c>
      <c r="CI7" s="204">
        <v>292</v>
      </c>
      <c r="CJ7" s="204">
        <v>0.10299999999999999</v>
      </c>
      <c r="CK7">
        <v>2836.8</v>
      </c>
      <c r="CL7" t="s">
        <v>505</v>
      </c>
      <c r="CM7" s="81"/>
      <c r="CN7" s="81" t="s">
        <v>465</v>
      </c>
      <c r="CO7" s="204">
        <v>290</v>
      </c>
      <c r="CP7" s="204">
        <v>0.23599999999999999</v>
      </c>
      <c r="CQ7" s="81">
        <v>1228.6600000000001</v>
      </c>
      <c r="CR7" s="81" t="s">
        <v>509</v>
      </c>
      <c r="CS7" s="204">
        <v>2E-16</v>
      </c>
      <c r="CT7" s="81" t="s">
        <v>510</v>
      </c>
      <c r="CV7" s="212" t="s">
        <v>506</v>
      </c>
      <c r="CW7" s="81" t="s">
        <v>499</v>
      </c>
      <c r="CX7" s="81"/>
      <c r="CY7" s="81"/>
      <c r="CZ7" s="81"/>
      <c r="DA7" s="81"/>
      <c r="DB7" s="81"/>
      <c r="DM7" s="287">
        <f t="shared" si="0"/>
        <v>0</v>
      </c>
      <c r="DN7" s="287">
        <f t="shared" si="1"/>
        <v>0</v>
      </c>
      <c r="DO7" s="287">
        <f t="shared" si="2"/>
        <v>0</v>
      </c>
      <c r="DQ7" s="290" t="s">
        <v>506</v>
      </c>
      <c r="DR7" s="290" t="s">
        <v>465</v>
      </c>
      <c r="DS7" s="291">
        <v>293</v>
      </c>
      <c r="DT7" s="291">
        <v>0.16600000000000001</v>
      </c>
      <c r="DU7" s="290">
        <v>1767.84</v>
      </c>
      <c r="DV7" s="290" t="s">
        <v>509</v>
      </c>
      <c r="DW7" s="291">
        <v>2E-16</v>
      </c>
      <c r="DX7" s="81" t="s">
        <v>510</v>
      </c>
      <c r="DY7" s="212" t="s">
        <v>568</v>
      </c>
      <c r="DZ7" s="294" t="s">
        <v>571</v>
      </c>
      <c r="EA7" s="292" t="s">
        <v>434</v>
      </c>
      <c r="EB7" s="293">
        <f t="shared" si="11"/>
        <v>0.35199999999999998</v>
      </c>
      <c r="EC7" s="212" t="s">
        <v>392</v>
      </c>
      <c r="EE7" s="160" t="s">
        <v>568</v>
      </c>
      <c r="EF7" s="323" t="s">
        <v>571</v>
      </c>
      <c r="EG7" s="322" t="s">
        <v>434</v>
      </c>
      <c r="EH7" s="160">
        <f>$O$12*$Z$37*$AP$4</f>
        <v>0.39979526682344052</v>
      </c>
      <c r="EI7" s="160" t="s">
        <v>392</v>
      </c>
    </row>
    <row r="8" spans="1:139" ht="15" customHeight="1" thickTop="1" thickBot="1" x14ac:dyDescent="0.3">
      <c r="A8" s="226" t="s">
        <v>47</v>
      </c>
      <c r="B8" s="229">
        <f>B6-B7</f>
        <v>120.6</v>
      </c>
      <c r="C8" s="221"/>
      <c r="D8" s="226" t="s">
        <v>48</v>
      </c>
      <c r="E8" s="221" t="s">
        <v>36</v>
      </c>
      <c r="F8" s="227">
        <f t="shared" si="5"/>
        <v>0.13196480938416422</v>
      </c>
      <c r="G8" s="221"/>
      <c r="H8" s="228">
        <f>'Tabula data'!B24*C45</f>
        <v>4.5</v>
      </c>
      <c r="I8" s="240"/>
      <c r="K8" t="s">
        <v>44</v>
      </c>
      <c r="L8" s="250">
        <v>0</v>
      </c>
      <c r="M8" s="251">
        <v>1</v>
      </c>
      <c r="N8" s="251" t="s">
        <v>25</v>
      </c>
      <c r="O8" s="252">
        <f>O6</f>
        <v>17.590457494591035</v>
      </c>
      <c r="P8" s="253" t="s">
        <v>45</v>
      </c>
      <c r="Q8" s="30">
        <f t="shared" si="6"/>
        <v>0.59788861556532236</v>
      </c>
      <c r="R8" s="30">
        <f t="shared" si="7"/>
        <v>10.517134278601683</v>
      </c>
      <c r="S8" s="30">
        <f t="shared" si="8"/>
        <v>4448938.051479727</v>
      </c>
      <c r="T8" s="30">
        <f t="shared" si="9"/>
        <v>252917.69999999998</v>
      </c>
      <c r="U8" s="30">
        <f t="shared" si="10"/>
        <v>2356769.4951253068</v>
      </c>
      <c r="V8" s="31"/>
      <c r="W8" s="3"/>
      <c r="X8" s="220"/>
      <c r="Y8" s="221" t="s">
        <v>46</v>
      </c>
      <c r="Z8" s="221">
        <v>0</v>
      </c>
      <c r="AA8" s="221">
        <v>0</v>
      </c>
      <c r="AB8" s="221">
        <v>0</v>
      </c>
      <c r="AC8" s="221">
        <v>0</v>
      </c>
      <c r="AD8" s="268">
        <v>0.16</v>
      </c>
      <c r="AE8" s="222">
        <f>Z8*AB8*AC8</f>
        <v>0</v>
      </c>
      <c r="AF8" s="14"/>
      <c r="AG8" s="14"/>
      <c r="AH8" s="14"/>
      <c r="AQ8" s="81" t="s">
        <v>392</v>
      </c>
      <c r="AR8" s="204"/>
      <c r="AV8" s="205"/>
      <c r="AW8" s="205"/>
      <c r="AX8" s="205"/>
      <c r="AY8" s="207"/>
      <c r="BA8" s="205"/>
      <c r="BD8" s="81"/>
      <c r="BE8" s="81"/>
      <c r="BF8" s="81"/>
      <c r="BG8" s="81"/>
      <c r="BH8" s="81"/>
      <c r="BI8" s="81"/>
      <c r="BJ8" s="81"/>
      <c r="BK8" s="81"/>
      <c r="BT8" s="204">
        <f>AR8</f>
        <v>0</v>
      </c>
      <c r="BU8" s="81" t="s">
        <v>392</v>
      </c>
      <c r="BV8" s="204"/>
      <c r="CB8" s="81" t="s">
        <v>470</v>
      </c>
      <c r="CC8" s="204">
        <v>0.19500000000000001</v>
      </c>
      <c r="CD8" s="204">
        <v>1.0499999999999999E-3</v>
      </c>
      <c r="CH8" s="81" t="s">
        <v>466</v>
      </c>
      <c r="CI8" s="204">
        <v>291</v>
      </c>
      <c r="CJ8" s="204">
        <v>0.105</v>
      </c>
      <c r="CK8">
        <v>2780.29</v>
      </c>
      <c r="CL8" t="s">
        <v>505</v>
      </c>
      <c r="CM8" s="81"/>
      <c r="CN8" s="81" t="s">
        <v>466</v>
      </c>
      <c r="CO8" s="204">
        <v>285</v>
      </c>
      <c r="CP8" s="204">
        <v>0.35499999999999998</v>
      </c>
      <c r="CQ8" s="81">
        <v>802.92</v>
      </c>
      <c r="CR8" s="81" t="s">
        <v>509</v>
      </c>
      <c r="CS8" s="204">
        <v>2E-16</v>
      </c>
      <c r="CT8" s="81" t="s">
        <v>510</v>
      </c>
      <c r="CV8" s="212" t="s">
        <v>506</v>
      </c>
      <c r="CW8" s="81" t="s">
        <v>500</v>
      </c>
      <c r="CX8" s="81" t="s">
        <v>501</v>
      </c>
      <c r="CY8" s="81" t="s">
        <v>502</v>
      </c>
      <c r="CZ8" s="81" t="s">
        <v>503</v>
      </c>
      <c r="DA8" s="81" t="s">
        <v>504</v>
      </c>
      <c r="DB8" s="81" t="s">
        <v>508</v>
      </c>
      <c r="DL8" s="81" t="s">
        <v>396</v>
      </c>
      <c r="DM8" s="288">
        <f t="shared" si="0"/>
        <v>1904462.5600000003</v>
      </c>
      <c r="DN8" s="288">
        <f t="shared" si="1"/>
        <v>2850000</v>
      </c>
      <c r="DO8" s="288">
        <f t="shared" si="2"/>
        <v>3460000</v>
      </c>
      <c r="DQ8" s="290" t="s">
        <v>506</v>
      </c>
      <c r="DR8" s="290" t="s">
        <v>466</v>
      </c>
      <c r="DS8" s="291">
        <v>292</v>
      </c>
      <c r="DT8" s="291">
        <v>5.91E-2</v>
      </c>
      <c r="DU8" s="290">
        <v>4940.71</v>
      </c>
      <c r="DV8" s="290" t="s">
        <v>509</v>
      </c>
      <c r="DW8" s="291">
        <v>2E-16</v>
      </c>
      <c r="DX8" s="81" t="s">
        <v>510</v>
      </c>
      <c r="DY8" s="212" t="s">
        <v>568</v>
      </c>
      <c r="DZ8" s="295" t="s">
        <v>572</v>
      </c>
      <c r="EA8" s="292" t="s">
        <v>434</v>
      </c>
      <c r="EB8" s="293">
        <f t="shared" si="11"/>
        <v>0.40200000000000002</v>
      </c>
      <c r="EC8" s="212" t="s">
        <v>392</v>
      </c>
      <c r="EE8" s="160" t="s">
        <v>568</v>
      </c>
      <c r="EF8" s="324" t="s">
        <v>572</v>
      </c>
      <c r="EG8" s="322" t="s">
        <v>434</v>
      </c>
      <c r="EH8" s="160">
        <f>$O$13*$Z$37*$AP$4</f>
        <v>0.4486591327685277</v>
      </c>
      <c r="EI8" s="160" t="s">
        <v>392</v>
      </c>
    </row>
    <row r="9" spans="1:139" ht="15" customHeight="1" thickTop="1" thickBot="1" x14ac:dyDescent="0.3">
      <c r="A9" s="220"/>
      <c r="B9" s="221"/>
      <c r="C9" s="221"/>
      <c r="D9" s="226" t="s">
        <v>52</v>
      </c>
      <c r="E9" s="231" t="s">
        <v>36</v>
      </c>
      <c r="F9" s="227">
        <f t="shared" si="5"/>
        <v>0.14809384164222872</v>
      </c>
      <c r="G9" s="221"/>
      <c r="H9" s="228">
        <f>'Tabula data'!B25*'Gebouwgegevens Tabula 2zone'!C45</f>
        <v>5.05</v>
      </c>
      <c r="I9" s="240"/>
      <c r="K9" t="s">
        <v>49</v>
      </c>
      <c r="L9" s="250">
        <v>0</v>
      </c>
      <c r="M9" s="251">
        <v>1</v>
      </c>
      <c r="N9" s="251" t="s">
        <v>25</v>
      </c>
      <c r="O9" s="252">
        <v>0</v>
      </c>
      <c r="P9" s="253" t="s">
        <v>50</v>
      </c>
      <c r="Q9" s="30">
        <f t="shared" si="6"/>
        <v>0.59788861556532236</v>
      </c>
      <c r="R9" s="30">
        <f t="shared" si="7"/>
        <v>0</v>
      </c>
      <c r="S9" s="30">
        <f t="shared" si="8"/>
        <v>0</v>
      </c>
      <c r="T9" s="30" t="e">
        <f t="shared" si="9"/>
        <v>#DIV/0!</v>
      </c>
      <c r="U9" s="30">
        <f t="shared" si="10"/>
        <v>0</v>
      </c>
      <c r="V9" s="31"/>
      <c r="W9" s="3"/>
      <c r="X9" s="220"/>
      <c r="Y9" s="231" t="s">
        <v>267</v>
      </c>
      <c r="Z9" s="221">
        <v>4.7E-2</v>
      </c>
      <c r="AA9" s="221">
        <v>3.5999999999999997E-2</v>
      </c>
      <c r="AB9" s="221">
        <v>80</v>
      </c>
      <c r="AC9" s="221">
        <v>1470</v>
      </c>
      <c r="AD9" s="268">
        <f>Z9/AA9</f>
        <v>1.3055555555555556</v>
      </c>
      <c r="AE9" s="222">
        <f>Z9*AB9*AC9</f>
        <v>5527.2</v>
      </c>
      <c r="AF9" s="14"/>
      <c r="AG9" s="14"/>
      <c r="AH9" s="14"/>
      <c r="AM9" s="154" t="s">
        <v>389</v>
      </c>
      <c r="AN9" s="81" t="s">
        <v>390</v>
      </c>
      <c r="AO9" s="81" t="s">
        <v>396</v>
      </c>
      <c r="AP9" s="204">
        <f>B34*1.04*1012*5</f>
        <v>1904462.5600000003</v>
      </c>
      <c r="AQ9" s="81" t="s">
        <v>392</v>
      </c>
      <c r="AR9" s="204">
        <v>2850000</v>
      </c>
      <c r="AV9" s="205" t="s">
        <v>389</v>
      </c>
      <c r="AW9" s="205" t="s">
        <v>390</v>
      </c>
      <c r="AX9" s="205" t="s">
        <v>396</v>
      </c>
      <c r="AY9" s="207" t="s">
        <v>434</v>
      </c>
      <c r="AZ9" s="206">
        <f t="shared" si="3"/>
        <v>3460000</v>
      </c>
      <c r="BA9" s="205" t="s">
        <v>392</v>
      </c>
      <c r="BD9" s="81"/>
      <c r="BE9" s="81"/>
      <c r="BF9" s="81" t="s">
        <v>285</v>
      </c>
      <c r="BG9" s="81">
        <f>AP21</f>
        <v>286.53877828714622</v>
      </c>
      <c r="BH9" s="81"/>
      <c r="BI9" s="81"/>
      <c r="BJ9" s="81" t="s">
        <v>443</v>
      </c>
      <c r="BK9" s="204">
        <f>BG5</f>
        <v>8856365.1000000015</v>
      </c>
      <c r="BQ9" s="154" t="s">
        <v>389</v>
      </c>
      <c r="BR9" s="81" t="s">
        <v>390</v>
      </c>
      <c r="BS9" s="81" t="s">
        <v>396</v>
      </c>
      <c r="BT9" s="204">
        <f>AR9</f>
        <v>2850000</v>
      </c>
      <c r="BU9" s="81" t="s">
        <v>392</v>
      </c>
      <c r="BV9" s="204">
        <v>2850000</v>
      </c>
      <c r="BZ9" s="211">
        <f>CC15</f>
        <v>3460000</v>
      </c>
      <c r="CA9" s="211"/>
      <c r="CB9" s="81" t="s">
        <v>471</v>
      </c>
      <c r="CC9" s="204">
        <v>0.38800000000000001</v>
      </c>
      <c r="CD9" s="204">
        <v>1.15E-3</v>
      </c>
      <c r="CH9" s="81" t="s">
        <v>467</v>
      </c>
      <c r="CI9" s="204">
        <v>294</v>
      </c>
      <c r="CJ9" s="204">
        <v>5.4199999999999998E-2</v>
      </c>
      <c r="CK9">
        <v>5435.78</v>
      </c>
      <c r="CL9" t="s">
        <v>505</v>
      </c>
      <c r="CM9" s="81"/>
      <c r="CN9" s="81" t="s">
        <v>467</v>
      </c>
      <c r="CO9" s="204">
        <v>291</v>
      </c>
      <c r="CP9" s="204">
        <v>0.127</v>
      </c>
      <c r="CQ9" s="81">
        <v>2291.35</v>
      </c>
      <c r="CR9" s="81" t="s">
        <v>509</v>
      </c>
      <c r="CS9" s="204">
        <v>2E-16</v>
      </c>
      <c r="CT9" s="81" t="s">
        <v>510</v>
      </c>
      <c r="CV9" s="212" t="s">
        <v>506</v>
      </c>
      <c r="CW9" s="81" t="s">
        <v>522</v>
      </c>
      <c r="CX9" s="204">
        <v>294</v>
      </c>
      <c r="CY9" s="204">
        <v>3.8399999999999998E-5</v>
      </c>
      <c r="CZ9" s="81">
        <v>7667965</v>
      </c>
      <c r="DA9" s="81" t="s">
        <v>505</v>
      </c>
      <c r="DB9" s="81" t="s">
        <v>510</v>
      </c>
      <c r="DL9" s="81" t="s">
        <v>397</v>
      </c>
      <c r="DM9" s="288">
        <f t="shared" si="0"/>
        <v>8856365.1000000015</v>
      </c>
      <c r="DN9" s="288">
        <f t="shared" si="1"/>
        <v>19700000</v>
      </c>
      <c r="DO9" s="288">
        <f t="shared" si="2"/>
        <v>23000000</v>
      </c>
      <c r="DQ9" s="290" t="s">
        <v>506</v>
      </c>
      <c r="DR9" s="290" t="s">
        <v>467</v>
      </c>
      <c r="DS9" s="291">
        <v>295</v>
      </c>
      <c r="DT9" s="291">
        <v>3.5099999999999999E-2</v>
      </c>
      <c r="DU9" s="290">
        <v>8410.41</v>
      </c>
      <c r="DV9" s="290" t="s">
        <v>509</v>
      </c>
      <c r="DW9" s="291">
        <v>2E-16</v>
      </c>
      <c r="DX9" s="81" t="s">
        <v>510</v>
      </c>
      <c r="DY9" s="212" t="s">
        <v>568</v>
      </c>
      <c r="DZ9" s="295" t="s">
        <v>573</v>
      </c>
      <c r="EA9" s="292" t="s">
        <v>434</v>
      </c>
      <c r="EB9" s="293">
        <f t="shared" si="11"/>
        <v>0.67200000000000004</v>
      </c>
      <c r="EC9" s="212" t="s">
        <v>392</v>
      </c>
      <c r="EE9" s="160" t="s">
        <v>568</v>
      </c>
      <c r="EF9" s="324" t="s">
        <v>573</v>
      </c>
      <c r="EG9" s="322" t="s">
        <v>434</v>
      </c>
      <c r="EH9" s="160">
        <f>$O$11*$Z$37*$AP$5</f>
        <v>0.75639836794861681</v>
      </c>
      <c r="EI9" s="160" t="s">
        <v>392</v>
      </c>
    </row>
    <row r="10" spans="1:139" ht="15" customHeight="1" thickTop="1" thickBot="1" x14ac:dyDescent="0.3">
      <c r="A10" s="220"/>
      <c r="B10" s="221"/>
      <c r="C10" s="221"/>
      <c r="D10" s="226" t="s">
        <v>35</v>
      </c>
      <c r="E10" s="231" t="s">
        <v>56</v>
      </c>
      <c r="F10" s="227">
        <f t="shared" si="5"/>
        <v>0.11876832844574779</v>
      </c>
      <c r="G10" s="221"/>
      <c r="H10" s="232">
        <f>'Tabula data'!B22*(1-C45)</f>
        <v>4.05</v>
      </c>
      <c r="I10" s="238"/>
      <c r="K10" t="s">
        <v>53</v>
      </c>
      <c r="L10" s="250">
        <v>0</v>
      </c>
      <c r="M10" s="251">
        <v>1</v>
      </c>
      <c r="N10" s="251" t="s">
        <v>54</v>
      </c>
      <c r="O10" s="252">
        <f>H6</f>
        <v>4.05</v>
      </c>
      <c r="P10" s="253" t="s">
        <v>26</v>
      </c>
      <c r="Q10" s="30">
        <f t="shared" si="6"/>
        <v>3.5</v>
      </c>
      <c r="R10" s="30">
        <f t="shared" si="7"/>
        <v>14.174999999999999</v>
      </c>
      <c r="S10" s="30">
        <f t="shared" si="8"/>
        <v>0</v>
      </c>
      <c r="T10" s="30">
        <f t="shared" si="9"/>
        <v>0</v>
      </c>
      <c r="U10" s="30">
        <f t="shared" si="10"/>
        <v>0</v>
      </c>
      <c r="V10" s="31"/>
      <c r="W10" s="3"/>
      <c r="X10" s="237"/>
      <c r="Y10" s="219" t="s">
        <v>58</v>
      </c>
      <c r="Z10" s="219">
        <v>0.02</v>
      </c>
      <c r="AA10" s="219">
        <v>0.6</v>
      </c>
      <c r="AB10" s="219">
        <v>975</v>
      </c>
      <c r="AC10" s="219">
        <v>840</v>
      </c>
      <c r="AD10" s="269">
        <f>Z10/AA10</f>
        <v>3.3333333333333333E-2</v>
      </c>
      <c r="AE10" s="242">
        <f>Z10*AB10*AC10</f>
        <v>16380</v>
      </c>
      <c r="AF10" s="14"/>
      <c r="AG10" s="14"/>
      <c r="AH10" s="14"/>
      <c r="AM10" s="154" t="s">
        <v>389</v>
      </c>
      <c r="AN10" s="81" t="s">
        <v>390</v>
      </c>
      <c r="AO10" s="81" t="s">
        <v>397</v>
      </c>
      <c r="AP10" s="204">
        <f>SUM(U6:U9)</f>
        <v>8856365.1000000015</v>
      </c>
      <c r="AQ10" s="81" t="s">
        <v>392</v>
      </c>
      <c r="AR10" s="204">
        <v>19700000</v>
      </c>
      <c r="AV10" s="205" t="s">
        <v>389</v>
      </c>
      <c r="AW10" s="205" t="s">
        <v>390</v>
      </c>
      <c r="AX10" s="205" t="s">
        <v>397</v>
      </c>
      <c r="AY10" s="207" t="s">
        <v>434</v>
      </c>
      <c r="AZ10" s="206">
        <f t="shared" si="3"/>
        <v>23000000</v>
      </c>
      <c r="BA10" s="205" t="s">
        <v>392</v>
      </c>
      <c r="BD10" s="81"/>
      <c r="BE10" s="81"/>
      <c r="BF10" s="81" t="s">
        <v>293</v>
      </c>
      <c r="BG10" s="204">
        <f>AP11</f>
        <v>13048563.000000004</v>
      </c>
      <c r="BH10" s="81"/>
      <c r="BI10" s="81"/>
      <c r="BJ10" s="81" t="s">
        <v>444</v>
      </c>
      <c r="BK10" s="204">
        <f>BG26</f>
        <v>27925619.100000005</v>
      </c>
      <c r="BQ10" s="154" t="s">
        <v>389</v>
      </c>
      <c r="BR10" s="81" t="s">
        <v>390</v>
      </c>
      <c r="BS10" s="81" t="s">
        <v>397</v>
      </c>
      <c r="BT10" s="204">
        <f t="shared" ref="BT10:BT12" si="12">AR10</f>
        <v>19700000</v>
      </c>
      <c r="BU10" s="81" t="s">
        <v>392</v>
      </c>
      <c r="BV10" s="204">
        <v>19700000</v>
      </c>
      <c r="BZ10" s="211">
        <f>CC16</f>
        <v>23000000</v>
      </c>
      <c r="CA10" s="211"/>
      <c r="CB10" s="81" t="s">
        <v>472</v>
      </c>
      <c r="CC10" s="204">
        <v>6.13E-2</v>
      </c>
      <c r="CD10" s="204">
        <v>5.5399999999999998E-3</v>
      </c>
      <c r="CH10" s="81" t="s">
        <v>468</v>
      </c>
      <c r="CI10" s="204">
        <v>290</v>
      </c>
      <c r="CJ10" s="204">
        <v>0.111</v>
      </c>
      <c r="CK10">
        <v>2606.75</v>
      </c>
      <c r="CL10" t="s">
        <v>505</v>
      </c>
      <c r="CM10" s="81"/>
      <c r="CN10" s="81" t="s">
        <v>468</v>
      </c>
      <c r="CO10" s="204">
        <v>294</v>
      </c>
      <c r="CP10" s="204">
        <v>0.20300000000000001</v>
      </c>
      <c r="CQ10" s="81">
        <v>1448.79</v>
      </c>
      <c r="CR10" s="81" t="s">
        <v>509</v>
      </c>
      <c r="CS10" s="204">
        <v>2E-16</v>
      </c>
      <c r="CT10" s="81" t="s">
        <v>510</v>
      </c>
      <c r="CV10" s="212" t="s">
        <v>506</v>
      </c>
      <c r="CW10" s="81" t="s">
        <v>523</v>
      </c>
      <c r="CX10" s="204">
        <v>294</v>
      </c>
      <c r="CY10" s="204">
        <v>2.7399999999999999E-5</v>
      </c>
      <c r="CZ10" s="81">
        <v>10703458</v>
      </c>
      <c r="DA10" s="81" t="s">
        <v>505</v>
      </c>
      <c r="DB10" s="81" t="s">
        <v>510</v>
      </c>
      <c r="DF10" t="s">
        <v>389</v>
      </c>
      <c r="DG10" t="s">
        <v>390</v>
      </c>
      <c r="DH10" t="str">
        <f>CW17</f>
        <v>abs1D</v>
      </c>
      <c r="DI10" t="s">
        <v>434</v>
      </c>
      <c r="DJ10" s="204">
        <f>CX17</f>
        <v>0.17</v>
      </c>
      <c r="DK10" t="s">
        <v>392</v>
      </c>
      <c r="DL10" s="81" t="s">
        <v>398</v>
      </c>
      <c r="DM10" s="288">
        <f t="shared" si="0"/>
        <v>13048563.000000004</v>
      </c>
      <c r="DN10" s="288">
        <f t="shared" si="1"/>
        <v>33400000</v>
      </c>
      <c r="DO10" s="288">
        <f t="shared" si="2"/>
        <v>28700000</v>
      </c>
      <c r="DQ10" s="290" t="s">
        <v>506</v>
      </c>
      <c r="DR10" s="290" t="s">
        <v>468</v>
      </c>
      <c r="DS10" s="291">
        <v>290</v>
      </c>
      <c r="DT10" s="291">
        <v>6.9000000000000006E-2</v>
      </c>
      <c r="DU10" s="290">
        <v>4199.17</v>
      </c>
      <c r="DV10" s="290" t="s">
        <v>509</v>
      </c>
      <c r="DW10" s="291">
        <v>2E-16</v>
      </c>
      <c r="DX10" s="81" t="s">
        <v>510</v>
      </c>
      <c r="DY10" s="212" t="s">
        <v>568</v>
      </c>
      <c r="DZ10" s="295" t="s">
        <v>574</v>
      </c>
      <c r="EA10" s="292" t="s">
        <v>434</v>
      </c>
      <c r="EB10" s="293">
        <f t="shared" si="11"/>
        <v>0.23100000000000001</v>
      </c>
      <c r="EC10" s="212" t="s">
        <v>392</v>
      </c>
      <c r="EE10" s="160" t="s">
        <v>568</v>
      </c>
      <c r="EF10" s="324" t="s">
        <v>574</v>
      </c>
      <c r="EG10" s="322" t="s">
        <v>434</v>
      </c>
      <c r="EH10" s="160">
        <f>$O$10*$Z$37*$AP$5</f>
        <v>0.88794591020055025</v>
      </c>
      <c r="EI10" s="160" t="s">
        <v>392</v>
      </c>
    </row>
    <row r="11" spans="1:139" ht="15" customHeight="1" thickTop="1" thickBot="1" x14ac:dyDescent="0.3">
      <c r="A11" s="220"/>
      <c r="B11" s="221"/>
      <c r="C11" s="221"/>
      <c r="D11" s="226" t="s">
        <v>43</v>
      </c>
      <c r="E11" s="231" t="s">
        <v>56</v>
      </c>
      <c r="F11" s="227">
        <f t="shared" si="5"/>
        <v>0.10117302052785924</v>
      </c>
      <c r="G11" s="221"/>
      <c r="H11" s="232">
        <f>'Tabula data'!B23*(1-'Gebouwgegevens Tabula 2zone'!C45)</f>
        <v>3.45</v>
      </c>
      <c r="I11" s="238"/>
      <c r="K11" t="s">
        <v>57</v>
      </c>
      <c r="L11" s="250">
        <v>0</v>
      </c>
      <c r="M11" s="251">
        <v>1</v>
      </c>
      <c r="N11" s="251" t="s">
        <v>54</v>
      </c>
      <c r="O11" s="252">
        <f>H7</f>
        <v>3.45</v>
      </c>
      <c r="P11" s="253" t="s">
        <v>39</v>
      </c>
      <c r="Q11" s="30">
        <f t="shared" si="6"/>
        <v>3.5</v>
      </c>
      <c r="R11" s="30">
        <f t="shared" si="7"/>
        <v>12.075000000000001</v>
      </c>
      <c r="S11" s="30">
        <f t="shared" si="8"/>
        <v>0</v>
      </c>
      <c r="T11" s="30">
        <f t="shared" si="9"/>
        <v>0</v>
      </c>
      <c r="U11" s="30">
        <f t="shared" si="10"/>
        <v>0</v>
      </c>
      <c r="V11" s="31"/>
      <c r="W11" s="3"/>
      <c r="X11" s="221"/>
      <c r="Y11" s="221"/>
      <c r="Z11" s="270"/>
      <c r="AA11" s="270"/>
      <c r="AB11" s="270"/>
      <c r="AC11" s="221"/>
      <c r="AD11" s="268"/>
      <c r="AE11" s="221"/>
      <c r="AF11" s="14"/>
      <c r="AG11" s="14"/>
      <c r="AH11" s="14"/>
      <c r="AM11" s="154" t="s">
        <v>389</v>
      </c>
      <c r="AN11" s="81" t="s">
        <v>390</v>
      </c>
      <c r="AO11" s="81" t="s">
        <v>398</v>
      </c>
      <c r="AP11" s="204">
        <f>SUM(U27,U30)</f>
        <v>13048563.000000004</v>
      </c>
      <c r="AQ11" s="81" t="s">
        <v>392</v>
      </c>
      <c r="AR11" s="204">
        <v>33400000</v>
      </c>
      <c r="AV11" s="205" t="s">
        <v>389</v>
      </c>
      <c r="AW11" s="205" t="s">
        <v>390</v>
      </c>
      <c r="AX11" s="205" t="s">
        <v>398</v>
      </c>
      <c r="AY11" s="207" t="s">
        <v>434</v>
      </c>
      <c r="AZ11" s="206">
        <f t="shared" si="3"/>
        <v>28700000</v>
      </c>
      <c r="BA11" s="205" t="s">
        <v>392</v>
      </c>
      <c r="BD11" s="81"/>
      <c r="BE11" s="81"/>
      <c r="BF11" s="81" t="s">
        <v>297</v>
      </c>
      <c r="BG11" s="81">
        <f>1/(1/AP48+1/AP49+1/AP50)</f>
        <v>129.92840646651271</v>
      </c>
      <c r="BH11" s="81"/>
      <c r="BI11" s="81"/>
      <c r="BJ11" s="81" t="s">
        <v>445</v>
      </c>
      <c r="BK11" s="204">
        <f>BG10</f>
        <v>13048563.000000004</v>
      </c>
      <c r="BQ11" s="154" t="s">
        <v>389</v>
      </c>
      <c r="BR11" s="81" t="s">
        <v>390</v>
      </c>
      <c r="BS11" s="81" t="s">
        <v>398</v>
      </c>
      <c r="BT11" s="204">
        <f t="shared" si="12"/>
        <v>33400000</v>
      </c>
      <c r="BU11" s="81" t="s">
        <v>392</v>
      </c>
      <c r="BV11" s="204">
        <v>33400000</v>
      </c>
      <c r="BZ11" s="211">
        <f>CC17</f>
        <v>28700000</v>
      </c>
      <c r="CA11" s="211"/>
      <c r="CB11" s="81" t="s">
        <v>473</v>
      </c>
      <c r="CC11" s="204">
        <v>0.17799999999999999</v>
      </c>
      <c r="CD11" s="204">
        <v>5.53E-4</v>
      </c>
      <c r="CH11" s="81" t="s">
        <v>469</v>
      </c>
      <c r="CI11" s="204">
        <v>292</v>
      </c>
      <c r="CJ11" s="204">
        <v>6.6199999999999995E-2</v>
      </c>
      <c r="CK11">
        <v>4411.26</v>
      </c>
      <c r="CL11" t="s">
        <v>505</v>
      </c>
      <c r="CM11" s="81"/>
      <c r="CN11" s="81" t="s">
        <v>470</v>
      </c>
      <c r="CO11" s="204">
        <v>0.44800000000000001</v>
      </c>
      <c r="CP11" s="204">
        <v>1.03E-2</v>
      </c>
      <c r="CQ11" s="81">
        <v>43.34</v>
      </c>
      <c r="CR11" s="81" t="s">
        <v>509</v>
      </c>
      <c r="CS11" s="204">
        <v>2E-16</v>
      </c>
      <c r="CT11" s="81" t="s">
        <v>510</v>
      </c>
      <c r="CV11" s="212" t="s">
        <v>506</v>
      </c>
      <c r="CW11" s="81" t="s">
        <v>524</v>
      </c>
      <c r="CX11" s="204">
        <v>296</v>
      </c>
      <c r="CY11" s="204">
        <v>2.55E-5</v>
      </c>
      <c r="CZ11" s="81">
        <v>11580092</v>
      </c>
      <c r="DA11" s="81" t="s">
        <v>505</v>
      </c>
      <c r="DB11" s="81" t="s">
        <v>510</v>
      </c>
      <c r="DF11" s="81" t="s">
        <v>389</v>
      </c>
      <c r="DG11" s="81" t="s">
        <v>390</v>
      </c>
      <c r="DH11" s="81" t="str">
        <f t="shared" ref="DH11:DH56" si="13">CW18</f>
        <v>abs1N</v>
      </c>
      <c r="DI11" s="81" t="s">
        <v>434</v>
      </c>
      <c r="DJ11" s="204">
        <f t="shared" ref="DJ11:DJ56" si="14">CX18</f>
        <v>0.45</v>
      </c>
      <c r="DK11" s="81" t="s">
        <v>392</v>
      </c>
      <c r="DL11" s="81" t="s">
        <v>399</v>
      </c>
      <c r="DM11" s="288">
        <f t="shared" si="0"/>
        <v>11473264</v>
      </c>
      <c r="DN11" s="288">
        <f t="shared" si="1"/>
        <v>14800000</v>
      </c>
      <c r="DO11" s="288">
        <f t="shared" si="2"/>
        <v>14600000</v>
      </c>
      <c r="DQ11" s="290" t="s">
        <v>506</v>
      </c>
      <c r="DR11" s="290" t="s">
        <v>469</v>
      </c>
      <c r="DS11" s="291">
        <v>293</v>
      </c>
      <c r="DT11" s="291">
        <v>4.1799999999999997E-2</v>
      </c>
      <c r="DU11" s="290">
        <v>7024.96</v>
      </c>
      <c r="DV11" s="290" t="s">
        <v>509</v>
      </c>
      <c r="DW11" s="291">
        <v>2E-16</v>
      </c>
      <c r="DX11" s="81" t="s">
        <v>510</v>
      </c>
      <c r="DY11" s="212" t="s">
        <v>568</v>
      </c>
      <c r="DZ11" s="295" t="s">
        <v>575</v>
      </c>
      <c r="EA11" s="292" t="s">
        <v>434</v>
      </c>
      <c r="EB11" s="293">
        <f t="shared" si="11"/>
        <v>0.71199999999999997</v>
      </c>
      <c r="EC11" s="212" t="s">
        <v>392</v>
      </c>
      <c r="EE11" s="160" t="s">
        <v>568</v>
      </c>
      <c r="EF11" s="324" t="s">
        <v>575</v>
      </c>
      <c r="EG11" s="322" t="s">
        <v>434</v>
      </c>
      <c r="EH11" s="160">
        <f>$O$12*$Z$37*$AP$5</f>
        <v>0.98660656688950021</v>
      </c>
      <c r="EI11" s="160" t="s">
        <v>392</v>
      </c>
    </row>
    <row r="12" spans="1:139" ht="15" customHeight="1" thickTop="1" thickBot="1" x14ac:dyDescent="0.3">
      <c r="A12" s="220"/>
      <c r="B12" s="221"/>
      <c r="C12" s="221"/>
      <c r="D12" s="226" t="s">
        <v>48</v>
      </c>
      <c r="E12" s="231" t="s">
        <v>56</v>
      </c>
      <c r="F12" s="227">
        <f t="shared" si="5"/>
        <v>0.13196480938416422</v>
      </c>
      <c r="G12" s="221"/>
      <c r="H12" s="232">
        <f>'Tabula data'!B24*(1-'Gebouwgegevens Tabula 2zone'!C45)</f>
        <v>4.5</v>
      </c>
      <c r="I12" s="238"/>
      <c r="K12" t="s">
        <v>59</v>
      </c>
      <c r="L12" s="250">
        <v>0</v>
      </c>
      <c r="M12" s="251">
        <v>1</v>
      </c>
      <c r="N12" s="251" t="s">
        <v>54</v>
      </c>
      <c r="O12" s="252">
        <f>H8</f>
        <v>4.5</v>
      </c>
      <c r="P12" s="253" t="s">
        <v>45</v>
      </c>
      <c r="Q12" s="30">
        <f t="shared" si="6"/>
        <v>3.5</v>
      </c>
      <c r="R12" s="30">
        <f t="shared" si="7"/>
        <v>15.75</v>
      </c>
      <c r="S12" s="30">
        <f t="shared" si="8"/>
        <v>0</v>
      </c>
      <c r="T12" s="30">
        <f t="shared" si="9"/>
        <v>0</v>
      </c>
      <c r="U12" s="30">
        <f t="shared" si="10"/>
        <v>0</v>
      </c>
      <c r="V12" s="31"/>
      <c r="W12" s="3"/>
      <c r="X12" s="258"/>
      <c r="Y12" s="258"/>
      <c r="Z12" s="259" t="s">
        <v>4</v>
      </c>
      <c r="AA12" s="259">
        <v>0.6</v>
      </c>
      <c r="AB12" s="259" t="s">
        <v>5</v>
      </c>
      <c r="AC12" s="258"/>
      <c r="AD12" s="258"/>
      <c r="AE12" s="258"/>
      <c r="AF12" s="14"/>
      <c r="AG12" s="14"/>
      <c r="AH12" s="14"/>
      <c r="AM12" s="154" t="s">
        <v>389</v>
      </c>
      <c r="AN12" s="81" t="s">
        <v>390</v>
      </c>
      <c r="AO12" s="81" t="s">
        <v>399</v>
      </c>
      <c r="AP12" s="204">
        <f>SUM(U14)</f>
        <v>11473264</v>
      </c>
      <c r="AQ12" s="81" t="s">
        <v>392</v>
      </c>
      <c r="AR12" s="204">
        <v>14800000</v>
      </c>
      <c r="AV12" s="205" t="s">
        <v>389</v>
      </c>
      <c r="AW12" s="205" t="s">
        <v>390</v>
      </c>
      <c r="AX12" s="205" t="s">
        <v>399</v>
      </c>
      <c r="AY12" s="207" t="s">
        <v>434</v>
      </c>
      <c r="AZ12" s="206">
        <f t="shared" si="3"/>
        <v>14600000</v>
      </c>
      <c r="BA12" s="205" t="s">
        <v>392</v>
      </c>
      <c r="BD12" s="81"/>
      <c r="BE12" s="81"/>
      <c r="BF12" s="81" t="s">
        <v>298</v>
      </c>
      <c r="BG12" s="81">
        <f>AP44+AP45</f>
        <v>41572722.000000007</v>
      </c>
      <c r="BH12" s="81"/>
      <c r="BI12" s="81"/>
      <c r="BJ12" s="81" t="s">
        <v>446</v>
      </c>
      <c r="BK12" s="204">
        <f>BG26</f>
        <v>27925619.100000005</v>
      </c>
      <c r="BQ12" s="154" t="s">
        <v>389</v>
      </c>
      <c r="BR12" s="81" t="s">
        <v>390</v>
      </c>
      <c r="BS12" s="81" t="s">
        <v>399</v>
      </c>
      <c r="BT12" s="204">
        <f t="shared" si="12"/>
        <v>14800000</v>
      </c>
      <c r="BU12" s="81" t="s">
        <v>392</v>
      </c>
      <c r="BV12" s="204">
        <v>14800000</v>
      </c>
      <c r="BZ12" s="211">
        <f>CC14</f>
        <v>14600000</v>
      </c>
      <c r="CA12" s="211"/>
      <c r="CB12" s="81" t="s">
        <v>474</v>
      </c>
      <c r="CC12" s="204">
        <v>0.14199999999999999</v>
      </c>
      <c r="CD12" s="204">
        <v>6.4000000000000005E-4</v>
      </c>
      <c r="CH12" s="81" t="s">
        <v>470</v>
      </c>
      <c r="CI12" s="204">
        <v>0.19500000000000001</v>
      </c>
      <c r="CJ12" s="204">
        <v>1.0499999999999999E-3</v>
      </c>
      <c r="CK12">
        <v>184.38</v>
      </c>
      <c r="CL12" t="s">
        <v>505</v>
      </c>
      <c r="CM12" s="81"/>
      <c r="CN12" s="81" t="s">
        <v>471</v>
      </c>
      <c r="CO12" s="204">
        <v>0.15</v>
      </c>
      <c r="CP12" s="204">
        <v>2E-3</v>
      </c>
      <c r="CQ12" s="81">
        <v>75.25</v>
      </c>
      <c r="CR12" s="81" t="s">
        <v>509</v>
      </c>
      <c r="CS12" s="204">
        <v>2E-16</v>
      </c>
      <c r="CT12" s="81" t="s">
        <v>510</v>
      </c>
      <c r="CV12" s="212" t="s">
        <v>506</v>
      </c>
      <c r="CW12" s="81" t="s">
        <v>513</v>
      </c>
      <c r="CX12" s="204">
        <v>295</v>
      </c>
      <c r="CY12" s="204">
        <v>2.5500000000000002E-4</v>
      </c>
      <c r="CZ12" s="81">
        <v>1156688</v>
      </c>
      <c r="DA12" s="81" t="s">
        <v>505</v>
      </c>
      <c r="DB12" s="81" t="s">
        <v>510</v>
      </c>
      <c r="DF12" s="81" t="s">
        <v>389</v>
      </c>
      <c r="DG12" s="81" t="s">
        <v>390</v>
      </c>
      <c r="DH12" s="81" t="str">
        <f t="shared" si="13"/>
        <v>abs2D</v>
      </c>
      <c r="DI12" s="81" t="s">
        <v>434</v>
      </c>
      <c r="DJ12" s="204">
        <f t="shared" si="14"/>
        <v>0.42</v>
      </c>
      <c r="DK12" s="81" t="s">
        <v>392</v>
      </c>
      <c r="DM12" s="287">
        <f t="shared" si="0"/>
        <v>0</v>
      </c>
      <c r="DN12" s="287">
        <f t="shared" si="1"/>
        <v>0</v>
      </c>
      <c r="DO12" s="287">
        <f t="shared" si="2"/>
        <v>0</v>
      </c>
      <c r="DQ12" s="290" t="s">
        <v>506</v>
      </c>
      <c r="DR12" s="290" t="s">
        <v>541</v>
      </c>
      <c r="DS12" s="291">
        <v>0.32200000000000001</v>
      </c>
      <c r="DT12" s="291">
        <v>4.9800000000000001E-3</v>
      </c>
      <c r="DU12" s="290">
        <v>64.63</v>
      </c>
      <c r="DV12" s="290" t="s">
        <v>509</v>
      </c>
      <c r="DW12" s="291">
        <v>2E-16</v>
      </c>
      <c r="DX12" s="81" t="s">
        <v>510</v>
      </c>
      <c r="DY12" s="212" t="s">
        <v>568</v>
      </c>
      <c r="DZ12" s="294" t="s">
        <v>576</v>
      </c>
      <c r="EA12" s="292" t="s">
        <v>434</v>
      </c>
      <c r="EB12" s="293">
        <f t="shared" si="11"/>
        <v>0.83599999999999997</v>
      </c>
      <c r="EC12" s="212" t="s">
        <v>392</v>
      </c>
      <c r="EE12" s="160" t="s">
        <v>568</v>
      </c>
      <c r="EF12" s="323" t="s">
        <v>576</v>
      </c>
      <c r="EG12" s="322" t="s">
        <v>434</v>
      </c>
      <c r="EH12" s="160">
        <f>$O$13*$Z$37*$AP$5</f>
        <v>1.1071918139537724</v>
      </c>
      <c r="EI12" s="160" t="s">
        <v>392</v>
      </c>
    </row>
    <row r="13" spans="1:139" ht="15" customHeight="1" thickTop="1" thickBot="1" x14ac:dyDescent="0.3">
      <c r="A13" s="220"/>
      <c r="B13" s="221"/>
      <c r="C13" s="221"/>
      <c r="D13" s="226" t="s">
        <v>52</v>
      </c>
      <c r="E13" s="231" t="s">
        <v>56</v>
      </c>
      <c r="F13" s="227">
        <f t="shared" si="5"/>
        <v>0.14809384164222872</v>
      </c>
      <c r="G13" s="221"/>
      <c r="H13" s="232">
        <f>'Tabula data'!B25*(1-'Gebouwgegevens Tabula 2zone'!C45)</f>
        <v>5.05</v>
      </c>
      <c r="I13" s="238"/>
      <c r="K13" t="s">
        <v>60</v>
      </c>
      <c r="L13" s="250">
        <v>0</v>
      </c>
      <c r="M13" s="251">
        <v>1</v>
      </c>
      <c r="N13" s="251" t="s">
        <v>54</v>
      </c>
      <c r="O13" s="252">
        <f>H9</f>
        <v>5.05</v>
      </c>
      <c r="P13" s="253" t="s">
        <v>50</v>
      </c>
      <c r="Q13" s="30">
        <f t="shared" si="6"/>
        <v>3.5</v>
      </c>
      <c r="R13" s="30">
        <f t="shared" si="7"/>
        <v>17.675000000000001</v>
      </c>
      <c r="S13" s="30">
        <f t="shared" si="8"/>
        <v>0</v>
      </c>
      <c r="T13" s="30">
        <f t="shared" si="9"/>
        <v>0</v>
      </c>
      <c r="U13" s="30">
        <f t="shared" si="10"/>
        <v>0</v>
      </c>
      <c r="V13" s="31"/>
      <c r="W13" s="3"/>
      <c r="X13" s="260" t="s">
        <v>64</v>
      </c>
      <c r="Y13" s="261"/>
      <c r="Z13" s="262" t="s">
        <v>21</v>
      </c>
      <c r="AA13" s="263">
        <f>1/(1/8+SUM(AD15:AD19)+1/23)</f>
        <v>0.59788861556532236</v>
      </c>
      <c r="AB13" s="261" t="s">
        <v>5</v>
      </c>
      <c r="AC13" s="261"/>
      <c r="AD13" s="261" t="s">
        <v>22</v>
      </c>
      <c r="AE13" s="264">
        <f>SUM(AE15:AE20)</f>
        <v>252917.7</v>
      </c>
      <c r="AF13" s="14" t="s">
        <v>23</v>
      </c>
      <c r="AG13" s="14">
        <f>SUM(AE18:AE19)</f>
        <v>133980</v>
      </c>
      <c r="AH13" s="14"/>
      <c r="AP13" s="204"/>
      <c r="AQ13" s="81" t="s">
        <v>392</v>
      </c>
      <c r="AR13" s="204"/>
      <c r="AV13" s="205"/>
      <c r="AW13" s="205"/>
      <c r="AX13" s="205"/>
      <c r="AY13" s="207"/>
      <c r="BA13" s="205"/>
      <c r="BD13" s="81"/>
      <c r="BE13" s="81"/>
      <c r="BF13" s="81"/>
      <c r="BG13" s="81"/>
      <c r="BH13" s="81"/>
      <c r="BI13" s="81"/>
      <c r="BJ13" s="81"/>
      <c r="BK13" s="81"/>
      <c r="BT13" s="204"/>
      <c r="BU13" s="81" t="s">
        <v>392</v>
      </c>
      <c r="BV13" s="204"/>
      <c r="CB13" s="81" t="s">
        <v>298</v>
      </c>
      <c r="CC13" s="204">
        <v>995000000</v>
      </c>
      <c r="CD13" s="204">
        <v>22500000</v>
      </c>
      <c r="CH13" s="81" t="s">
        <v>471</v>
      </c>
      <c r="CI13" s="204">
        <v>0.38800000000000001</v>
      </c>
      <c r="CJ13" s="204">
        <v>1.15E-3</v>
      </c>
      <c r="CK13">
        <v>338.41</v>
      </c>
      <c r="CL13" t="s">
        <v>505</v>
      </c>
      <c r="CM13" s="81"/>
      <c r="CN13" s="81" t="s">
        <v>472</v>
      </c>
      <c r="CO13" s="204">
        <v>4.4699999999999997E-2</v>
      </c>
      <c r="CP13" s="204">
        <v>0.02</v>
      </c>
      <c r="CQ13" s="81">
        <v>2.23</v>
      </c>
      <c r="CR13" s="81">
        <v>2.5999999999999999E-2</v>
      </c>
      <c r="CS13" s="81" t="s">
        <v>511</v>
      </c>
      <c r="CT13" s="81"/>
      <c r="CV13" s="212" t="s">
        <v>506</v>
      </c>
      <c r="CW13" s="81" t="s">
        <v>514</v>
      </c>
      <c r="CX13" s="204">
        <v>294</v>
      </c>
      <c r="CY13" s="204">
        <v>2.5700000000000001E-4</v>
      </c>
      <c r="CZ13" s="81">
        <v>1144487</v>
      </c>
      <c r="DA13" s="81" t="s">
        <v>505</v>
      </c>
      <c r="DB13" s="81" t="s">
        <v>510</v>
      </c>
      <c r="DF13" s="81" t="s">
        <v>389</v>
      </c>
      <c r="DG13" s="81" t="s">
        <v>390</v>
      </c>
      <c r="DH13" s="81" t="str">
        <f t="shared" si="13"/>
        <v>abs2N</v>
      </c>
      <c r="DI13" s="81" t="s">
        <v>434</v>
      </c>
      <c r="DJ13" s="204">
        <f t="shared" si="14"/>
        <v>0.15</v>
      </c>
      <c r="DK13" s="81" t="s">
        <v>392</v>
      </c>
      <c r="DL13" s="81" t="s">
        <v>400</v>
      </c>
      <c r="DM13" s="286">
        <f t="shared" si="0"/>
        <v>3.0116404280485166E-2</v>
      </c>
      <c r="DN13" s="286">
        <f t="shared" si="1"/>
        <v>0.112</v>
      </c>
      <c r="DO13" s="286">
        <f t="shared" si="2"/>
        <v>6.9400000000000003E-2</v>
      </c>
      <c r="DQ13" s="290" t="s">
        <v>506</v>
      </c>
      <c r="DR13" s="290" t="s">
        <v>410</v>
      </c>
      <c r="DS13" s="291">
        <v>0.161</v>
      </c>
      <c r="DT13" s="291">
        <v>1.7100000000000001E-2</v>
      </c>
      <c r="DU13" s="290">
        <v>9.42</v>
      </c>
      <c r="DV13" s="291" t="s">
        <v>509</v>
      </c>
      <c r="DW13" s="291">
        <v>2E-16</v>
      </c>
      <c r="DX13" s="81" t="s">
        <v>510</v>
      </c>
      <c r="DY13" s="212" t="s">
        <v>568</v>
      </c>
      <c r="DZ13" s="296" t="s">
        <v>577</v>
      </c>
      <c r="EA13" s="292" t="s">
        <v>434</v>
      </c>
      <c r="EB13" s="293">
        <f t="shared" si="11"/>
        <v>0.64400000000000002</v>
      </c>
      <c r="EC13" s="212" t="s">
        <v>392</v>
      </c>
      <c r="EE13" s="160" t="s">
        <v>568</v>
      </c>
      <c r="EF13" s="325" t="s">
        <v>577</v>
      </c>
      <c r="EG13" s="322" t="s">
        <v>434</v>
      </c>
      <c r="EH13" s="160">
        <f>$O$11*$Z$37*$AP$6</f>
        <v>7.9059319969721126E-2</v>
      </c>
      <c r="EI13" s="160" t="s">
        <v>392</v>
      </c>
    </row>
    <row r="14" spans="1:139" ht="15" customHeight="1" thickTop="1" thickBot="1" x14ac:dyDescent="0.3">
      <c r="A14" s="220"/>
      <c r="B14" s="221"/>
      <c r="C14" s="221"/>
      <c r="D14" s="233" t="s">
        <v>65</v>
      </c>
      <c r="E14" s="234"/>
      <c r="F14" s="234"/>
      <c r="G14" s="234"/>
      <c r="H14" s="235"/>
      <c r="I14" s="225"/>
      <c r="K14" t="s">
        <v>61</v>
      </c>
      <c r="L14" s="250" t="s">
        <v>62</v>
      </c>
      <c r="M14" s="251">
        <v>1</v>
      </c>
      <c r="N14" s="251" t="s">
        <v>63</v>
      </c>
      <c r="O14" s="252">
        <f>B7</f>
        <v>103.4</v>
      </c>
      <c r="P14" s="253"/>
      <c r="Q14" s="30">
        <f t="shared" si="6"/>
        <v>0.66596194503171247</v>
      </c>
      <c r="R14" s="30">
        <f t="shared" si="7"/>
        <v>68.860465116279073</v>
      </c>
      <c r="S14" s="30">
        <f t="shared" si="8"/>
        <v>48110861.920000002</v>
      </c>
      <c r="T14" s="30">
        <f t="shared" si="9"/>
        <v>465288.8</v>
      </c>
      <c r="U14" s="30">
        <f t="shared" si="10"/>
        <v>11473264</v>
      </c>
      <c r="V14" s="31"/>
      <c r="W14" s="3"/>
      <c r="X14" s="265"/>
      <c r="Y14" s="266" t="s">
        <v>27</v>
      </c>
      <c r="Z14" s="266" t="s">
        <v>28</v>
      </c>
      <c r="AA14" s="266" t="s">
        <v>29</v>
      </c>
      <c r="AB14" s="266" t="s">
        <v>30</v>
      </c>
      <c r="AC14" s="266" t="s">
        <v>31</v>
      </c>
      <c r="AD14" s="266" t="s">
        <v>32</v>
      </c>
      <c r="AE14" s="267" t="s">
        <v>33</v>
      </c>
      <c r="AF14" s="14"/>
      <c r="AG14" s="14"/>
      <c r="AH14" s="14"/>
      <c r="AM14" s="154" t="s">
        <v>389</v>
      </c>
      <c r="AN14" s="81" t="s">
        <v>390</v>
      </c>
      <c r="AO14" s="81" t="s">
        <v>400</v>
      </c>
      <c r="AP14" s="81">
        <f>AP4*0.2</f>
        <v>3.0116404280485166E-2</v>
      </c>
      <c r="AQ14" s="81" t="s">
        <v>392</v>
      </c>
      <c r="AR14" s="204">
        <v>0.112</v>
      </c>
      <c r="AV14" s="205" t="s">
        <v>389</v>
      </c>
      <c r="AW14" s="205" t="s">
        <v>390</v>
      </c>
      <c r="AX14" s="205" t="s">
        <v>400</v>
      </c>
      <c r="AY14" s="207" t="s">
        <v>434</v>
      </c>
      <c r="AZ14" s="206">
        <f t="shared" si="3"/>
        <v>6.9400000000000003E-2</v>
      </c>
      <c r="BA14" s="205" t="s">
        <v>392</v>
      </c>
      <c r="BD14" s="81"/>
      <c r="BE14" s="81"/>
      <c r="BF14" s="81" t="s">
        <v>286</v>
      </c>
      <c r="BG14" s="81">
        <f>1/(1/AP20+1/AP24)</f>
        <v>40.260815822002478</v>
      </c>
      <c r="BH14" s="81"/>
      <c r="BI14" s="81"/>
      <c r="BJ14" s="81" t="s">
        <v>447</v>
      </c>
      <c r="BK14" s="81">
        <f>BG9</f>
        <v>286.53877828714622</v>
      </c>
      <c r="BQ14" s="154" t="s">
        <v>389</v>
      </c>
      <c r="BR14" s="81" t="s">
        <v>390</v>
      </c>
      <c r="BS14" s="81" t="s">
        <v>400</v>
      </c>
      <c r="BT14" s="204">
        <f>AR14</f>
        <v>0.112</v>
      </c>
      <c r="BU14" s="81" t="s">
        <v>392</v>
      </c>
      <c r="BV14" s="204">
        <v>0.112</v>
      </c>
      <c r="BZ14" s="211">
        <f>CC23</f>
        <v>6.9400000000000003E-2</v>
      </c>
      <c r="CA14" s="211"/>
      <c r="CB14" s="81" t="s">
        <v>294</v>
      </c>
      <c r="CC14" s="204">
        <v>14600000</v>
      </c>
      <c r="CD14" s="204">
        <v>300000</v>
      </c>
      <c r="CH14" s="81" t="s">
        <v>472</v>
      </c>
      <c r="CI14" s="204">
        <v>6.13E-2</v>
      </c>
      <c r="CJ14" s="204">
        <v>5.5399999999999998E-3</v>
      </c>
      <c r="CK14">
        <v>11.07</v>
      </c>
      <c r="CL14" t="s">
        <v>505</v>
      </c>
      <c r="CM14" s="81"/>
      <c r="CN14" s="81" t="s">
        <v>473</v>
      </c>
      <c r="CO14" s="204">
        <v>0.34599999999999997</v>
      </c>
      <c r="CP14" s="204">
        <v>6.0699999999999999E-3</v>
      </c>
      <c r="CQ14" s="81">
        <v>57.03</v>
      </c>
      <c r="CR14" s="81" t="s">
        <v>509</v>
      </c>
      <c r="CS14" s="204">
        <v>2E-16</v>
      </c>
      <c r="CT14" s="81" t="s">
        <v>510</v>
      </c>
      <c r="CV14" s="212" t="s">
        <v>506</v>
      </c>
      <c r="CW14" s="81" t="s">
        <v>525</v>
      </c>
      <c r="CX14" s="204">
        <v>293</v>
      </c>
      <c r="CY14" s="204">
        <v>1.5299999999999999E-5</v>
      </c>
      <c r="CZ14" s="81">
        <v>19154623</v>
      </c>
      <c r="DA14" s="81" t="s">
        <v>505</v>
      </c>
      <c r="DB14" s="81" t="s">
        <v>510</v>
      </c>
      <c r="DF14" s="81" t="s">
        <v>389</v>
      </c>
      <c r="DG14" s="81" t="s">
        <v>390</v>
      </c>
      <c r="DH14" s="81" t="str">
        <f t="shared" si="13"/>
        <v>abs3D</v>
      </c>
      <c r="DI14" s="81" t="s">
        <v>434</v>
      </c>
      <c r="DJ14" s="204">
        <f t="shared" si="14"/>
        <v>0.14000000000000001</v>
      </c>
      <c r="DK14" s="81" t="s">
        <v>392</v>
      </c>
      <c r="DL14" s="81" t="s">
        <v>401</v>
      </c>
      <c r="DM14" s="286">
        <f t="shared" si="0"/>
        <v>7.4320645340075361E-2</v>
      </c>
      <c r="DN14" s="286">
        <f t="shared" si="1"/>
        <v>0.216</v>
      </c>
      <c r="DO14" s="286">
        <f t="shared" si="2"/>
        <v>0.14099999999999999</v>
      </c>
      <c r="DQ14" s="290" t="s">
        <v>506</v>
      </c>
      <c r="DR14" s="290" t="s">
        <v>542</v>
      </c>
      <c r="DS14" s="291">
        <v>0.35199999999999998</v>
      </c>
      <c r="DT14" s="291">
        <v>3.15E-3</v>
      </c>
      <c r="DU14" s="290">
        <v>111.85</v>
      </c>
      <c r="DV14" s="290" t="s">
        <v>509</v>
      </c>
      <c r="DW14" s="291">
        <v>2E-16</v>
      </c>
      <c r="DX14" s="81" t="s">
        <v>510</v>
      </c>
      <c r="DY14" s="212" t="s">
        <v>568</v>
      </c>
      <c r="DZ14" s="296" t="s">
        <v>578</v>
      </c>
      <c r="EA14" s="292" t="s">
        <v>434</v>
      </c>
      <c r="EB14" s="293">
        <f t="shared" si="11"/>
        <v>4.6700000000000002E-6</v>
      </c>
      <c r="EC14" s="212" t="s">
        <v>392</v>
      </c>
      <c r="EE14" s="160" t="s">
        <v>568</v>
      </c>
      <c r="EF14" s="325" t="s">
        <v>578</v>
      </c>
      <c r="EG14" s="322" t="s">
        <v>434</v>
      </c>
      <c r="EH14" s="160">
        <f>$O$10*$Z$37*$AP$6</f>
        <v>9.2808766920976976E-2</v>
      </c>
      <c r="EI14" s="160" t="s">
        <v>392</v>
      </c>
    </row>
    <row r="15" spans="1:139" ht="15" customHeight="1" thickTop="1" thickBot="1" x14ac:dyDescent="0.3">
      <c r="A15" s="220"/>
      <c r="B15" s="221"/>
      <c r="C15" s="221"/>
      <c r="D15" s="236"/>
      <c r="E15" s="221"/>
      <c r="F15" s="221"/>
      <c r="G15" s="221"/>
      <c r="H15" s="222"/>
      <c r="I15" s="221"/>
      <c r="K15" t="s">
        <v>66</v>
      </c>
      <c r="L15" s="250">
        <v>0</v>
      </c>
      <c r="M15" s="251">
        <v>1</v>
      </c>
      <c r="N15" s="251" t="s">
        <v>20</v>
      </c>
      <c r="O15" s="254">
        <v>0</v>
      </c>
      <c r="P15" s="253"/>
      <c r="Q15" s="30">
        <f t="shared" si="6"/>
        <v>0.59974793202856758</v>
      </c>
      <c r="R15" s="30">
        <f t="shared" si="7"/>
        <v>0</v>
      </c>
      <c r="S15" s="30">
        <f>VLOOKUP(N15,$X$5:$AE$391,8,0)*O25</f>
        <v>6250381.1999999993</v>
      </c>
      <c r="T15" s="30">
        <f>S15/O25</f>
        <v>57607.19999999999</v>
      </c>
      <c r="U15" s="30">
        <f>VLOOKUP(N15,$X$5:$AG$391,10,0)*O25</f>
        <v>2376931.2000000002</v>
      </c>
      <c r="V15" s="31"/>
      <c r="W15" s="3"/>
      <c r="X15" s="220"/>
      <c r="Y15" s="221" t="s">
        <v>268</v>
      </c>
      <c r="Z15" s="221">
        <v>0.1</v>
      </c>
      <c r="AA15" s="221">
        <v>0.75</v>
      </c>
      <c r="AB15" s="221">
        <v>1400</v>
      </c>
      <c r="AC15" s="231">
        <v>840</v>
      </c>
      <c r="AD15" s="268">
        <f>Z15/AA15</f>
        <v>0.13333333333333333</v>
      </c>
      <c r="AE15" s="222">
        <f>AB15*AC15*Z15</f>
        <v>117600</v>
      </c>
      <c r="AF15" s="14"/>
      <c r="AG15" s="14"/>
      <c r="AH15" s="14"/>
      <c r="AM15" s="154" t="s">
        <v>389</v>
      </c>
      <c r="AN15" s="81" t="s">
        <v>390</v>
      </c>
      <c r="AO15" s="81" t="s">
        <v>401</v>
      </c>
      <c r="AP15" s="81">
        <f>AP5*0.2</f>
        <v>7.4320645340075361E-2</v>
      </c>
      <c r="AQ15" s="81" t="s">
        <v>392</v>
      </c>
      <c r="AR15" s="204">
        <v>0.216</v>
      </c>
      <c r="AV15" s="205" t="s">
        <v>389</v>
      </c>
      <c r="AW15" s="205" t="s">
        <v>390</v>
      </c>
      <c r="AX15" s="205" t="s">
        <v>401</v>
      </c>
      <c r="AY15" s="207" t="s">
        <v>434</v>
      </c>
      <c r="AZ15" s="206">
        <f t="shared" si="3"/>
        <v>0.14099999999999999</v>
      </c>
      <c r="BA15" s="205" t="s">
        <v>392</v>
      </c>
      <c r="BD15" s="81"/>
      <c r="BE15" s="81"/>
      <c r="BF15" s="81" t="s">
        <v>294</v>
      </c>
      <c r="BG15" s="204">
        <f>AP12</f>
        <v>11473264</v>
      </c>
      <c r="BH15" s="81"/>
      <c r="BI15" s="81"/>
      <c r="BJ15" s="81" t="s">
        <v>448</v>
      </c>
      <c r="BK15" s="81">
        <f>AP38</f>
        <v>334.20286906605259</v>
      </c>
      <c r="BQ15" s="154" t="s">
        <v>389</v>
      </c>
      <c r="BR15" s="81" t="s">
        <v>390</v>
      </c>
      <c r="BS15" s="81" t="s">
        <v>401</v>
      </c>
      <c r="BT15" s="204">
        <f t="shared" ref="BT15:BT17" si="15">AR15</f>
        <v>0.216</v>
      </c>
      <c r="BU15" s="81" t="s">
        <v>392</v>
      </c>
      <c r="BV15" s="204">
        <v>0.216</v>
      </c>
      <c r="BZ15" s="211">
        <f>CC24</f>
        <v>0.14099999999999999</v>
      </c>
      <c r="CA15" s="211"/>
      <c r="CB15" s="81" t="s">
        <v>475</v>
      </c>
      <c r="CC15" s="204">
        <v>3460000</v>
      </c>
      <c r="CD15" s="204">
        <v>48400</v>
      </c>
      <c r="CH15" s="81" t="s">
        <v>473</v>
      </c>
      <c r="CI15" s="204">
        <v>0.17799999999999999</v>
      </c>
      <c r="CJ15" s="204">
        <v>5.53E-4</v>
      </c>
      <c r="CK15">
        <v>322.19</v>
      </c>
      <c r="CL15" t="s">
        <v>505</v>
      </c>
      <c r="CM15" s="81"/>
      <c r="CN15" s="81" t="s">
        <v>298</v>
      </c>
      <c r="CO15" s="204">
        <v>992000000</v>
      </c>
      <c r="CP15" s="204">
        <v>51400000</v>
      </c>
      <c r="CQ15" s="81">
        <v>19.29</v>
      </c>
      <c r="CR15" s="81" t="s">
        <v>509</v>
      </c>
      <c r="CS15" s="204">
        <v>2E-16</v>
      </c>
      <c r="CT15" s="81" t="s">
        <v>510</v>
      </c>
      <c r="CV15" s="212" t="s">
        <v>506</v>
      </c>
      <c r="CW15" s="81" t="s">
        <v>526</v>
      </c>
      <c r="CX15" s="204">
        <v>293</v>
      </c>
      <c r="CY15" s="204">
        <v>5.8999999999999998E-5</v>
      </c>
      <c r="CZ15" s="81">
        <v>4966969</v>
      </c>
      <c r="DA15" s="81" t="s">
        <v>505</v>
      </c>
      <c r="DB15" s="81" t="s">
        <v>510</v>
      </c>
      <c r="DF15" s="81" t="s">
        <v>389</v>
      </c>
      <c r="DG15" s="81" t="s">
        <v>390</v>
      </c>
      <c r="DH15" s="81" t="str">
        <f t="shared" si="13"/>
        <v>abs3N</v>
      </c>
      <c r="DI15" s="81" t="s">
        <v>434</v>
      </c>
      <c r="DJ15" s="204">
        <f t="shared" si="14"/>
        <v>0.11</v>
      </c>
      <c r="DK15" s="81" t="s">
        <v>392</v>
      </c>
      <c r="DL15" s="81" t="s">
        <v>402</v>
      </c>
      <c r="DM15" s="286">
        <f t="shared" si="0"/>
        <v>0.80776804912500333</v>
      </c>
      <c r="DN15" s="286">
        <f t="shared" si="1"/>
        <v>0.49</v>
      </c>
      <c r="DO15" s="286">
        <f t="shared" si="2"/>
        <v>0.76</v>
      </c>
      <c r="DQ15" s="290" t="s">
        <v>506</v>
      </c>
      <c r="DR15" s="290" t="s">
        <v>543</v>
      </c>
      <c r="DS15" s="291">
        <v>0.40200000000000002</v>
      </c>
      <c r="DT15" s="291">
        <v>5.1900000000000002E-3</v>
      </c>
      <c r="DU15" s="290">
        <v>77.47</v>
      </c>
      <c r="DV15" s="290" t="s">
        <v>509</v>
      </c>
      <c r="DW15" s="291">
        <v>2E-16</v>
      </c>
      <c r="DX15" s="81" t="s">
        <v>510</v>
      </c>
      <c r="DY15" s="212" t="s">
        <v>568</v>
      </c>
      <c r="DZ15" s="296" t="s">
        <v>579</v>
      </c>
      <c r="EA15" s="292" t="s">
        <v>434</v>
      </c>
      <c r="EB15" s="293">
        <f t="shared" si="11"/>
        <v>6.3299999999999995E-2</v>
      </c>
      <c r="EC15" s="212" t="s">
        <v>392</v>
      </c>
      <c r="EE15" s="160" t="s">
        <v>568</v>
      </c>
      <c r="EF15" s="325" t="s">
        <v>579</v>
      </c>
      <c r="EG15" s="322" t="s">
        <v>434</v>
      </c>
      <c r="EH15" s="160">
        <f>$O$12*$Z$37*$AP$6</f>
        <v>0.10312085213441885</v>
      </c>
      <c r="EI15" s="160" t="s">
        <v>392</v>
      </c>
    </row>
    <row r="16" spans="1:139" ht="15" customHeight="1" thickTop="1" thickBot="1" x14ac:dyDescent="0.3">
      <c r="A16" s="237"/>
      <c r="B16" s="219"/>
      <c r="C16" s="219"/>
      <c r="D16" s="226" t="s">
        <v>69</v>
      </c>
      <c r="E16" s="221"/>
      <c r="F16" s="238">
        <f>B4/B26</f>
        <v>1.5021951219512195</v>
      </c>
      <c r="G16" s="231" t="s">
        <v>70</v>
      </c>
      <c r="H16" s="222"/>
      <c r="I16" s="221"/>
      <c r="K16" t="s">
        <v>67</v>
      </c>
      <c r="L16" s="250">
        <v>0</v>
      </c>
      <c r="M16" s="251">
        <v>1</v>
      </c>
      <c r="N16" s="251" t="s">
        <v>68</v>
      </c>
      <c r="O16" s="252">
        <f>'[1]Tabula data'!B21</f>
        <v>9.5</v>
      </c>
      <c r="P16" s="253"/>
      <c r="Q16" s="30">
        <f t="shared" si="6"/>
        <v>3.5</v>
      </c>
      <c r="R16" s="30">
        <f t="shared" si="7"/>
        <v>33.25</v>
      </c>
      <c r="S16" s="30">
        <f t="shared" ref="S16:S28" si="16">VLOOKUP(N16,$X$5:$AE$391,8,0)*O16</f>
        <v>346940</v>
      </c>
      <c r="T16" s="30">
        <f t="shared" ref="T16:T28" si="17">S16/O16</f>
        <v>36520</v>
      </c>
      <c r="U16" s="30">
        <f t="shared" ref="U16:U28" si="18">VLOOKUP(N16,$X$5:$AG$391,10,0)*O16</f>
        <v>1719690.0000000002</v>
      </c>
      <c r="V16" s="31"/>
      <c r="W16" s="3"/>
      <c r="X16" s="220"/>
      <c r="Y16" s="221" t="s">
        <v>46</v>
      </c>
      <c r="Z16" s="221">
        <v>0.03</v>
      </c>
      <c r="AA16" s="221"/>
      <c r="AB16" s="221"/>
      <c r="AC16" s="221"/>
      <c r="AD16" s="268">
        <v>0.18</v>
      </c>
      <c r="AE16" s="222"/>
      <c r="AF16" s="14"/>
      <c r="AG16" s="14"/>
      <c r="AH16" s="14"/>
      <c r="AM16" s="154" t="s">
        <v>389</v>
      </c>
      <c r="AN16" s="81" t="s">
        <v>390</v>
      </c>
      <c r="AO16" s="81" t="s">
        <v>402</v>
      </c>
      <c r="AP16" s="81">
        <f>AP6*0.2+0.8</f>
        <v>0.80776804912500333</v>
      </c>
      <c r="AQ16" s="81" t="s">
        <v>392</v>
      </c>
      <c r="AR16" s="204">
        <v>0.49</v>
      </c>
      <c r="AV16" s="205" t="s">
        <v>389</v>
      </c>
      <c r="AW16" s="205" t="s">
        <v>390</v>
      </c>
      <c r="AX16" s="205" t="s">
        <v>402</v>
      </c>
      <c r="AY16" s="207" t="s">
        <v>434</v>
      </c>
      <c r="AZ16" s="206">
        <f t="shared" si="3"/>
        <v>0.76</v>
      </c>
      <c r="BA16" s="205" t="s">
        <v>392</v>
      </c>
      <c r="BD16" s="81"/>
      <c r="BE16" s="81"/>
      <c r="BF16" s="81"/>
      <c r="BG16" s="81"/>
      <c r="BH16" s="81"/>
      <c r="BI16" s="81"/>
      <c r="BJ16" s="81"/>
      <c r="BK16" s="81"/>
      <c r="BQ16" s="154" t="s">
        <v>389</v>
      </c>
      <c r="BR16" s="81" t="s">
        <v>390</v>
      </c>
      <c r="BS16" s="81" t="s">
        <v>402</v>
      </c>
      <c r="BT16" s="204">
        <f t="shared" si="15"/>
        <v>0.49</v>
      </c>
      <c r="BU16" s="81" t="s">
        <v>392</v>
      </c>
      <c r="BV16" s="204">
        <v>0.49</v>
      </c>
      <c r="BZ16" s="211">
        <f>CC25</f>
        <v>0.76</v>
      </c>
      <c r="CA16" s="211"/>
      <c r="CB16" s="81" t="s">
        <v>291</v>
      </c>
      <c r="CC16" s="204">
        <v>23000000</v>
      </c>
      <c r="CD16" s="204">
        <v>709000</v>
      </c>
      <c r="CH16" s="81" t="s">
        <v>474</v>
      </c>
      <c r="CI16" s="204">
        <v>0.14199999999999999</v>
      </c>
      <c r="CJ16" s="204">
        <v>6.4000000000000005E-4</v>
      </c>
      <c r="CK16">
        <v>221.71</v>
      </c>
      <c r="CL16" t="s">
        <v>505</v>
      </c>
      <c r="CM16" s="81"/>
      <c r="CN16" s="81" t="s">
        <v>475</v>
      </c>
      <c r="CO16" s="204">
        <v>1130000</v>
      </c>
      <c r="CP16" s="204">
        <v>29900</v>
      </c>
      <c r="CQ16" s="81">
        <v>37.909999999999997</v>
      </c>
      <c r="CR16" s="81" t="s">
        <v>509</v>
      </c>
      <c r="CS16" s="204">
        <v>2E-16</v>
      </c>
      <c r="CT16" s="81" t="s">
        <v>510</v>
      </c>
      <c r="CV16" s="212" t="s">
        <v>506</v>
      </c>
      <c r="CW16" s="81" t="s">
        <v>527</v>
      </c>
      <c r="CX16" s="204">
        <v>294</v>
      </c>
      <c r="CY16" s="204">
        <v>5.7000000000000003E-5</v>
      </c>
      <c r="CZ16" s="81">
        <v>5160670</v>
      </c>
      <c r="DA16" s="81" t="s">
        <v>505</v>
      </c>
      <c r="DB16" s="81" t="s">
        <v>510</v>
      </c>
      <c r="DF16" s="81"/>
      <c r="DG16" s="81"/>
      <c r="DH16" s="81"/>
      <c r="DI16" s="81"/>
      <c r="DJ16" s="204"/>
      <c r="DK16" s="81"/>
      <c r="DL16" s="81" t="s">
        <v>403</v>
      </c>
      <c r="DM16" s="286">
        <f t="shared" si="0"/>
        <v>4.710945920969746E-2</v>
      </c>
      <c r="DN16" s="286">
        <f t="shared" si="1"/>
        <v>9.01E-2</v>
      </c>
      <c r="DO16" s="286">
        <f t="shared" si="2"/>
        <v>6.4100000000000004E-2</v>
      </c>
      <c r="DQ16" s="290" t="s">
        <v>506</v>
      </c>
      <c r="DR16" s="290" t="s">
        <v>544</v>
      </c>
      <c r="DS16" s="291">
        <v>0.67200000000000004</v>
      </c>
      <c r="DT16" s="291">
        <v>8.6800000000000002E-3</v>
      </c>
      <c r="DU16" s="290">
        <v>77.39</v>
      </c>
      <c r="DV16" s="290" t="s">
        <v>509</v>
      </c>
      <c r="DW16" s="291">
        <v>2E-16</v>
      </c>
      <c r="DX16" s="81" t="s">
        <v>510</v>
      </c>
      <c r="DY16" s="212" t="s">
        <v>568</v>
      </c>
      <c r="DZ16" s="296" t="s">
        <v>580</v>
      </c>
      <c r="EA16" s="292" t="s">
        <v>434</v>
      </c>
      <c r="EB16" s="293">
        <f t="shared" si="11"/>
        <v>4.2899999999999999E-7</v>
      </c>
      <c r="EC16" s="212" t="s">
        <v>392</v>
      </c>
      <c r="EE16" s="160" t="s">
        <v>568</v>
      </c>
      <c r="EF16" s="325" t="s">
        <v>580</v>
      </c>
      <c r="EG16" s="322" t="s">
        <v>434</v>
      </c>
      <c r="EH16" s="160">
        <f>$O$13*$Z$37*$AP$6</f>
        <v>0.11572451183973671</v>
      </c>
      <c r="EI16" s="160" t="s">
        <v>392</v>
      </c>
    </row>
    <row r="17" spans="1:139" ht="15" customHeight="1" thickTop="1" thickBot="1" x14ac:dyDescent="0.3">
      <c r="A17" s="223" t="s">
        <v>73</v>
      </c>
      <c r="B17" s="224">
        <v>0</v>
      </c>
      <c r="C17" s="234" t="s">
        <v>9</v>
      </c>
      <c r="D17" s="226" t="s">
        <v>74</v>
      </c>
      <c r="E17" s="221"/>
      <c r="F17" s="238">
        <f>B26/B23</f>
        <v>1.8303571428571428</v>
      </c>
      <c r="G17" s="231"/>
      <c r="H17" s="222"/>
      <c r="I17" s="221"/>
      <c r="K17" t="s">
        <v>71</v>
      </c>
      <c r="L17" s="250">
        <v>0</v>
      </c>
      <c r="M17" s="251">
        <v>2</v>
      </c>
      <c r="N17" s="251" t="s">
        <v>25</v>
      </c>
      <c r="O17" s="252">
        <f>'[1]Tabula data'!B19*(1-C43)</f>
        <v>20.516529727733833</v>
      </c>
      <c r="P17" s="253" t="s">
        <v>26</v>
      </c>
      <c r="Q17" s="30">
        <f t="shared" si="6"/>
        <v>0.59788861556532236</v>
      </c>
      <c r="R17" s="30">
        <f t="shared" si="7"/>
        <v>12.26659955511956</v>
      </c>
      <c r="S17" s="30">
        <f t="shared" si="16"/>
        <v>5188993.5107200677</v>
      </c>
      <c r="T17" s="30">
        <f t="shared" si="17"/>
        <v>252917.7</v>
      </c>
      <c r="U17" s="30">
        <f t="shared" si="18"/>
        <v>2748804.6529217791</v>
      </c>
      <c r="V17" s="31"/>
      <c r="W17" s="3"/>
      <c r="X17" s="220"/>
      <c r="Y17" s="221" t="s">
        <v>269</v>
      </c>
      <c r="Z17" s="221">
        <v>3.5000000000000003E-2</v>
      </c>
      <c r="AA17" s="221">
        <v>3.5999999999999997E-2</v>
      </c>
      <c r="AB17" s="221">
        <v>26</v>
      </c>
      <c r="AC17" s="221">
        <v>1470</v>
      </c>
      <c r="AD17" s="268">
        <f>Z17/AA17</f>
        <v>0.97222222222222243</v>
      </c>
      <c r="AE17" s="222">
        <f>Z17*AB17*AC17</f>
        <v>1337.7000000000003</v>
      </c>
      <c r="AF17" s="14"/>
      <c r="AG17" s="14"/>
      <c r="AH17" s="14"/>
      <c r="AM17" s="154" t="s">
        <v>389</v>
      </c>
      <c r="AN17" s="81" t="s">
        <v>390</v>
      </c>
      <c r="AO17" s="81" t="s">
        <v>403</v>
      </c>
      <c r="AP17" s="81">
        <f>AP7*0.2</f>
        <v>4.710945920969746E-2</v>
      </c>
      <c r="AQ17" s="81" t="s">
        <v>392</v>
      </c>
      <c r="AR17" s="204">
        <v>9.01E-2</v>
      </c>
      <c r="AV17" s="205" t="s">
        <v>389</v>
      </c>
      <c r="AW17" s="205" t="s">
        <v>390</v>
      </c>
      <c r="AX17" s="205" t="s">
        <v>403</v>
      </c>
      <c r="AY17" s="207" t="s">
        <v>434</v>
      </c>
      <c r="AZ17" s="206">
        <f t="shared" si="3"/>
        <v>6.4100000000000004E-2</v>
      </c>
      <c r="BA17" s="205" t="s">
        <v>392</v>
      </c>
      <c r="BD17" s="81"/>
      <c r="BE17" s="81"/>
      <c r="BF17" s="81" t="s">
        <v>295</v>
      </c>
      <c r="BG17" s="204">
        <f>SUM(BG12+BG5+BG10)</f>
        <v>63477650.100000009</v>
      </c>
      <c r="BH17" s="81"/>
      <c r="BI17" s="81"/>
      <c r="BJ17" s="81" t="s">
        <v>297</v>
      </c>
      <c r="BK17" s="81">
        <f>BG11</f>
        <v>129.92840646651271</v>
      </c>
      <c r="BQ17" s="154" t="s">
        <v>389</v>
      </c>
      <c r="BR17" s="81" t="s">
        <v>390</v>
      </c>
      <c r="BS17" s="81" t="s">
        <v>403</v>
      </c>
      <c r="BT17" s="204">
        <f t="shared" si="15"/>
        <v>9.01E-2</v>
      </c>
      <c r="BU17" s="81" t="s">
        <v>392</v>
      </c>
      <c r="BV17" s="204">
        <v>9.01E-2</v>
      </c>
      <c r="BZ17" s="211">
        <f>CC26</f>
        <v>6.4100000000000004E-2</v>
      </c>
      <c r="CA17" s="211"/>
      <c r="CB17" s="81" t="s">
        <v>293</v>
      </c>
      <c r="CC17" s="204">
        <v>28700000</v>
      </c>
      <c r="CD17" s="204">
        <v>324000</v>
      </c>
      <c r="CH17" s="81" t="s">
        <v>298</v>
      </c>
      <c r="CI17" s="204">
        <v>995000000</v>
      </c>
      <c r="CJ17" s="204">
        <v>22500000</v>
      </c>
      <c r="CK17">
        <v>44.3</v>
      </c>
      <c r="CL17" t="s">
        <v>505</v>
      </c>
      <c r="CM17" s="81"/>
      <c r="CN17" s="81" t="s">
        <v>291</v>
      </c>
      <c r="CO17" s="204">
        <v>6980000</v>
      </c>
      <c r="CP17" s="204">
        <v>679000</v>
      </c>
      <c r="CQ17" s="81">
        <v>10.29</v>
      </c>
      <c r="CR17" s="81" t="s">
        <v>509</v>
      </c>
      <c r="CS17" s="204">
        <v>2E-16</v>
      </c>
      <c r="CT17" s="81" t="s">
        <v>510</v>
      </c>
      <c r="CV17" s="212" t="s">
        <v>506</v>
      </c>
      <c r="CW17" s="81" t="s">
        <v>391</v>
      </c>
      <c r="CX17" s="204">
        <v>0.17</v>
      </c>
      <c r="CY17" s="204">
        <v>2.6400000000000001E-6</v>
      </c>
      <c r="CZ17" s="81">
        <v>64508</v>
      </c>
      <c r="DA17" s="81" t="s">
        <v>505</v>
      </c>
      <c r="DB17" s="81" t="s">
        <v>510</v>
      </c>
      <c r="DF17" s="81" t="s">
        <v>389</v>
      </c>
      <c r="DG17" s="81" t="s">
        <v>390</v>
      </c>
      <c r="DH17" s="81" t="str">
        <f t="shared" si="13"/>
        <v>abs5D</v>
      </c>
      <c r="DI17" s="81" t="s">
        <v>434</v>
      </c>
      <c r="DJ17" s="204">
        <f t="shared" si="14"/>
        <v>0.17</v>
      </c>
      <c r="DK17" s="81" t="s">
        <v>392</v>
      </c>
      <c r="DM17" s="287">
        <f t="shared" si="0"/>
        <v>0</v>
      </c>
      <c r="DN17" s="287">
        <f t="shared" si="1"/>
        <v>0</v>
      </c>
      <c r="DO17" s="287">
        <f t="shared" si="2"/>
        <v>0</v>
      </c>
      <c r="DQ17" s="290" t="s">
        <v>506</v>
      </c>
      <c r="DR17" s="290" t="s">
        <v>411</v>
      </c>
      <c r="DS17" s="291">
        <v>0.23100000000000001</v>
      </c>
      <c r="DT17" s="291">
        <v>2.41E-2</v>
      </c>
      <c r="DU17" s="290">
        <v>9.59</v>
      </c>
      <c r="DV17" s="290" t="s">
        <v>509</v>
      </c>
      <c r="DW17" s="291">
        <v>2E-16</v>
      </c>
      <c r="DX17" s="81" t="s">
        <v>510</v>
      </c>
      <c r="DY17" s="212" t="s">
        <v>568</v>
      </c>
      <c r="DZ17" s="296" t="s">
        <v>581</v>
      </c>
      <c r="EA17" s="292" t="s">
        <v>434</v>
      </c>
      <c r="EB17" s="293">
        <f t="shared" si="11"/>
        <v>0.63400000000000001</v>
      </c>
      <c r="EC17" s="212" t="s">
        <v>392</v>
      </c>
      <c r="EE17" s="160" t="s">
        <v>568</v>
      </c>
      <c r="EF17" s="325" t="s">
        <v>581</v>
      </c>
      <c r="EG17" s="322" t="s">
        <v>434</v>
      </c>
      <c r="EH17" s="160">
        <f>$O$11*$Z$37*$AP$7</f>
        <v>0.47945652110669584</v>
      </c>
      <c r="EI17" s="160" t="s">
        <v>392</v>
      </c>
    </row>
    <row r="18" spans="1:139" ht="15" customHeight="1" thickTop="1" thickBot="1" x14ac:dyDescent="0.3">
      <c r="A18" s="220" t="s">
        <v>77</v>
      </c>
      <c r="B18" s="221">
        <v>0</v>
      </c>
      <c r="C18" s="221"/>
      <c r="D18" s="226" t="s">
        <v>78</v>
      </c>
      <c r="E18" s="221"/>
      <c r="F18" s="238">
        <f>B26/B6</f>
        <v>1.8303571428571428</v>
      </c>
      <c r="G18" s="231"/>
      <c r="H18" s="222"/>
      <c r="I18" s="221"/>
      <c r="K18" t="s">
        <v>75</v>
      </c>
      <c r="L18" s="250">
        <v>0</v>
      </c>
      <c r="M18" s="251">
        <v>2</v>
      </c>
      <c r="N18" s="251" t="s">
        <v>25</v>
      </c>
      <c r="O18" s="252">
        <f>'[1]Tabula data'!B20*(1-C43)</f>
        <v>36.064797687389479</v>
      </c>
      <c r="P18" s="253" t="s">
        <v>39</v>
      </c>
      <c r="Q18" s="30">
        <f t="shared" si="6"/>
        <v>0.59788861556532236</v>
      </c>
      <c r="R18" s="30">
        <f t="shared" si="7"/>
        <v>21.562731959956736</v>
      </c>
      <c r="S18" s="30">
        <f t="shared" si="16"/>
        <v>9121425.6820598673</v>
      </c>
      <c r="T18" s="30">
        <f t="shared" si="17"/>
        <v>252917.70000000004</v>
      </c>
      <c r="U18" s="30">
        <f t="shared" si="18"/>
        <v>4831961.5941564422</v>
      </c>
      <c r="V18" s="31"/>
      <c r="W18" s="3"/>
      <c r="X18" s="220"/>
      <c r="Y18" s="231" t="s">
        <v>270</v>
      </c>
      <c r="Z18" s="221">
        <v>0.1</v>
      </c>
      <c r="AA18" s="221">
        <v>0.54</v>
      </c>
      <c r="AB18" s="221">
        <v>1400</v>
      </c>
      <c r="AC18" s="231">
        <v>840</v>
      </c>
      <c r="AD18" s="268">
        <f>Z18/AA18</f>
        <v>0.18518518518518517</v>
      </c>
      <c r="AE18" s="222">
        <f>Z18*AB18*AC18</f>
        <v>117600</v>
      </c>
      <c r="AF18" s="14"/>
      <c r="AG18" s="14"/>
      <c r="AH18" s="14"/>
      <c r="AQ18" s="81" t="s">
        <v>392</v>
      </c>
      <c r="AR18" s="204"/>
      <c r="AV18" s="205"/>
      <c r="AW18" s="205"/>
      <c r="AX18" s="205"/>
      <c r="AY18" s="207"/>
      <c r="BA18" s="205"/>
      <c r="BD18" s="81"/>
      <c r="BE18" s="81"/>
      <c r="BF18" s="81" t="s">
        <v>449</v>
      </c>
      <c r="BG18" s="204">
        <f>BG17+BG7</f>
        <v>65382112.660000011</v>
      </c>
      <c r="BH18" s="81"/>
      <c r="BI18" s="81"/>
      <c r="BJ18" s="81" t="s">
        <v>298</v>
      </c>
      <c r="BK18" s="81">
        <f>BG12</f>
        <v>41572722.000000007</v>
      </c>
      <c r="BT18" s="204"/>
      <c r="BU18" s="81" t="s">
        <v>392</v>
      </c>
      <c r="BV18" s="204"/>
      <c r="CB18" s="81" t="s">
        <v>476</v>
      </c>
      <c r="CC18" s="204">
        <v>-6.33</v>
      </c>
      <c r="CD18" s="204">
        <v>8.6699999999999999E-2</v>
      </c>
      <c r="CH18" s="81" t="s">
        <v>294</v>
      </c>
      <c r="CI18" s="204">
        <v>14600000</v>
      </c>
      <c r="CJ18" s="204">
        <v>300000</v>
      </c>
      <c r="CK18">
        <v>48.77</v>
      </c>
      <c r="CL18" t="s">
        <v>505</v>
      </c>
      <c r="CM18" s="81"/>
      <c r="CN18" s="81" t="s">
        <v>293</v>
      </c>
      <c r="CO18" s="204">
        <v>11000000</v>
      </c>
      <c r="CP18" s="204">
        <v>1930000</v>
      </c>
      <c r="CQ18" s="81">
        <v>5.67</v>
      </c>
      <c r="CR18" s="204">
        <v>1.4999999999999999E-8</v>
      </c>
      <c r="CS18" s="81" t="s">
        <v>510</v>
      </c>
      <c r="CT18" s="81"/>
      <c r="CV18" s="212" t="s">
        <v>506</v>
      </c>
      <c r="CW18" s="81" t="s">
        <v>410</v>
      </c>
      <c r="CX18" s="204">
        <v>0.45</v>
      </c>
      <c r="CY18" s="204">
        <v>6.7800000000000003E-6</v>
      </c>
      <c r="CZ18" s="81">
        <v>66399</v>
      </c>
      <c r="DA18" s="81" t="s">
        <v>505</v>
      </c>
      <c r="DB18" s="81" t="s">
        <v>510</v>
      </c>
      <c r="DF18" s="81" t="s">
        <v>389</v>
      </c>
      <c r="DG18" s="81" t="s">
        <v>390</v>
      </c>
      <c r="DH18" s="81" t="str">
        <f t="shared" si="13"/>
        <v>abs5N</v>
      </c>
      <c r="DI18" s="81" t="s">
        <v>434</v>
      </c>
      <c r="DJ18" s="204">
        <f t="shared" si="14"/>
        <v>0.34</v>
      </c>
      <c r="DK18" s="81" t="s">
        <v>392</v>
      </c>
      <c r="DL18" s="81" t="s">
        <v>404</v>
      </c>
      <c r="DM18" s="289">
        <f t="shared" si="0"/>
        <v>192.42672314208707</v>
      </c>
      <c r="DN18" s="289">
        <f t="shared" si="1"/>
        <v>654</v>
      </c>
      <c r="DO18" s="289">
        <f t="shared" si="2"/>
        <v>259</v>
      </c>
      <c r="DQ18" s="290" t="s">
        <v>506</v>
      </c>
      <c r="DR18" s="290" t="s">
        <v>545</v>
      </c>
      <c r="DS18" s="291">
        <v>0.71199999999999997</v>
      </c>
      <c r="DT18" s="291">
        <v>5.6499999999999996E-3</v>
      </c>
      <c r="DU18" s="290">
        <v>125.9</v>
      </c>
      <c r="DV18" s="290" t="s">
        <v>509</v>
      </c>
      <c r="DW18" s="291">
        <v>2E-16</v>
      </c>
      <c r="DX18" s="81" t="s">
        <v>510</v>
      </c>
      <c r="DY18" s="212" t="s">
        <v>568</v>
      </c>
      <c r="DZ18" s="296" t="s">
        <v>582</v>
      </c>
      <c r="EA18" s="292" t="s">
        <v>434</v>
      </c>
      <c r="EB18" s="293">
        <f t="shared" si="11"/>
        <v>6.2600000000000003E-2</v>
      </c>
      <c r="EC18" s="212" t="s">
        <v>392</v>
      </c>
      <c r="EE18" s="160" t="s">
        <v>568</v>
      </c>
      <c r="EF18" s="325" t="s">
        <v>582</v>
      </c>
      <c r="EG18" s="322" t="s">
        <v>434</v>
      </c>
      <c r="EH18" s="160">
        <f>$O$10*$Z$37*$AP$7</f>
        <v>0.56284026390786035</v>
      </c>
      <c r="EI18" s="160" t="s">
        <v>392</v>
      </c>
    </row>
    <row r="19" spans="1:139" ht="15" customHeight="1" thickTop="1" thickBot="1" x14ac:dyDescent="0.3">
      <c r="A19" s="220" t="s">
        <v>81</v>
      </c>
      <c r="B19" s="229">
        <f>B17-B18</f>
        <v>0</v>
      </c>
      <c r="C19" s="221"/>
      <c r="D19" s="236"/>
      <c r="E19" s="231"/>
      <c r="F19" s="231"/>
      <c r="G19" s="231"/>
      <c r="H19" s="230"/>
      <c r="I19" s="231"/>
      <c r="K19" t="s">
        <v>79</v>
      </c>
      <c r="L19" s="250">
        <v>0</v>
      </c>
      <c r="M19" s="251">
        <v>2</v>
      </c>
      <c r="N19" s="251" t="s">
        <v>25</v>
      </c>
      <c r="O19" s="252">
        <f>O17</f>
        <v>20.516529727733833</v>
      </c>
      <c r="P19" s="253" t="s">
        <v>45</v>
      </c>
      <c r="Q19" s="30">
        <f t="shared" si="6"/>
        <v>0.59788861556532236</v>
      </c>
      <c r="R19" s="30">
        <f t="shared" si="7"/>
        <v>12.26659955511956</v>
      </c>
      <c r="S19" s="30">
        <f t="shared" si="16"/>
        <v>5188993.5107200677</v>
      </c>
      <c r="T19" s="30">
        <f t="shared" si="17"/>
        <v>252917.7</v>
      </c>
      <c r="U19" s="30">
        <f t="shared" si="18"/>
        <v>2748804.6529217791</v>
      </c>
      <c r="V19" s="31"/>
      <c r="W19" s="3"/>
      <c r="X19" s="237"/>
      <c r="Y19" s="219" t="s">
        <v>80</v>
      </c>
      <c r="Z19" s="219">
        <v>0.02</v>
      </c>
      <c r="AA19" s="219">
        <v>0.6</v>
      </c>
      <c r="AB19" s="219">
        <v>975</v>
      </c>
      <c r="AC19" s="219">
        <v>840</v>
      </c>
      <c r="AD19" s="269">
        <f>Z19/AA19</f>
        <v>3.3333333333333333E-2</v>
      </c>
      <c r="AE19" s="242">
        <f>Z19*AB19*AC19</f>
        <v>16380</v>
      </c>
      <c r="AF19" s="14"/>
      <c r="AG19" s="14"/>
      <c r="AH19" s="14"/>
      <c r="AM19" s="154" t="s">
        <v>389</v>
      </c>
      <c r="AN19" s="81" t="s">
        <v>390</v>
      </c>
      <c r="AO19" s="81" t="s">
        <v>404</v>
      </c>
      <c r="AP19" s="81">
        <f>SUM(O6:O9)*(1/(SUM(AD18:AD19)+1/8))</f>
        <v>192.42672314208707</v>
      </c>
      <c r="AQ19" s="81" t="s">
        <v>392</v>
      </c>
      <c r="AR19" s="204">
        <v>654</v>
      </c>
      <c r="AV19" s="205" t="s">
        <v>389</v>
      </c>
      <c r="AW19" s="205" t="s">
        <v>390</v>
      </c>
      <c r="AX19" s="205" t="s">
        <v>404</v>
      </c>
      <c r="AY19" s="207" t="s">
        <v>434</v>
      </c>
      <c r="AZ19" s="206">
        <f t="shared" si="3"/>
        <v>259</v>
      </c>
      <c r="BA19" s="205" t="s">
        <v>392</v>
      </c>
      <c r="BD19" s="81"/>
      <c r="BE19" s="81"/>
      <c r="BF19" s="81" t="s">
        <v>450</v>
      </c>
      <c r="BG19" s="3">
        <f>BG4+BG6</f>
        <v>181.59319700316161</v>
      </c>
      <c r="BH19" s="81"/>
      <c r="BI19" s="81"/>
      <c r="BJ19" s="81"/>
      <c r="BK19" s="81"/>
      <c r="BQ19" s="154" t="s">
        <v>389</v>
      </c>
      <c r="BR19" s="81" t="s">
        <v>390</v>
      </c>
      <c r="BS19" s="81" t="s">
        <v>404</v>
      </c>
      <c r="BT19" s="204">
        <f>SUM(O6:O9)*(1/(SUM(AD18:AD19)*0.5+1/3.5))</f>
        <v>167.35840589417282</v>
      </c>
      <c r="BU19" s="81" t="s">
        <v>392</v>
      </c>
      <c r="BV19" s="204">
        <v>654</v>
      </c>
      <c r="BX19" t="s">
        <v>459</v>
      </c>
      <c r="BY19">
        <f>AVERAGE(SUM(O6:O9),2*O27)*(1/(1/8+SUM(AD18:AD19)/2+SUM(AD23:AD25)/4))</f>
        <v>314.03364055299545</v>
      </c>
      <c r="BZ19" s="211">
        <f>CC28</f>
        <v>259</v>
      </c>
      <c r="CA19" s="211"/>
      <c r="CB19" s="81" t="s">
        <v>477</v>
      </c>
      <c r="CC19" s="204">
        <v>-24.6</v>
      </c>
      <c r="CD19" s="204">
        <v>1360</v>
      </c>
      <c r="CH19" s="81" t="s">
        <v>475</v>
      </c>
      <c r="CI19" s="204">
        <v>3460000</v>
      </c>
      <c r="CJ19" s="204">
        <v>48400</v>
      </c>
      <c r="CK19">
        <v>71.56</v>
      </c>
      <c r="CL19" t="s">
        <v>505</v>
      </c>
      <c r="CM19" s="81"/>
      <c r="CN19" s="81" t="s">
        <v>476</v>
      </c>
      <c r="CO19" s="204">
        <v>-6.06</v>
      </c>
      <c r="CP19" s="204">
        <v>0.14799999999999999</v>
      </c>
      <c r="CQ19" s="81">
        <v>-40.880000000000003</v>
      </c>
      <c r="CR19" s="81" t="s">
        <v>509</v>
      </c>
      <c r="CS19" s="204">
        <v>2E-16</v>
      </c>
      <c r="CT19" s="81" t="s">
        <v>510</v>
      </c>
      <c r="CV19" s="212" t="s">
        <v>506</v>
      </c>
      <c r="CW19" s="81" t="s">
        <v>393</v>
      </c>
      <c r="CX19" s="204">
        <v>0.42</v>
      </c>
      <c r="CY19" s="204">
        <v>6.3500000000000002E-6</v>
      </c>
      <c r="CZ19" s="81">
        <v>66191</v>
      </c>
      <c r="DA19" s="81" t="s">
        <v>505</v>
      </c>
      <c r="DB19" s="81" t="s">
        <v>510</v>
      </c>
      <c r="DF19" s="81" t="s">
        <v>389</v>
      </c>
      <c r="DG19" s="81" t="s">
        <v>390</v>
      </c>
      <c r="DH19" s="81" t="str">
        <f t="shared" si="13"/>
        <v>CfiD</v>
      </c>
      <c r="DI19" s="81" t="s">
        <v>434</v>
      </c>
      <c r="DJ19" s="204">
        <f t="shared" si="14"/>
        <v>31500000</v>
      </c>
      <c r="DK19" s="81" t="s">
        <v>392</v>
      </c>
      <c r="DL19" s="81" t="s">
        <v>405</v>
      </c>
      <c r="DM19" s="289">
        <f t="shared" si="0"/>
        <v>329</v>
      </c>
      <c r="DN19" s="289">
        <f t="shared" si="1"/>
        <v>701</v>
      </c>
      <c r="DO19" s="289">
        <f t="shared" si="2"/>
        <v>197</v>
      </c>
      <c r="DQ19" s="290" t="s">
        <v>506</v>
      </c>
      <c r="DR19" s="290" t="s">
        <v>546</v>
      </c>
      <c r="DS19" s="291">
        <v>0.83599999999999997</v>
      </c>
      <c r="DT19" s="291">
        <v>9.2200000000000008E-3</v>
      </c>
      <c r="DU19" s="290">
        <v>90.59</v>
      </c>
      <c r="DV19" s="290" t="s">
        <v>509</v>
      </c>
      <c r="DW19" s="291">
        <v>2E-16</v>
      </c>
      <c r="DX19" s="81" t="s">
        <v>510</v>
      </c>
      <c r="DY19" s="212" t="s">
        <v>568</v>
      </c>
      <c r="DZ19" s="294" t="s">
        <v>583</v>
      </c>
      <c r="EA19" s="292" t="s">
        <v>434</v>
      </c>
      <c r="EB19" s="293">
        <f t="shared" si="11"/>
        <v>0.69699999999999995</v>
      </c>
      <c r="EC19" s="212" t="s">
        <v>392</v>
      </c>
      <c r="EE19" s="160" t="s">
        <v>568</v>
      </c>
      <c r="EF19" s="323" t="s">
        <v>583</v>
      </c>
      <c r="EG19" s="322" t="s">
        <v>434</v>
      </c>
      <c r="EH19" s="160">
        <f>$O$12*$Z$37*$AP$7</f>
        <v>0.62537807100873366</v>
      </c>
      <c r="EI19" s="160" t="s">
        <v>392</v>
      </c>
    </row>
    <row r="20" spans="1:139" ht="15" customHeight="1" thickTop="1" thickBot="1" x14ac:dyDescent="0.3">
      <c r="A20" s="220"/>
      <c r="B20" s="221"/>
      <c r="C20" s="221"/>
      <c r="D20" s="226" t="s">
        <v>83</v>
      </c>
      <c r="E20" s="231"/>
      <c r="F20" s="239">
        <f>G4/B23</f>
        <v>0.15223214285714287</v>
      </c>
      <c r="G20" s="231"/>
      <c r="H20" s="222"/>
      <c r="I20" s="221"/>
      <c r="K20" t="s">
        <v>82</v>
      </c>
      <c r="L20" s="250">
        <v>0</v>
      </c>
      <c r="M20" s="251">
        <v>2</v>
      </c>
      <c r="N20" s="251" t="s">
        <v>25</v>
      </c>
      <c r="O20" s="252">
        <v>0</v>
      </c>
      <c r="P20" s="253" t="s">
        <v>50</v>
      </c>
      <c r="Q20" s="30">
        <f t="shared" si="6"/>
        <v>0.59788861556532236</v>
      </c>
      <c r="R20" s="30">
        <f t="shared" si="7"/>
        <v>0</v>
      </c>
      <c r="S20" s="30">
        <f t="shared" si="16"/>
        <v>0</v>
      </c>
      <c r="T20" s="30" t="e">
        <f t="shared" si="17"/>
        <v>#DIV/0!</v>
      </c>
      <c r="U20" s="30">
        <f t="shared" si="18"/>
        <v>0</v>
      </c>
      <c r="V20" s="31"/>
      <c r="W20" s="3"/>
      <c r="X20" s="258"/>
      <c r="Y20" s="258"/>
      <c r="Z20" s="258"/>
      <c r="AA20" s="258"/>
      <c r="AB20" s="258"/>
      <c r="AC20" s="258"/>
      <c r="AD20" s="258"/>
      <c r="AE20" s="258"/>
      <c r="AF20" s="14"/>
      <c r="AG20" s="14"/>
      <c r="AH20" s="14"/>
      <c r="AM20" s="154" t="s">
        <v>389</v>
      </c>
      <c r="AN20" s="81" t="s">
        <v>390</v>
      </c>
      <c r="AO20" s="81" t="s">
        <v>405</v>
      </c>
      <c r="AP20" s="81">
        <f>SUM(O14)*1/(SUM(AD42:AD43)+1/6)</f>
        <v>329</v>
      </c>
      <c r="AQ20" s="81" t="s">
        <v>392</v>
      </c>
      <c r="AR20" s="204">
        <v>701</v>
      </c>
      <c r="AV20" s="205" t="s">
        <v>389</v>
      </c>
      <c r="AW20" s="205" t="s">
        <v>390</v>
      </c>
      <c r="AX20" s="205" t="s">
        <v>405</v>
      </c>
      <c r="AY20" s="207" t="s">
        <v>434</v>
      </c>
      <c r="AZ20" s="206">
        <f t="shared" si="3"/>
        <v>197</v>
      </c>
      <c r="BA20" s="205" t="s">
        <v>392</v>
      </c>
      <c r="BD20" s="81"/>
      <c r="BE20" s="81"/>
      <c r="BF20" s="81"/>
      <c r="BG20" s="81"/>
      <c r="BH20" s="81"/>
      <c r="BI20" s="81"/>
      <c r="BJ20" s="81" t="s">
        <v>451</v>
      </c>
      <c r="BK20" s="204">
        <f>BG7</f>
        <v>1904462.5600000003</v>
      </c>
      <c r="BQ20" s="154" t="s">
        <v>389</v>
      </c>
      <c r="BR20" s="81" t="s">
        <v>390</v>
      </c>
      <c r="BS20" s="81" t="s">
        <v>405</v>
      </c>
      <c r="BT20" s="204">
        <f>SUM(O14)*1/(0.5*SUM(AD42:AD43)+1/3.5)</f>
        <v>287.60264900662253</v>
      </c>
      <c r="BU20" s="81" t="s">
        <v>392</v>
      </c>
      <c r="BV20" s="204">
        <v>701</v>
      </c>
      <c r="BX20" t="s">
        <v>460</v>
      </c>
      <c r="BY20" s="81">
        <f>AVERAGE(SUM(O6:O9),O26)*(1/(1/8+SUM(AD31:AD32)/2+SUM(AD18:AD19)/2))</f>
        <v>241.04230611407471</v>
      </c>
      <c r="BZ20" s="211">
        <f>CC29</f>
        <v>197</v>
      </c>
      <c r="CA20" s="211"/>
      <c r="CB20" s="81" t="s">
        <v>478</v>
      </c>
      <c r="CC20" s="204">
        <v>-13.1</v>
      </c>
      <c r="CD20" s="204">
        <v>157</v>
      </c>
      <c r="CH20" s="81" t="s">
        <v>291</v>
      </c>
      <c r="CI20" s="204">
        <v>23000000</v>
      </c>
      <c r="CJ20" s="204">
        <v>709000</v>
      </c>
      <c r="CK20">
        <v>32.450000000000003</v>
      </c>
      <c r="CL20" t="s">
        <v>505</v>
      </c>
      <c r="CM20" s="81"/>
      <c r="CN20" s="81" t="s">
        <v>477</v>
      </c>
      <c r="CO20" s="204">
        <v>-11.2</v>
      </c>
      <c r="CP20" s="204">
        <v>112</v>
      </c>
      <c r="CQ20" s="81">
        <v>-0.1</v>
      </c>
      <c r="CR20" s="81">
        <v>0.92</v>
      </c>
      <c r="CS20" s="81"/>
      <c r="CT20" s="81"/>
      <c r="CV20" s="212" t="s">
        <v>506</v>
      </c>
      <c r="CW20" s="81" t="s">
        <v>411</v>
      </c>
      <c r="CX20" s="204">
        <v>0.15</v>
      </c>
      <c r="CY20" s="204">
        <v>2.3300000000000001E-6</v>
      </c>
      <c r="CZ20" s="81">
        <v>64377</v>
      </c>
      <c r="DA20" s="81" t="s">
        <v>505</v>
      </c>
      <c r="DB20" s="81" t="s">
        <v>510</v>
      </c>
      <c r="DF20" s="81" t="s">
        <v>389</v>
      </c>
      <c r="DG20" s="81" t="s">
        <v>390</v>
      </c>
      <c r="DH20" s="81" t="str">
        <f t="shared" si="13"/>
        <v>CfiN</v>
      </c>
      <c r="DI20" s="81" t="s">
        <v>434</v>
      </c>
      <c r="DJ20" s="204">
        <f t="shared" si="14"/>
        <v>67000000</v>
      </c>
      <c r="DK20" s="81" t="s">
        <v>392</v>
      </c>
      <c r="DL20" s="81" t="s">
        <v>406</v>
      </c>
      <c r="DM20" s="289">
        <f t="shared" si="0"/>
        <v>286.53877828714622</v>
      </c>
      <c r="DN20" s="289">
        <f t="shared" si="1"/>
        <v>1380</v>
      </c>
      <c r="DO20" s="289">
        <f t="shared" si="2"/>
        <v>487</v>
      </c>
      <c r="DQ20" s="290" t="s">
        <v>506</v>
      </c>
      <c r="DR20" s="290" t="s">
        <v>547</v>
      </c>
      <c r="DS20" s="291">
        <v>0.64400000000000002</v>
      </c>
      <c r="DT20" s="291">
        <v>0.155</v>
      </c>
      <c r="DU20" s="290">
        <v>4.1500000000000004</v>
      </c>
      <c r="DV20" s="291">
        <v>3.3000000000000003E-5</v>
      </c>
      <c r="DW20" s="290" t="s">
        <v>510</v>
      </c>
      <c r="DX20" s="81"/>
      <c r="DY20" s="212" t="s">
        <v>568</v>
      </c>
      <c r="DZ20" s="295" t="s">
        <v>584</v>
      </c>
      <c r="EA20" s="292" t="s">
        <v>434</v>
      </c>
      <c r="EB20" s="293">
        <f t="shared" si="11"/>
        <v>0.82</v>
      </c>
      <c r="EC20" s="212" t="s">
        <v>392</v>
      </c>
      <c r="EE20" s="160" t="s">
        <v>568</v>
      </c>
      <c r="EF20" s="324" t="s">
        <v>584</v>
      </c>
      <c r="EG20" s="322" t="s">
        <v>434</v>
      </c>
      <c r="EH20" s="160">
        <f>$O$13*$Z$37*$AP$7</f>
        <v>0.70181316857646781</v>
      </c>
      <c r="EI20" s="160" t="s">
        <v>392</v>
      </c>
    </row>
    <row r="21" spans="1:139" ht="15" customHeight="1" thickTop="1" thickBot="1" x14ac:dyDescent="0.3">
      <c r="A21" s="220"/>
      <c r="B21" s="221"/>
      <c r="C21" s="221"/>
      <c r="D21" s="226" t="s">
        <v>86</v>
      </c>
      <c r="E21" s="231"/>
      <c r="F21" s="239">
        <f>G4/B6</f>
        <v>0.15223214285714287</v>
      </c>
      <c r="G21" s="231"/>
      <c r="H21" s="222"/>
      <c r="I21" s="221"/>
      <c r="K21" t="s">
        <v>84</v>
      </c>
      <c r="L21" s="250">
        <v>0</v>
      </c>
      <c r="M21" s="251">
        <v>2</v>
      </c>
      <c r="N21" s="251" t="s">
        <v>54</v>
      </c>
      <c r="O21" s="252">
        <f>H10</f>
        <v>4.05</v>
      </c>
      <c r="P21" s="253" t="s">
        <v>26</v>
      </c>
      <c r="Q21" s="30">
        <f t="shared" si="6"/>
        <v>3.5</v>
      </c>
      <c r="R21" s="30">
        <f t="shared" si="7"/>
        <v>14.174999999999999</v>
      </c>
      <c r="S21" s="30">
        <f t="shared" si="16"/>
        <v>0</v>
      </c>
      <c r="T21" s="30">
        <f t="shared" si="17"/>
        <v>0</v>
      </c>
      <c r="U21" s="30">
        <f t="shared" si="18"/>
        <v>0</v>
      </c>
      <c r="V21" s="31"/>
      <c r="W21" s="3"/>
      <c r="X21" s="260" t="s">
        <v>85</v>
      </c>
      <c r="Y21" s="261"/>
      <c r="Z21" s="262" t="s">
        <v>21</v>
      </c>
      <c r="AA21" s="263">
        <f>(1/(1/8+SUM(AD23:AD25)+1/8))</f>
        <v>1.7363344051446945</v>
      </c>
      <c r="AB21" s="261" t="s">
        <v>5</v>
      </c>
      <c r="AC21" s="261"/>
      <c r="AD21" s="261" t="s">
        <v>22</v>
      </c>
      <c r="AE21" s="264">
        <f>SUM(AE23:AE26)</f>
        <v>197400.00000000003</v>
      </c>
      <c r="AF21" s="14" t="s">
        <v>23</v>
      </c>
      <c r="AG21" s="14">
        <f>SUM(AE23:AE25)</f>
        <v>197400.00000000003</v>
      </c>
      <c r="AH21" s="14"/>
      <c r="AM21" s="154" t="s">
        <v>389</v>
      </c>
      <c r="AN21" s="81" t="s">
        <v>390</v>
      </c>
      <c r="AO21" s="81" t="s">
        <v>406</v>
      </c>
      <c r="AP21" s="81">
        <f>2*AA21*O27+R30</f>
        <v>286.53877828714622</v>
      </c>
      <c r="AQ21" s="81" t="s">
        <v>392</v>
      </c>
      <c r="AR21" s="204">
        <v>1380</v>
      </c>
      <c r="AV21" s="205" t="s">
        <v>389</v>
      </c>
      <c r="AW21" s="205" t="s">
        <v>390</v>
      </c>
      <c r="AX21" s="205" t="s">
        <v>406</v>
      </c>
      <c r="AY21" s="207" t="s">
        <v>434</v>
      </c>
      <c r="AZ21" s="206">
        <f t="shared" si="3"/>
        <v>487</v>
      </c>
      <c r="BA21" s="205" t="s">
        <v>392</v>
      </c>
      <c r="BD21" s="81"/>
      <c r="BE21" s="81"/>
      <c r="BF21" s="81"/>
      <c r="BG21" s="81"/>
      <c r="BH21" s="81"/>
      <c r="BI21" s="81"/>
      <c r="BJ21" s="81" t="s">
        <v>452</v>
      </c>
      <c r="BK21" s="204">
        <f>BG27</f>
        <v>1336649.5999999999</v>
      </c>
      <c r="BQ21" s="154" t="s">
        <v>389</v>
      </c>
      <c r="BR21" s="81" t="s">
        <v>390</v>
      </c>
      <c r="BS21" s="81" t="s">
        <v>406</v>
      </c>
      <c r="BT21" s="204">
        <f>2*O27*1/(1/3.5+SUM(AD23:AD25)/2)</f>
        <v>294.65341981132082</v>
      </c>
      <c r="BU21" s="81" t="s">
        <v>392</v>
      </c>
      <c r="BV21" s="204">
        <v>1380</v>
      </c>
      <c r="BX21" t="s">
        <v>461</v>
      </c>
      <c r="BY21">
        <f>AVERAGE(SUM(O6:O9),O14)*(1/(1/8+SUM(AD42:AD43)/2+SUM(AD18:AD19)/2))</f>
        <v>275.10437956204385</v>
      </c>
      <c r="BZ21" s="211">
        <f>CC30</f>
        <v>487</v>
      </c>
      <c r="CA21" s="211"/>
      <c r="CB21" s="81" t="s">
        <v>479</v>
      </c>
      <c r="CC21" s="204">
        <v>-14.4</v>
      </c>
      <c r="CD21" s="204">
        <v>199</v>
      </c>
      <c r="CH21" s="81" t="s">
        <v>293</v>
      </c>
      <c r="CI21" s="204">
        <v>28700000</v>
      </c>
      <c r="CJ21" s="204">
        <v>324000</v>
      </c>
      <c r="CK21">
        <v>88.56</v>
      </c>
      <c r="CL21" t="s">
        <v>505</v>
      </c>
      <c r="CM21" s="81"/>
      <c r="CN21" s="81" t="s">
        <v>478</v>
      </c>
      <c r="CO21" s="204">
        <v>-15.5</v>
      </c>
      <c r="CP21" s="204">
        <v>201</v>
      </c>
      <c r="CQ21" s="81">
        <v>-0.08</v>
      </c>
      <c r="CR21" s="81">
        <v>0.93799999999999994</v>
      </c>
      <c r="CS21" s="81"/>
      <c r="CT21" s="81"/>
      <c r="CV21" s="212" t="s">
        <v>506</v>
      </c>
      <c r="CW21" s="81" t="s">
        <v>394</v>
      </c>
      <c r="CX21" s="204">
        <v>0.14000000000000001</v>
      </c>
      <c r="CY21" s="204">
        <v>2.1799999999999999E-6</v>
      </c>
      <c r="CZ21" s="81">
        <v>64312</v>
      </c>
      <c r="DA21" s="81" t="s">
        <v>505</v>
      </c>
      <c r="DB21" s="81" t="s">
        <v>510</v>
      </c>
      <c r="DF21" s="81" t="s">
        <v>389</v>
      </c>
      <c r="DG21" s="81" t="s">
        <v>390</v>
      </c>
      <c r="DH21" s="81" t="str">
        <f t="shared" si="13"/>
        <v>CiD</v>
      </c>
      <c r="DI21" s="81" t="s">
        <v>434</v>
      </c>
      <c r="DJ21" s="204">
        <f t="shared" si="14"/>
        <v>2700000</v>
      </c>
      <c r="DK21" s="81" t="s">
        <v>392</v>
      </c>
      <c r="DL21" s="81" t="s">
        <v>407</v>
      </c>
      <c r="DM21" s="289">
        <f t="shared" si="0"/>
        <v>142.0714783244033</v>
      </c>
      <c r="DN21" s="289">
        <f t="shared" si="1"/>
        <v>259</v>
      </c>
      <c r="DO21" s="289">
        <f t="shared" si="2"/>
        <v>274</v>
      </c>
      <c r="DQ21" s="290" t="s">
        <v>506</v>
      </c>
      <c r="DR21" s="290" t="s">
        <v>412</v>
      </c>
      <c r="DS21" s="291">
        <v>4.6700000000000002E-6</v>
      </c>
      <c r="DT21" s="291">
        <v>5.3700000000000003E-6</v>
      </c>
      <c r="DU21" s="290">
        <v>0.87</v>
      </c>
      <c r="DV21" s="290">
        <v>0.38457999999999998</v>
      </c>
      <c r="DX21" s="81"/>
      <c r="DY21" s="212" t="s">
        <v>568</v>
      </c>
      <c r="DZ21" s="295" t="s">
        <v>585</v>
      </c>
      <c r="EA21" s="292" t="s">
        <v>434</v>
      </c>
      <c r="EB21" s="293">
        <f t="shared" si="11"/>
        <v>0.17</v>
      </c>
      <c r="EC21" s="212" t="s">
        <v>392</v>
      </c>
      <c r="EE21" s="160" t="s">
        <v>568</v>
      </c>
      <c r="EF21" s="324" t="s">
        <v>585</v>
      </c>
      <c r="EG21" s="322" t="s">
        <v>434</v>
      </c>
      <c r="EH21" s="160">
        <f>$O$11*$Z$37*$AP$42</f>
        <v>0.41407608641032828</v>
      </c>
      <c r="EI21" s="160" t="s">
        <v>392</v>
      </c>
    </row>
    <row r="22" spans="1:139" ht="15" customHeight="1" thickTop="1" thickBot="1" x14ac:dyDescent="0.3">
      <c r="A22" s="237"/>
      <c r="B22" s="219"/>
      <c r="C22" s="219"/>
      <c r="D22" s="220" t="s">
        <v>88</v>
      </c>
      <c r="E22" s="221"/>
      <c r="F22" s="227">
        <f>G4/B26</f>
        <v>8.3170731707317078E-2</v>
      </c>
      <c r="G22" s="221"/>
      <c r="H22" s="222"/>
      <c r="I22" s="221"/>
      <c r="K22" t="s">
        <v>87</v>
      </c>
      <c r="L22" s="250">
        <v>0</v>
      </c>
      <c r="M22" s="251">
        <v>2</v>
      </c>
      <c r="N22" s="251" t="s">
        <v>54</v>
      </c>
      <c r="O22" s="252">
        <f>H11</f>
        <v>3.45</v>
      </c>
      <c r="P22" s="253" t="s">
        <v>39</v>
      </c>
      <c r="Q22" s="30">
        <f t="shared" si="6"/>
        <v>3.5</v>
      </c>
      <c r="R22" s="30">
        <f t="shared" si="7"/>
        <v>12.075000000000001</v>
      </c>
      <c r="S22" s="30">
        <f t="shared" si="16"/>
        <v>0</v>
      </c>
      <c r="T22" s="30">
        <f t="shared" si="17"/>
        <v>0</v>
      </c>
      <c r="U22" s="30">
        <f t="shared" si="18"/>
        <v>0</v>
      </c>
      <c r="V22" s="31"/>
      <c r="W22" s="3"/>
      <c r="X22" s="265"/>
      <c r="Y22" s="266" t="s">
        <v>27</v>
      </c>
      <c r="Z22" s="266" t="s">
        <v>28</v>
      </c>
      <c r="AA22" s="266" t="s">
        <v>29</v>
      </c>
      <c r="AB22" s="266" t="s">
        <v>30</v>
      </c>
      <c r="AC22" s="266" t="s">
        <v>31</v>
      </c>
      <c r="AD22" s="266" t="s">
        <v>32</v>
      </c>
      <c r="AE22" s="267" t="s">
        <v>33</v>
      </c>
      <c r="AF22" s="14"/>
      <c r="AG22" s="14"/>
      <c r="AH22" s="14"/>
      <c r="AM22" s="154" t="s">
        <v>389</v>
      </c>
      <c r="AN22" s="81" t="s">
        <v>390</v>
      </c>
      <c r="AO22" s="81" t="s">
        <v>407</v>
      </c>
      <c r="AP22" s="3">
        <f>'Verwarming Tabula 2zone'!B60+SUM(R10:R13)+R16</f>
        <v>142.0714783244033</v>
      </c>
      <c r="AQ22" s="81" t="s">
        <v>392</v>
      </c>
      <c r="AR22" s="204">
        <v>259</v>
      </c>
      <c r="AV22" s="205" t="s">
        <v>389</v>
      </c>
      <c r="AW22" s="205" t="s">
        <v>390</v>
      </c>
      <c r="AX22" s="205" t="s">
        <v>407</v>
      </c>
      <c r="AY22" s="207" t="s">
        <v>434</v>
      </c>
      <c r="AZ22" s="206">
        <f t="shared" si="3"/>
        <v>274</v>
      </c>
      <c r="BA22" s="205" t="s">
        <v>392</v>
      </c>
      <c r="BD22" s="81"/>
      <c r="BE22" s="81"/>
      <c r="BF22" s="81"/>
      <c r="BG22" s="81"/>
      <c r="BH22" s="81"/>
      <c r="BI22" s="81"/>
      <c r="BJ22" s="81"/>
      <c r="BK22" s="81"/>
      <c r="BQ22" s="154" t="s">
        <v>389</v>
      </c>
      <c r="BR22" s="81" t="s">
        <v>390</v>
      </c>
      <c r="BS22" s="81" t="s">
        <v>407</v>
      </c>
      <c r="BT22" s="204">
        <f t="shared" ref="BT22" si="19">AR22</f>
        <v>259</v>
      </c>
      <c r="BU22" s="81" t="s">
        <v>392</v>
      </c>
      <c r="BV22" s="204">
        <v>259</v>
      </c>
      <c r="BX22" t="s">
        <v>462</v>
      </c>
      <c r="BY22" s="81">
        <f>AVERAGE(SUM(O27),O26)*(1/(1/8+SUM(AD31:AD32)/2+SUM(AD23:AD25)/4))</f>
        <v>263.77193533902113</v>
      </c>
      <c r="BZ22" s="211">
        <f>CC31</f>
        <v>274</v>
      </c>
      <c r="CA22" s="211"/>
      <c r="CB22" s="81" t="s">
        <v>480</v>
      </c>
      <c r="CC22" s="204">
        <v>-14.1</v>
      </c>
      <c r="CD22" s="204">
        <v>189</v>
      </c>
      <c r="CH22" s="81" t="s">
        <v>476</v>
      </c>
      <c r="CI22" s="204">
        <v>-6.33</v>
      </c>
      <c r="CJ22" s="204">
        <v>8.6699999999999999E-2</v>
      </c>
      <c r="CK22">
        <v>-73.040000000000006</v>
      </c>
      <c r="CL22" t="s">
        <v>505</v>
      </c>
      <c r="CM22" s="81"/>
      <c r="CN22" s="81" t="s">
        <v>479</v>
      </c>
      <c r="CO22" s="204">
        <v>-12.1</v>
      </c>
      <c r="CP22" s="204">
        <v>79.7</v>
      </c>
      <c r="CQ22" s="81">
        <v>-0.15</v>
      </c>
      <c r="CR22" s="81">
        <v>0.879</v>
      </c>
      <c r="CS22" s="81"/>
      <c r="CT22" s="81"/>
      <c r="CV22" s="212" t="s">
        <v>506</v>
      </c>
      <c r="CW22" s="81" t="s">
        <v>412</v>
      </c>
      <c r="CX22" s="204">
        <v>0.11</v>
      </c>
      <c r="CY22" s="204">
        <v>1.72E-6</v>
      </c>
      <c r="CZ22" s="81">
        <v>64117</v>
      </c>
      <c r="DA22" s="81" t="s">
        <v>505</v>
      </c>
      <c r="DB22" s="81" t="s">
        <v>510</v>
      </c>
      <c r="DF22" s="81" t="s">
        <v>389</v>
      </c>
      <c r="DG22" s="81" t="s">
        <v>390</v>
      </c>
      <c r="DH22" s="81" t="str">
        <f t="shared" si="13"/>
        <v>CiN</v>
      </c>
      <c r="DI22" s="81" t="s">
        <v>434</v>
      </c>
      <c r="DJ22" s="204">
        <f t="shared" si="14"/>
        <v>1700000</v>
      </c>
      <c r="DK22" s="81" t="s">
        <v>392</v>
      </c>
      <c r="DL22" s="81" t="s">
        <v>408</v>
      </c>
      <c r="DM22" s="289">
        <f t="shared" si="0"/>
        <v>49.736990917918547</v>
      </c>
      <c r="DN22" s="289">
        <f t="shared" si="1"/>
        <v>123.91573729863691</v>
      </c>
      <c r="DO22" s="289">
        <f t="shared" si="2"/>
        <v>155.27950310559004</v>
      </c>
      <c r="DQ22" s="290" t="s">
        <v>506</v>
      </c>
      <c r="DR22" s="290" t="s">
        <v>548</v>
      </c>
      <c r="DS22" s="291">
        <v>6.3299999999999995E-2</v>
      </c>
      <c r="DT22" s="291">
        <v>7.2099999999999997E-2</v>
      </c>
      <c r="DU22" s="290">
        <v>0.88</v>
      </c>
      <c r="DV22" s="290">
        <v>0.38007999999999997</v>
      </c>
      <c r="DX22" s="81"/>
      <c r="DY22" s="212" t="s">
        <v>568</v>
      </c>
      <c r="DZ22" s="295" t="s">
        <v>586</v>
      </c>
      <c r="EA22" s="292" t="s">
        <v>434</v>
      </c>
      <c r="EB22" s="293">
        <f t="shared" si="11"/>
        <v>2.9899999999999998E-9</v>
      </c>
      <c r="EC22" s="212" t="s">
        <v>392</v>
      </c>
      <c r="EE22" s="160" t="s">
        <v>568</v>
      </c>
      <c r="EF22" s="324" t="s">
        <v>586</v>
      </c>
      <c r="EG22" s="322" t="s">
        <v>434</v>
      </c>
      <c r="EH22" s="160">
        <f>$O$10*$Z$37*$AP$42</f>
        <v>0.48608931882951584</v>
      </c>
      <c r="EI22" s="160" t="s">
        <v>392</v>
      </c>
    </row>
    <row r="23" spans="1:139" ht="15" customHeight="1" thickTop="1" thickBot="1" x14ac:dyDescent="0.3">
      <c r="A23" s="223" t="s">
        <v>91</v>
      </c>
      <c r="B23" s="224">
        <f>B17+B6</f>
        <v>224</v>
      </c>
      <c r="C23" s="234" t="s">
        <v>9</v>
      </c>
      <c r="D23" s="220"/>
      <c r="E23" s="221"/>
      <c r="F23" s="221"/>
      <c r="G23" s="221"/>
      <c r="H23" s="222"/>
      <c r="I23" s="221"/>
      <c r="K23" t="s">
        <v>89</v>
      </c>
      <c r="L23" s="250">
        <v>0</v>
      </c>
      <c r="M23" s="251">
        <v>2</v>
      </c>
      <c r="N23" s="251" t="s">
        <v>54</v>
      </c>
      <c r="O23" s="252">
        <f>H12</f>
        <v>4.5</v>
      </c>
      <c r="P23" s="253" t="s">
        <v>45</v>
      </c>
      <c r="Q23" s="30">
        <f t="shared" si="6"/>
        <v>3.5</v>
      </c>
      <c r="R23" s="30">
        <f t="shared" si="7"/>
        <v>15.75</v>
      </c>
      <c r="S23" s="30">
        <f t="shared" si="16"/>
        <v>0</v>
      </c>
      <c r="T23" s="30">
        <f t="shared" si="17"/>
        <v>0</v>
      </c>
      <c r="U23" s="30">
        <f t="shared" si="18"/>
        <v>0</v>
      </c>
      <c r="V23" s="31"/>
      <c r="W23" s="3"/>
      <c r="X23" s="220"/>
      <c r="Y23" s="221" t="s">
        <v>90</v>
      </c>
      <c r="Z23" s="221">
        <v>0.02</v>
      </c>
      <c r="AA23" s="221">
        <v>0.6</v>
      </c>
      <c r="AB23" s="221">
        <v>975</v>
      </c>
      <c r="AC23" s="221">
        <v>840</v>
      </c>
      <c r="AD23" s="268">
        <f>Z23/AA23</f>
        <v>3.3333333333333333E-2</v>
      </c>
      <c r="AE23" s="222">
        <f>Z23*AB23*AC23</f>
        <v>16380</v>
      </c>
      <c r="AF23" s="14"/>
      <c r="AG23" s="14"/>
      <c r="AH23" s="14"/>
      <c r="AM23" s="154" t="s">
        <v>389</v>
      </c>
      <c r="AN23" s="81" t="s">
        <v>390</v>
      </c>
      <c r="AO23" s="81" t="s">
        <v>408</v>
      </c>
      <c r="AP23" s="81">
        <f>SUM(O6:O9)*1/(SUM(AD15:AD17)+1/23)</f>
        <v>49.736990917918547</v>
      </c>
      <c r="AQ23" s="81" t="s">
        <v>392</v>
      </c>
      <c r="AR23" s="81">
        <f>1/(0.00807)</f>
        <v>123.91573729863691</v>
      </c>
      <c r="AV23" s="205" t="s">
        <v>389</v>
      </c>
      <c r="AW23" s="205" t="s">
        <v>390</v>
      </c>
      <c r="AX23" s="205" t="s">
        <v>408</v>
      </c>
      <c r="AY23" s="207" t="s">
        <v>434</v>
      </c>
      <c r="AZ23" s="206">
        <f t="shared" si="3"/>
        <v>155.27950310559004</v>
      </c>
      <c r="BA23" s="205" t="s">
        <v>392</v>
      </c>
      <c r="BD23" s="81"/>
      <c r="BE23" s="208"/>
      <c r="BF23" s="208" t="s">
        <v>453</v>
      </c>
      <c r="BG23" s="81"/>
      <c r="BH23" s="81"/>
      <c r="BI23" s="81"/>
      <c r="BJ23" s="81" t="s">
        <v>295</v>
      </c>
      <c r="BK23" s="204">
        <f>BK9+BK10+BK11+BK12+BK18</f>
        <v>119328888.30000001</v>
      </c>
      <c r="BQ23" s="154" t="s">
        <v>389</v>
      </c>
      <c r="BR23" s="81" t="s">
        <v>390</v>
      </c>
      <c r="BS23" s="81" t="s">
        <v>408</v>
      </c>
      <c r="BT23" s="204">
        <f>AR23</f>
        <v>123.91573729863691</v>
      </c>
      <c r="BU23" s="81" t="s">
        <v>392</v>
      </c>
      <c r="BV23" s="81">
        <f>1/(0.00807)</f>
        <v>123.91573729863691</v>
      </c>
      <c r="BX23" t="s">
        <v>463</v>
      </c>
      <c r="BY23" s="81">
        <f>AVERAGE(SUM(O27),O14)*(1/(1/8+SUM(AD42:AD43)/2+SUM(AD23:AD25)/4))</f>
        <v>302.36814535158095</v>
      </c>
      <c r="BZ23" s="211">
        <f>1/CC37</f>
        <v>155.27950310559004</v>
      </c>
      <c r="CA23" s="211"/>
      <c r="CB23" s="81" t="s">
        <v>481</v>
      </c>
      <c r="CC23" s="204">
        <v>6.9400000000000003E-2</v>
      </c>
      <c r="CD23" s="204">
        <v>7.76E-4</v>
      </c>
      <c r="CH23" s="81" t="s">
        <v>477</v>
      </c>
      <c r="CI23" s="204">
        <v>-24.6</v>
      </c>
      <c r="CJ23" s="204">
        <v>1360</v>
      </c>
      <c r="CK23">
        <v>-0.02</v>
      </c>
      <c r="CL23">
        <v>0.99</v>
      </c>
      <c r="CM23" s="81"/>
      <c r="CN23" s="81" t="s">
        <v>481</v>
      </c>
      <c r="CO23" s="204">
        <v>0.19700000000000001</v>
      </c>
      <c r="CP23" s="204">
        <v>1.81E-3</v>
      </c>
      <c r="CQ23" s="81">
        <v>108.63</v>
      </c>
      <c r="CR23" s="81" t="s">
        <v>509</v>
      </c>
      <c r="CS23" s="204">
        <v>2E-16</v>
      </c>
      <c r="CT23" s="81" t="s">
        <v>510</v>
      </c>
      <c r="CV23" s="212">
        <v>16</v>
      </c>
      <c r="CW23" s="81"/>
      <c r="CX23" s="81"/>
      <c r="CY23" s="81"/>
      <c r="CZ23" s="81"/>
      <c r="DA23" s="81"/>
      <c r="DB23" s="81"/>
      <c r="DF23" s="81" t="s">
        <v>389</v>
      </c>
      <c r="DG23" s="81" t="s">
        <v>390</v>
      </c>
      <c r="DH23" s="81" t="str">
        <f t="shared" si="13"/>
        <v>CwD</v>
      </c>
      <c r="DI23" s="81" t="s">
        <v>434</v>
      </c>
      <c r="DJ23" s="204">
        <f t="shared" si="14"/>
        <v>16300000</v>
      </c>
      <c r="DK23" s="81" t="s">
        <v>392</v>
      </c>
      <c r="DL23" s="81" t="s">
        <v>409</v>
      </c>
      <c r="DM23" s="289">
        <f t="shared" si="0"/>
        <v>45.874647887323945</v>
      </c>
      <c r="DN23" s="289">
        <f t="shared" si="1"/>
        <v>63.9</v>
      </c>
      <c r="DO23" s="289">
        <f t="shared" si="2"/>
        <v>58.3</v>
      </c>
      <c r="DQ23" s="290" t="s">
        <v>506</v>
      </c>
      <c r="DR23" s="290" t="s">
        <v>549</v>
      </c>
      <c r="DS23" s="291">
        <v>4.2899999999999999E-7</v>
      </c>
      <c r="DT23" s="291">
        <v>5.9299999999999998E-7</v>
      </c>
      <c r="DU23" s="290">
        <v>0.72</v>
      </c>
      <c r="DV23" s="290">
        <v>0.46964</v>
      </c>
      <c r="DX23" s="81"/>
      <c r="DY23" s="212" t="s">
        <v>568</v>
      </c>
      <c r="DZ23" s="294" t="s">
        <v>587</v>
      </c>
      <c r="EA23" s="292" t="s">
        <v>434</v>
      </c>
      <c r="EB23" s="293">
        <f t="shared" si="11"/>
        <v>0.17100000000000001</v>
      </c>
      <c r="EC23" s="212" t="s">
        <v>392</v>
      </c>
      <c r="EE23" s="160" t="s">
        <v>568</v>
      </c>
      <c r="EF23" s="323" t="s">
        <v>587</v>
      </c>
      <c r="EG23" s="322" t="s">
        <v>434</v>
      </c>
      <c r="EH23" s="160">
        <f>$O$12*$Z$37*$AP$42</f>
        <v>0.54009924314390645</v>
      </c>
      <c r="EI23" s="160" t="s">
        <v>392</v>
      </c>
    </row>
    <row r="24" spans="1:139" ht="15" customHeight="1" thickTop="1" thickBot="1" x14ac:dyDescent="0.3">
      <c r="A24" s="220" t="s">
        <v>94</v>
      </c>
      <c r="B24" s="240">
        <f>B23/B6</f>
        <v>1</v>
      </c>
      <c r="C24" s="221"/>
      <c r="D24" s="220" t="s">
        <v>95</v>
      </c>
      <c r="E24" s="221"/>
      <c r="F24" s="240">
        <f>B8/B6</f>
        <v>0.53839285714285712</v>
      </c>
      <c r="G24" s="221"/>
      <c r="H24" s="222"/>
      <c r="I24" s="221"/>
      <c r="K24" t="s">
        <v>92</v>
      </c>
      <c r="L24" s="250">
        <v>0</v>
      </c>
      <c r="M24" s="251">
        <v>2</v>
      </c>
      <c r="N24" s="251" t="s">
        <v>54</v>
      </c>
      <c r="O24" s="252">
        <f>H13</f>
        <v>5.05</v>
      </c>
      <c r="P24" s="253" t="s">
        <v>50</v>
      </c>
      <c r="Q24" s="30">
        <f t="shared" si="6"/>
        <v>3.5</v>
      </c>
      <c r="R24" s="30">
        <f t="shared" si="7"/>
        <v>17.675000000000001</v>
      </c>
      <c r="S24" s="30">
        <f t="shared" si="16"/>
        <v>0</v>
      </c>
      <c r="T24" s="30">
        <f t="shared" si="17"/>
        <v>0</v>
      </c>
      <c r="U24" s="30">
        <f t="shared" si="18"/>
        <v>0</v>
      </c>
      <c r="V24" s="31"/>
      <c r="W24" s="3"/>
      <c r="X24" s="220"/>
      <c r="Y24" s="221" t="s">
        <v>93</v>
      </c>
      <c r="Z24" s="221">
        <v>0.14000000000000001</v>
      </c>
      <c r="AA24" s="221">
        <v>0.54</v>
      </c>
      <c r="AB24" s="221">
        <v>1400</v>
      </c>
      <c r="AC24" s="221">
        <v>840</v>
      </c>
      <c r="AD24" s="268">
        <f>Z24/AA24</f>
        <v>0.25925925925925924</v>
      </c>
      <c r="AE24" s="222">
        <f>Z24*AB24*AC24</f>
        <v>164640.00000000003</v>
      </c>
      <c r="AF24" s="14"/>
      <c r="AG24" s="14"/>
      <c r="AH24" s="14"/>
      <c r="AM24" s="154" t="s">
        <v>389</v>
      </c>
      <c r="AN24" s="81" t="s">
        <v>390</v>
      </c>
      <c r="AO24" s="81" t="s">
        <v>409</v>
      </c>
      <c r="AP24" s="81">
        <f>SUM(O14)*1/(SUM(AD44:AD46)+1)</f>
        <v>45.874647887323945</v>
      </c>
      <c r="AQ24" s="81" t="s">
        <v>392</v>
      </c>
      <c r="AR24" s="204">
        <f>63.9</f>
        <v>63.9</v>
      </c>
      <c r="AV24" s="205" t="s">
        <v>389</v>
      </c>
      <c r="AW24" s="205" t="s">
        <v>390</v>
      </c>
      <c r="AX24" s="205" t="s">
        <v>409</v>
      </c>
      <c r="AY24" s="207" t="s">
        <v>434</v>
      </c>
      <c r="AZ24" s="206">
        <f t="shared" si="3"/>
        <v>58.3</v>
      </c>
      <c r="BA24" s="205" t="s">
        <v>392</v>
      </c>
      <c r="BD24" s="81"/>
      <c r="BE24" s="81"/>
      <c r="BF24" s="81" t="s">
        <v>281</v>
      </c>
      <c r="BG24" s="81">
        <f>1/(1/AP37+1/AP40)</f>
        <v>191.34953032476545</v>
      </c>
      <c r="BH24" s="81"/>
      <c r="BI24" s="81"/>
      <c r="BJ24" s="81" t="s">
        <v>122</v>
      </c>
      <c r="BK24" s="204">
        <f>BK20+BK21</f>
        <v>3241112.16</v>
      </c>
      <c r="BQ24" s="154" t="s">
        <v>389</v>
      </c>
      <c r="BR24" s="81" t="s">
        <v>390</v>
      </c>
      <c r="BS24" s="81" t="s">
        <v>409</v>
      </c>
      <c r="BT24" s="204">
        <f>AR24</f>
        <v>63.9</v>
      </c>
      <c r="BU24" s="81" t="s">
        <v>392</v>
      </c>
      <c r="BV24" s="204">
        <f>63.9</f>
        <v>63.9</v>
      </c>
      <c r="BX24" t="s">
        <v>464</v>
      </c>
      <c r="BY24">
        <f>AVERAGE(SUM(O26),O14)*(1/(1/8+SUM(AD42:AD43)/2+SUM(AD31:AD32)/4))</f>
        <v>396.73529411764707</v>
      </c>
      <c r="BZ24" s="211">
        <f>CC40</f>
        <v>58.3</v>
      </c>
      <c r="CA24" s="211"/>
      <c r="CB24" s="81" t="s">
        <v>482</v>
      </c>
      <c r="CC24" s="204">
        <v>0.14099999999999999</v>
      </c>
      <c r="CD24" s="204">
        <v>9.4499999999999998E-4</v>
      </c>
      <c r="CH24" s="81" t="s">
        <v>478</v>
      </c>
      <c r="CI24" s="204">
        <v>-13.1</v>
      </c>
      <c r="CJ24" s="204">
        <v>157</v>
      </c>
      <c r="CK24">
        <v>-0.08</v>
      </c>
      <c r="CL24">
        <v>0.93</v>
      </c>
      <c r="CM24" s="81"/>
      <c r="CN24" s="81" t="s">
        <v>482</v>
      </c>
      <c r="CO24" s="204">
        <v>4.9399999999999999E-2</v>
      </c>
      <c r="CP24" s="204">
        <v>3.4299999999999999E-4</v>
      </c>
      <c r="CQ24" s="81">
        <v>144.25</v>
      </c>
      <c r="CR24" s="81" t="s">
        <v>509</v>
      </c>
      <c r="CS24" s="204">
        <v>2E-16</v>
      </c>
      <c r="CT24" s="81" t="s">
        <v>510</v>
      </c>
      <c r="CV24" s="212" t="s">
        <v>506</v>
      </c>
      <c r="CW24" s="81" t="s">
        <v>423</v>
      </c>
      <c r="CX24" s="204">
        <v>0.17</v>
      </c>
      <c r="CY24" s="204">
        <v>2.6400000000000001E-6</v>
      </c>
      <c r="CZ24" s="81">
        <v>64508</v>
      </c>
      <c r="DA24" s="81" t="s">
        <v>505</v>
      </c>
      <c r="DB24" s="81" t="s">
        <v>510</v>
      </c>
      <c r="DF24" s="81" t="s">
        <v>389</v>
      </c>
      <c r="DG24" s="81" t="s">
        <v>390</v>
      </c>
      <c r="DH24" s="81" t="str">
        <f t="shared" si="13"/>
        <v>CwiD</v>
      </c>
      <c r="DI24" s="81" t="s">
        <v>434</v>
      </c>
      <c r="DJ24" s="204">
        <f t="shared" si="14"/>
        <v>26200000</v>
      </c>
      <c r="DK24" s="81" t="s">
        <v>392</v>
      </c>
      <c r="DM24" s="287">
        <f t="shared" si="0"/>
        <v>0</v>
      </c>
      <c r="DN24" s="287">
        <f t="shared" si="1"/>
        <v>0</v>
      </c>
      <c r="DO24" s="287">
        <f t="shared" si="2"/>
        <v>0</v>
      </c>
      <c r="DQ24" s="290" t="s">
        <v>506</v>
      </c>
      <c r="DR24" s="290" t="s">
        <v>550</v>
      </c>
      <c r="DS24" s="291">
        <v>0.63400000000000001</v>
      </c>
      <c r="DT24" s="291">
        <v>6.28E-3</v>
      </c>
      <c r="DU24" s="290">
        <v>100.87</v>
      </c>
      <c r="DV24" s="290" t="s">
        <v>509</v>
      </c>
      <c r="DW24" s="291">
        <v>2E-16</v>
      </c>
      <c r="DX24" s="81" t="s">
        <v>510</v>
      </c>
      <c r="DY24" s="212" t="s">
        <v>568</v>
      </c>
      <c r="DZ24" s="292" t="s">
        <v>588</v>
      </c>
      <c r="EA24" s="292" t="s">
        <v>434</v>
      </c>
      <c r="EB24" s="293">
        <f t="shared" si="11"/>
        <v>0.183</v>
      </c>
      <c r="EC24" s="212" t="s">
        <v>392</v>
      </c>
      <c r="EE24" s="160" t="s">
        <v>568</v>
      </c>
      <c r="EF24" s="322" t="s">
        <v>588</v>
      </c>
      <c r="EG24" s="322" t="s">
        <v>434</v>
      </c>
      <c r="EH24" s="160">
        <f>$O$13*$Z$37*$AP$42</f>
        <v>0.60611137286149497</v>
      </c>
      <c r="EI24" s="160" t="s">
        <v>392</v>
      </c>
    </row>
    <row r="25" spans="1:139" ht="15" customHeight="1" thickTop="1" thickBot="1" x14ac:dyDescent="0.3">
      <c r="A25" s="237"/>
      <c r="B25" s="219"/>
      <c r="C25" s="219"/>
      <c r="D25" s="220"/>
      <c r="E25" s="221"/>
      <c r="F25" s="221"/>
      <c r="G25" s="221"/>
      <c r="H25" s="222"/>
      <c r="I25" s="221"/>
      <c r="K25" t="s">
        <v>96</v>
      </c>
      <c r="L25" s="250">
        <v>0</v>
      </c>
      <c r="M25" s="251">
        <v>2</v>
      </c>
      <c r="N25" s="251" t="s">
        <v>20</v>
      </c>
      <c r="O25" s="252">
        <f>'[1]Tabula data'!B7</f>
        <v>108.5</v>
      </c>
      <c r="P25" s="253" t="s">
        <v>97</v>
      </c>
      <c r="Q25" s="30">
        <f t="shared" si="6"/>
        <v>0.59974793202856758</v>
      </c>
      <c r="R25" s="30">
        <f t="shared" si="7"/>
        <v>65.072650625099584</v>
      </c>
      <c r="S25" s="30">
        <f t="shared" si="16"/>
        <v>6250381.1999999993</v>
      </c>
      <c r="T25" s="30">
        <f t="shared" si="17"/>
        <v>57607.19999999999</v>
      </c>
      <c r="U25" s="30">
        <f t="shared" si="18"/>
        <v>2376931.2000000002</v>
      </c>
      <c r="V25" s="31"/>
      <c r="W25" s="3"/>
      <c r="X25" s="237"/>
      <c r="Y25" s="219" t="s">
        <v>90</v>
      </c>
      <c r="Z25" s="219">
        <v>0.02</v>
      </c>
      <c r="AA25" s="219">
        <v>0.6</v>
      </c>
      <c r="AB25" s="219">
        <v>975</v>
      </c>
      <c r="AC25" s="219">
        <v>840</v>
      </c>
      <c r="AD25" s="269">
        <f>Z25/AA25</f>
        <v>3.3333333333333333E-2</v>
      </c>
      <c r="AE25" s="242">
        <f>Z25*AB25*AC25</f>
        <v>16380</v>
      </c>
      <c r="AF25" s="14"/>
      <c r="AG25" s="14"/>
      <c r="AH25" s="14"/>
      <c r="AQ25" s="81" t="s">
        <v>392</v>
      </c>
      <c r="AV25" s="205"/>
      <c r="AW25" s="205"/>
      <c r="AX25" s="205"/>
      <c r="AY25" s="207"/>
      <c r="BA25" s="205"/>
      <c r="BD25" s="81"/>
      <c r="BE25" s="81"/>
      <c r="BF25" s="81" t="s">
        <v>282</v>
      </c>
      <c r="BG25" s="3">
        <f>AP39</f>
        <v>94.168521675596679</v>
      </c>
      <c r="BH25" s="81"/>
      <c r="BI25" s="81"/>
      <c r="BJ25" s="81" t="s">
        <v>454</v>
      </c>
      <c r="BK25" s="204">
        <f>BK23+BK24</f>
        <v>122570000.46000001</v>
      </c>
      <c r="BT25" s="204"/>
      <c r="BU25" s="81" t="s">
        <v>392</v>
      </c>
      <c r="CB25" s="81" t="s">
        <v>483</v>
      </c>
      <c r="CC25" s="204">
        <v>0.76</v>
      </c>
      <c r="CD25" s="204">
        <v>3.9399999999999999E-3</v>
      </c>
      <c r="CH25" s="81" t="s">
        <v>479</v>
      </c>
      <c r="CI25" s="204">
        <v>-14.4</v>
      </c>
      <c r="CJ25" s="204">
        <v>199</v>
      </c>
      <c r="CK25">
        <v>-7.0000000000000007E-2</v>
      </c>
      <c r="CL25">
        <v>0.94</v>
      </c>
      <c r="CM25" s="81"/>
      <c r="CN25" s="81" t="s">
        <v>483</v>
      </c>
      <c r="CO25" s="204">
        <v>0.59799999999999998</v>
      </c>
      <c r="CP25" s="204">
        <v>1.04E-2</v>
      </c>
      <c r="CQ25" s="81">
        <v>57.36</v>
      </c>
      <c r="CR25" s="81" t="s">
        <v>509</v>
      </c>
      <c r="CS25" s="204">
        <v>2E-16</v>
      </c>
      <c r="CT25" s="81" t="s">
        <v>510</v>
      </c>
      <c r="CV25" s="212" t="s">
        <v>506</v>
      </c>
      <c r="CW25" s="81" t="s">
        <v>424</v>
      </c>
      <c r="CX25" s="204">
        <v>0.34</v>
      </c>
      <c r="CY25" s="204">
        <v>5.1800000000000004E-6</v>
      </c>
      <c r="CZ25" s="81">
        <v>65643</v>
      </c>
      <c r="DA25" s="81" t="s">
        <v>505</v>
      </c>
      <c r="DB25" s="81" t="s">
        <v>510</v>
      </c>
      <c r="DF25" s="81" t="s">
        <v>389</v>
      </c>
      <c r="DG25" s="81" t="s">
        <v>390</v>
      </c>
      <c r="DH25" s="81" t="str">
        <f t="shared" si="13"/>
        <v>CwiN</v>
      </c>
      <c r="DI25" s="81" t="s">
        <v>434</v>
      </c>
      <c r="DJ25" s="204">
        <f t="shared" si="14"/>
        <v>5730000</v>
      </c>
      <c r="DK25" s="81" t="s">
        <v>392</v>
      </c>
      <c r="DL25" s="81" t="s">
        <v>410</v>
      </c>
      <c r="DM25" s="286">
        <f t="shared" si="0"/>
        <v>0.38489140593539711</v>
      </c>
      <c r="DN25" s="286">
        <f t="shared" si="1"/>
        <v>0.41399999999999998</v>
      </c>
      <c r="DO25" s="286">
        <f t="shared" si="2"/>
        <v>0.44800000000000001</v>
      </c>
      <c r="DQ25" s="290" t="s">
        <v>506</v>
      </c>
      <c r="DR25" s="290" t="s">
        <v>551</v>
      </c>
      <c r="DS25" s="291">
        <v>6.2600000000000003E-2</v>
      </c>
      <c r="DT25" s="291">
        <v>1.8599999999999998E-2</v>
      </c>
      <c r="DU25" s="290">
        <v>3.37</v>
      </c>
      <c r="DV25" s="290">
        <v>7.6000000000000004E-4</v>
      </c>
      <c r="DW25" s="290" t="s">
        <v>510</v>
      </c>
      <c r="DX25" s="81"/>
      <c r="EA25" s="292"/>
      <c r="EE25" s="160"/>
      <c r="EF25" s="160"/>
      <c r="EG25" s="322"/>
      <c r="EH25" s="160"/>
      <c r="EI25" s="160"/>
    </row>
    <row r="26" spans="1:139" ht="15" customHeight="1" thickTop="1" thickBot="1" x14ac:dyDescent="0.3">
      <c r="A26" s="223" t="s">
        <v>100</v>
      </c>
      <c r="B26" s="241">
        <f>'Tabula data'!B6</f>
        <v>410</v>
      </c>
      <c r="C26" s="235" t="s">
        <v>9</v>
      </c>
      <c r="D26" s="220"/>
      <c r="E26" s="221"/>
      <c r="F26" s="221"/>
      <c r="G26" s="221"/>
      <c r="H26" s="222"/>
      <c r="I26" s="221"/>
      <c r="K26" t="s">
        <v>98</v>
      </c>
      <c r="L26" s="250">
        <v>1</v>
      </c>
      <c r="M26" s="251">
        <v>2</v>
      </c>
      <c r="N26" s="251" t="s">
        <v>99</v>
      </c>
      <c r="O26" s="252">
        <f>'[1]Tabula data'!B4-'[1]Tabula data'!B14</f>
        <v>89.300000000000011</v>
      </c>
      <c r="P26" s="253"/>
      <c r="Q26" s="30">
        <f t="shared" si="6"/>
        <v>1.4549653579676673</v>
      </c>
      <c r="R26" s="30">
        <f t="shared" si="7"/>
        <v>129.92840646651271</v>
      </c>
      <c r="S26" s="30">
        <f t="shared" si="16"/>
        <v>41572722.000000007</v>
      </c>
      <c r="T26" s="30">
        <f t="shared" si="17"/>
        <v>465540</v>
      </c>
      <c r="U26" s="30">
        <f t="shared" si="18"/>
        <v>41572722.000000007</v>
      </c>
      <c r="V26" s="31"/>
      <c r="W26" s="3"/>
      <c r="X26" s="258"/>
      <c r="Y26" s="258"/>
      <c r="Z26" s="258"/>
      <c r="AA26" s="258"/>
      <c r="AB26" s="258"/>
      <c r="AC26" s="258"/>
      <c r="AD26" s="258"/>
      <c r="AE26" s="258"/>
      <c r="AF26" s="14"/>
      <c r="AG26" s="14"/>
      <c r="AH26" s="14"/>
      <c r="AM26" s="154" t="s">
        <v>389</v>
      </c>
      <c r="AN26" s="81" t="s">
        <v>390</v>
      </c>
      <c r="AO26" s="81" t="s">
        <v>410</v>
      </c>
      <c r="AP26" s="81">
        <f>SUM(O17:O20,O25)/SUM(O$17:O$25,2*O$28,O$26,$O$31)</f>
        <v>0.38489140593539711</v>
      </c>
      <c r="AQ26" s="81" t="s">
        <v>392</v>
      </c>
      <c r="AR26" s="204">
        <v>0.41399999999999998</v>
      </c>
      <c r="AV26" s="205" t="s">
        <v>389</v>
      </c>
      <c r="AW26" s="205" t="s">
        <v>390</v>
      </c>
      <c r="AX26" s="205" t="s">
        <v>410</v>
      </c>
      <c r="AY26" s="207" t="s">
        <v>434</v>
      </c>
      <c r="AZ26" s="206">
        <f t="shared" si="3"/>
        <v>0.44800000000000001</v>
      </c>
      <c r="BA26" s="205" t="s">
        <v>392</v>
      </c>
      <c r="BD26" s="81"/>
      <c r="BE26" s="81"/>
      <c r="BF26" s="81" t="s">
        <v>295</v>
      </c>
      <c r="BG26" s="204">
        <f>AP31+AP32</f>
        <v>27925619.100000005</v>
      </c>
      <c r="BH26" s="81"/>
      <c r="BI26" s="81"/>
      <c r="BJ26" s="81"/>
      <c r="BK26" s="81"/>
      <c r="BQ26" s="154" t="s">
        <v>389</v>
      </c>
      <c r="BR26" s="81" t="s">
        <v>390</v>
      </c>
      <c r="BS26" s="81" t="s">
        <v>410</v>
      </c>
      <c r="BT26" s="204">
        <f t="shared" ref="BT26:BT50" si="20">AR26</f>
        <v>0.41399999999999998</v>
      </c>
      <c r="BU26" s="81" t="s">
        <v>392</v>
      </c>
      <c r="BV26" s="204">
        <v>0.41399999999999998</v>
      </c>
      <c r="BZ26" s="211">
        <f>CO11</f>
        <v>0.44800000000000001</v>
      </c>
      <c r="CA26" s="211"/>
      <c r="CB26" s="81" t="s">
        <v>484</v>
      </c>
      <c r="CC26" s="204">
        <v>6.4100000000000004E-2</v>
      </c>
      <c r="CD26" s="204">
        <v>4.3300000000000001E-4</v>
      </c>
      <c r="CH26" s="81" t="s">
        <v>480</v>
      </c>
      <c r="CI26" s="204">
        <v>-14.1</v>
      </c>
      <c r="CJ26" s="204">
        <v>189</v>
      </c>
      <c r="CK26">
        <v>-7.0000000000000007E-2</v>
      </c>
      <c r="CL26">
        <v>0.94</v>
      </c>
      <c r="CM26" s="81"/>
      <c r="CN26" s="81" t="s">
        <v>484</v>
      </c>
      <c r="CO26" s="204">
        <v>9.5100000000000004E-2</v>
      </c>
      <c r="CP26" s="204">
        <v>9.5799999999999998E-4</v>
      </c>
      <c r="CQ26" s="81">
        <v>99.29</v>
      </c>
      <c r="CR26" s="81" t="s">
        <v>509</v>
      </c>
      <c r="CS26" s="204">
        <v>2E-16</v>
      </c>
      <c r="CT26" s="81" t="s">
        <v>510</v>
      </c>
      <c r="CV26" s="212" t="s">
        <v>506</v>
      </c>
      <c r="CW26" s="81" t="s">
        <v>515</v>
      </c>
      <c r="CX26" s="204">
        <v>31500000</v>
      </c>
      <c r="CY26" s="204">
        <v>157</v>
      </c>
      <c r="CZ26" s="81">
        <v>200875</v>
      </c>
      <c r="DA26" s="81" t="s">
        <v>505</v>
      </c>
      <c r="DB26" s="81" t="s">
        <v>510</v>
      </c>
      <c r="DF26" s="81" t="s">
        <v>389</v>
      </c>
      <c r="DG26" s="81" t="s">
        <v>390</v>
      </c>
      <c r="DH26" s="81" t="str">
        <f t="shared" si="13"/>
        <v>CwN</v>
      </c>
      <c r="DI26" s="81" t="s">
        <v>434</v>
      </c>
      <c r="DJ26" s="204">
        <f t="shared" si="14"/>
        <v>5800000</v>
      </c>
      <c r="DK26" s="81" t="s">
        <v>392</v>
      </c>
      <c r="DL26" s="81" t="s">
        <v>411</v>
      </c>
      <c r="DM26" s="286">
        <f t="shared" si="0"/>
        <v>0.39456078359218633</v>
      </c>
      <c r="DN26" s="286">
        <f t="shared" si="1"/>
        <v>0.111</v>
      </c>
      <c r="DO26" s="286">
        <f t="shared" si="2"/>
        <v>0.15</v>
      </c>
      <c r="DQ26" s="290" t="s">
        <v>506</v>
      </c>
      <c r="DR26" s="290" t="s">
        <v>552</v>
      </c>
      <c r="DS26" s="291">
        <v>0.69699999999999995</v>
      </c>
      <c r="DT26" s="291">
        <v>3.9899999999999996E-3</v>
      </c>
      <c r="DU26" s="290">
        <v>174.66</v>
      </c>
      <c r="DV26" s="290" t="s">
        <v>509</v>
      </c>
      <c r="DW26" s="291">
        <v>2E-16</v>
      </c>
      <c r="DX26" s="81" t="s">
        <v>510</v>
      </c>
      <c r="DZ26" s="292"/>
      <c r="EA26" s="292"/>
      <c r="EB26" s="293"/>
      <c r="EE26" s="160"/>
      <c r="EF26" s="322"/>
      <c r="EG26" s="322"/>
      <c r="EH26" s="160"/>
      <c r="EI26" s="160"/>
    </row>
    <row r="27" spans="1:139" ht="15" customHeight="1" thickTop="1" thickBot="1" x14ac:dyDescent="0.3">
      <c r="A27" s="220"/>
      <c r="B27" s="240">
        <f>SUM(O6:O25)</f>
        <v>398.70000000000005</v>
      </c>
      <c r="C27" s="222"/>
      <c r="D27" s="220"/>
      <c r="E27" s="221"/>
      <c r="F27" s="221"/>
      <c r="G27" s="221"/>
      <c r="H27" s="222"/>
      <c r="I27" s="221"/>
      <c r="K27" t="s">
        <v>101</v>
      </c>
      <c r="L27" s="250">
        <v>1</v>
      </c>
      <c r="M27" s="251">
        <v>1</v>
      </c>
      <c r="N27" s="251" t="s">
        <v>85</v>
      </c>
      <c r="O27" s="252">
        <f>SUM(O6:O9)</f>
        <v>66.102142857142866</v>
      </c>
      <c r="P27" s="253"/>
      <c r="Q27" s="30">
        <f t="shared" si="6"/>
        <v>1.7363344051446945</v>
      </c>
      <c r="R27" s="30">
        <f t="shared" si="7"/>
        <v>114.77542489664677</v>
      </c>
      <c r="S27" s="30">
        <f t="shared" si="16"/>
        <v>13048563.000000004</v>
      </c>
      <c r="T27" s="30">
        <f t="shared" si="17"/>
        <v>197400.00000000003</v>
      </c>
      <c r="U27" s="30">
        <f t="shared" si="18"/>
        <v>13048563.000000004</v>
      </c>
      <c r="V27" s="31"/>
      <c r="W27" s="3"/>
      <c r="X27" s="260" t="s">
        <v>99</v>
      </c>
      <c r="Y27" s="261"/>
      <c r="Z27" s="262" t="s">
        <v>21</v>
      </c>
      <c r="AA27" s="263">
        <f>1/(1/10+SUM(AD29:AD32)+1/6)</f>
        <v>1.4549653579676673</v>
      </c>
      <c r="AB27" s="261" t="s">
        <v>5</v>
      </c>
      <c r="AC27" s="261"/>
      <c r="AD27" s="261" t="s">
        <v>22</v>
      </c>
      <c r="AE27" s="264">
        <f>SUM(AE29:AE33)</f>
        <v>465540</v>
      </c>
      <c r="AF27" s="14" t="s">
        <v>23</v>
      </c>
      <c r="AG27" s="14">
        <f>SUM(AE29:AE32)</f>
        <v>465540</v>
      </c>
      <c r="AH27" s="14"/>
      <c r="AM27" s="154" t="s">
        <v>389</v>
      </c>
      <c r="AN27" s="81" t="s">
        <v>390</v>
      </c>
      <c r="AO27" s="81" t="s">
        <v>411</v>
      </c>
      <c r="AP27" s="81">
        <f>SUM(2*O28,O31)/SUM(O$17:O$25,2*O$28,O$26,O$31)</f>
        <v>0.39456078359218633</v>
      </c>
      <c r="AQ27" s="81" t="s">
        <v>392</v>
      </c>
      <c r="AR27" s="204">
        <v>0.111</v>
      </c>
      <c r="AV27" s="205" t="s">
        <v>389</v>
      </c>
      <c r="AW27" s="205" t="s">
        <v>390</v>
      </c>
      <c r="AX27" s="205" t="s">
        <v>411</v>
      </c>
      <c r="AY27" s="207" t="s">
        <v>434</v>
      </c>
      <c r="AZ27" s="206">
        <f t="shared" si="3"/>
        <v>0.15</v>
      </c>
      <c r="BA27" s="205" t="s">
        <v>392</v>
      </c>
      <c r="BD27" s="81"/>
      <c r="BE27" s="81"/>
      <c r="BF27" s="81" t="s">
        <v>122</v>
      </c>
      <c r="BG27" s="204">
        <f>AP30</f>
        <v>1336649.5999999999</v>
      </c>
      <c r="BH27" s="81"/>
      <c r="BI27" s="81"/>
      <c r="BJ27" s="81" t="s">
        <v>455</v>
      </c>
      <c r="BK27" s="204">
        <v>-1000000</v>
      </c>
      <c r="BQ27" s="154" t="s">
        <v>389</v>
      </c>
      <c r="BR27" s="81" t="s">
        <v>390</v>
      </c>
      <c r="BS27" s="81" t="s">
        <v>411</v>
      </c>
      <c r="BT27" s="204">
        <f t="shared" si="20"/>
        <v>0.111</v>
      </c>
      <c r="BU27" s="81" t="s">
        <v>392</v>
      </c>
      <c r="BV27" s="204">
        <v>0.111</v>
      </c>
      <c r="BZ27" s="211">
        <f t="shared" ref="BZ27:BZ28" si="21">CO12</f>
        <v>0.15</v>
      </c>
      <c r="CA27" s="211"/>
      <c r="CB27" s="81" t="s">
        <v>485</v>
      </c>
      <c r="CC27" s="204">
        <v>5.4300000000000001E-2</v>
      </c>
      <c r="CD27" s="204">
        <v>4.44E-4</v>
      </c>
      <c r="CH27" s="81" t="s">
        <v>481</v>
      </c>
      <c r="CI27" s="204">
        <v>6.9400000000000003E-2</v>
      </c>
      <c r="CJ27" s="204">
        <v>7.76E-4</v>
      </c>
      <c r="CK27">
        <v>89.38</v>
      </c>
      <c r="CL27" t="s">
        <v>505</v>
      </c>
      <c r="CM27" s="81"/>
      <c r="CN27" s="81" t="s">
        <v>486</v>
      </c>
      <c r="CO27" s="204">
        <v>194</v>
      </c>
      <c r="CP27" s="204">
        <v>5.16</v>
      </c>
      <c r="CQ27" s="81">
        <v>37.520000000000003</v>
      </c>
      <c r="CR27" s="81" t="s">
        <v>509</v>
      </c>
      <c r="CS27" s="204">
        <v>2E-16</v>
      </c>
      <c r="CT27" s="81" t="s">
        <v>510</v>
      </c>
      <c r="CV27" s="212" t="s">
        <v>506</v>
      </c>
      <c r="CW27" s="81" t="s">
        <v>426</v>
      </c>
      <c r="CX27" s="204">
        <v>67000000</v>
      </c>
      <c r="CY27" s="204">
        <v>330</v>
      </c>
      <c r="CZ27" s="81">
        <v>203280</v>
      </c>
      <c r="DA27" s="81" t="s">
        <v>505</v>
      </c>
      <c r="DB27" s="81" t="s">
        <v>510</v>
      </c>
      <c r="DF27" s="81"/>
      <c r="DG27" s="81"/>
      <c r="DH27" s="81"/>
      <c r="DI27" s="81"/>
      <c r="DJ27" s="204"/>
      <c r="DK27" s="81"/>
      <c r="DL27" s="81" t="s">
        <v>412</v>
      </c>
      <c r="DM27" s="286">
        <f t="shared" si="0"/>
        <v>3.5358158613584399E-2</v>
      </c>
      <c r="DN27" s="286">
        <f t="shared" si="1"/>
        <v>0.251</v>
      </c>
      <c r="DO27" s="286">
        <f t="shared" si="2"/>
        <v>4.4699999999999997E-2</v>
      </c>
      <c r="DQ27" s="290" t="s">
        <v>506</v>
      </c>
      <c r="DR27" s="290" t="s">
        <v>553</v>
      </c>
      <c r="DS27" s="291">
        <v>0.82</v>
      </c>
      <c r="DT27" s="291">
        <v>6.6E-3</v>
      </c>
      <c r="DU27" s="290">
        <v>124.18</v>
      </c>
      <c r="DV27" s="290" t="s">
        <v>509</v>
      </c>
      <c r="DW27" s="291">
        <v>2E-16</v>
      </c>
      <c r="DX27" s="81" t="s">
        <v>510</v>
      </c>
      <c r="DY27" s="212" t="s">
        <v>568</v>
      </c>
      <c r="DZ27" s="292" t="s">
        <v>399</v>
      </c>
      <c r="EA27" s="292" t="s">
        <v>434</v>
      </c>
      <c r="EB27" s="293">
        <f>DS33</f>
        <v>9520000</v>
      </c>
      <c r="EC27" s="212" t="s">
        <v>392</v>
      </c>
      <c r="EE27" s="160" t="s">
        <v>568</v>
      </c>
      <c r="EF27" s="322" t="s">
        <v>399</v>
      </c>
      <c r="EG27" s="322" t="s">
        <v>434</v>
      </c>
      <c r="EH27" s="326">
        <f>$AP12</f>
        <v>11473264</v>
      </c>
      <c r="EI27" s="160" t="s">
        <v>392</v>
      </c>
    </row>
    <row r="28" spans="1:139" ht="15" customHeight="1" thickTop="1" thickBot="1" x14ac:dyDescent="0.3">
      <c r="A28" s="220"/>
      <c r="B28" s="221"/>
      <c r="C28" s="222"/>
      <c r="D28" s="220"/>
      <c r="E28" s="221"/>
      <c r="F28" s="221"/>
      <c r="G28" s="221"/>
      <c r="H28" s="222"/>
      <c r="I28" s="221"/>
      <c r="K28" t="s">
        <v>102</v>
      </c>
      <c r="L28" s="250">
        <v>2</v>
      </c>
      <c r="M28" s="251">
        <v>2</v>
      </c>
      <c r="N28" s="251" t="s">
        <v>85</v>
      </c>
      <c r="O28" s="252">
        <f>SUM(O17:O20)</f>
        <v>77.097857142857151</v>
      </c>
      <c r="P28" s="253"/>
      <c r="Q28" s="30">
        <f t="shared" si="6"/>
        <v>1.7363344051446945</v>
      </c>
      <c r="R28" s="30">
        <f t="shared" si="7"/>
        <v>133.86766192007352</v>
      </c>
      <c r="S28" s="30">
        <f t="shared" si="16"/>
        <v>15219117.000000004</v>
      </c>
      <c r="T28" s="30">
        <f t="shared" si="17"/>
        <v>197400.00000000003</v>
      </c>
      <c r="U28" s="30">
        <f t="shared" si="18"/>
        <v>15219117.000000004</v>
      </c>
      <c r="V28" s="31"/>
      <c r="W28" s="3"/>
      <c r="X28" s="265"/>
      <c r="Y28" s="266" t="s">
        <v>27</v>
      </c>
      <c r="Z28" s="266" t="s">
        <v>28</v>
      </c>
      <c r="AA28" s="266" t="s">
        <v>29</v>
      </c>
      <c r="AB28" s="266" t="s">
        <v>30</v>
      </c>
      <c r="AC28" s="266" t="s">
        <v>31</v>
      </c>
      <c r="AD28" s="266" t="s">
        <v>32</v>
      </c>
      <c r="AE28" s="267" t="s">
        <v>33</v>
      </c>
      <c r="AF28" s="14"/>
      <c r="AG28" s="14"/>
      <c r="AH28" s="14"/>
      <c r="AM28" s="154" t="s">
        <v>389</v>
      </c>
      <c r="AN28" s="81" t="s">
        <v>390</v>
      </c>
      <c r="AO28" s="81" t="s">
        <v>412</v>
      </c>
      <c r="AP28" s="81">
        <f>SUM(O21:O24)/SUM(O$17:O$25,2*O$28,O$26,O$31)</f>
        <v>3.5358158613584399E-2</v>
      </c>
      <c r="AQ28" s="81" t="s">
        <v>392</v>
      </c>
      <c r="AR28" s="204">
        <v>0.251</v>
      </c>
      <c r="AV28" s="205" t="s">
        <v>389</v>
      </c>
      <c r="AW28" s="205" t="s">
        <v>390</v>
      </c>
      <c r="AX28" s="205" t="s">
        <v>412</v>
      </c>
      <c r="AY28" s="207" t="s">
        <v>434</v>
      </c>
      <c r="AZ28" s="206">
        <f t="shared" si="3"/>
        <v>4.4699999999999997E-2</v>
      </c>
      <c r="BA28" s="205" t="s">
        <v>392</v>
      </c>
      <c r="BD28" s="81"/>
      <c r="BE28" s="81"/>
      <c r="BF28" s="81" t="s">
        <v>449</v>
      </c>
      <c r="BG28" s="204">
        <f>BG26+BG27</f>
        <v>29262268.700000007</v>
      </c>
      <c r="BH28" s="81"/>
      <c r="BI28" s="81"/>
      <c r="BJ28" s="81" t="s">
        <v>456</v>
      </c>
      <c r="BK28" s="204">
        <v>-1000000</v>
      </c>
      <c r="BQ28" s="154" t="s">
        <v>389</v>
      </c>
      <c r="BR28" s="81" t="s">
        <v>390</v>
      </c>
      <c r="BS28" s="81" t="s">
        <v>412</v>
      </c>
      <c r="BT28" s="204">
        <f t="shared" si="20"/>
        <v>0.251</v>
      </c>
      <c r="BU28" s="81" t="s">
        <v>392</v>
      </c>
      <c r="BV28" s="204">
        <v>0.251</v>
      </c>
      <c r="BZ28" s="211">
        <f t="shared" si="21"/>
        <v>4.4699999999999997E-2</v>
      </c>
      <c r="CA28" s="211"/>
      <c r="CB28" s="81" t="s">
        <v>486</v>
      </c>
      <c r="CC28" s="204">
        <v>259</v>
      </c>
      <c r="CD28" s="204">
        <v>2.63</v>
      </c>
      <c r="CH28" s="81" t="s">
        <v>482</v>
      </c>
      <c r="CI28" s="204">
        <v>0.14099999999999999</v>
      </c>
      <c r="CJ28" s="204">
        <v>9.4499999999999998E-4</v>
      </c>
      <c r="CK28">
        <v>148.78</v>
      </c>
      <c r="CL28" t="s">
        <v>505</v>
      </c>
      <c r="CM28" s="81"/>
      <c r="CN28" s="81" t="s">
        <v>285</v>
      </c>
      <c r="CO28" s="204">
        <v>83.2</v>
      </c>
      <c r="CP28" s="204">
        <v>0.88100000000000001</v>
      </c>
      <c r="CQ28" s="81">
        <v>94.5</v>
      </c>
      <c r="CR28" s="81" t="s">
        <v>509</v>
      </c>
      <c r="CS28" s="204">
        <v>2E-16</v>
      </c>
      <c r="CT28" s="81" t="s">
        <v>510</v>
      </c>
      <c r="CV28" s="212" t="s">
        <v>506</v>
      </c>
      <c r="CW28" s="81" t="s">
        <v>396</v>
      </c>
      <c r="CX28" s="204">
        <v>2700000</v>
      </c>
      <c r="CY28" s="204">
        <v>8.4600000000000009</v>
      </c>
      <c r="CZ28" s="81">
        <v>319026</v>
      </c>
      <c r="DA28" s="81" t="s">
        <v>505</v>
      </c>
      <c r="DB28" s="81" t="s">
        <v>510</v>
      </c>
      <c r="DF28" s="81"/>
      <c r="DG28" s="81"/>
      <c r="DH28" s="81"/>
      <c r="DI28" s="81"/>
      <c r="DJ28" s="204"/>
      <c r="DK28" s="81"/>
      <c r="DM28" s="287">
        <f t="shared" si="0"/>
        <v>0</v>
      </c>
      <c r="DN28" s="287">
        <f t="shared" si="1"/>
        <v>0</v>
      </c>
      <c r="DO28" s="287">
        <f t="shared" si="2"/>
        <v>0</v>
      </c>
      <c r="DQ28" s="290" t="s">
        <v>506</v>
      </c>
      <c r="DR28" s="290" t="s">
        <v>554</v>
      </c>
      <c r="DS28" s="291">
        <v>0.17</v>
      </c>
      <c r="DT28" s="291">
        <v>4.3099999999999996E-3</v>
      </c>
      <c r="DU28" s="290">
        <v>39.49</v>
      </c>
      <c r="DV28" s="290" t="s">
        <v>509</v>
      </c>
      <c r="DW28" s="291">
        <v>2E-16</v>
      </c>
      <c r="DX28" s="81" t="s">
        <v>510</v>
      </c>
      <c r="DY28" s="212" t="s">
        <v>568</v>
      </c>
      <c r="DZ28" s="295" t="s">
        <v>396</v>
      </c>
      <c r="EA28" s="292" t="s">
        <v>434</v>
      </c>
      <c r="EB28" s="293">
        <f t="shared" ref="EB28:EB30" si="22">DS34</f>
        <v>2190000</v>
      </c>
      <c r="EC28" s="212" t="s">
        <v>392</v>
      </c>
      <c r="EE28" s="160" t="s">
        <v>568</v>
      </c>
      <c r="EF28" s="324" t="s">
        <v>396</v>
      </c>
      <c r="EG28" s="322" t="s">
        <v>434</v>
      </c>
      <c r="EH28" s="326">
        <f>$AP9</f>
        <v>1904462.5600000003</v>
      </c>
      <c r="EI28" s="160" t="s">
        <v>392</v>
      </c>
    </row>
    <row r="29" spans="1:139" ht="15" customHeight="1" thickTop="1" thickBot="1" x14ac:dyDescent="0.3">
      <c r="A29" s="220"/>
      <c r="B29" s="221"/>
      <c r="C29" s="222"/>
      <c r="D29" s="220"/>
      <c r="E29" s="221"/>
      <c r="F29" s="221"/>
      <c r="G29" s="221"/>
      <c r="H29" s="222"/>
      <c r="I29" s="221"/>
      <c r="L29" s="250">
        <v>2</v>
      </c>
      <c r="M29" s="251">
        <v>2</v>
      </c>
      <c r="N29" s="251" t="s">
        <v>99</v>
      </c>
      <c r="O29" s="319">
        <f>B8-O26</f>
        <v>31.299999999999983</v>
      </c>
      <c r="P29" s="257"/>
      <c r="Q29" s="30">
        <f t="shared" ref="Q29:Q31" si="23">VLOOKUP(N29,$X$5:$AA$391,4,0)</f>
        <v>1.4549653579676673</v>
      </c>
      <c r="R29" s="30">
        <f t="shared" ref="R29:R31" si="24">Q29*O29</f>
        <v>45.540415704387961</v>
      </c>
      <c r="S29" s="30">
        <f t="shared" ref="S29:S31" si="25">VLOOKUP(N29,$X$5:$AE$391,8,0)*O29</f>
        <v>14571401.999999993</v>
      </c>
      <c r="T29" s="30">
        <f t="shared" ref="T29:T31" si="26">S29/O29</f>
        <v>465540</v>
      </c>
      <c r="U29" s="30">
        <f t="shared" ref="U29:U31" si="27">VLOOKUP(N29,$X$5:$AG$391,10,0)*O29</f>
        <v>14571401.999999993</v>
      </c>
      <c r="X29" s="271"/>
      <c r="Y29" s="272" t="s">
        <v>103</v>
      </c>
      <c r="Z29" s="272">
        <v>0.02</v>
      </c>
      <c r="AA29" s="272">
        <v>0.18</v>
      </c>
      <c r="AB29" s="272">
        <v>550</v>
      </c>
      <c r="AC29" s="272">
        <v>1880</v>
      </c>
      <c r="AD29" s="273">
        <f>Z29/AA29</f>
        <v>0.11111111111111112</v>
      </c>
      <c r="AE29" s="274">
        <f>Z29*AB29*AC29</f>
        <v>20680</v>
      </c>
      <c r="AF29" s="14" t="s">
        <v>104</v>
      </c>
      <c r="AG29" s="14"/>
      <c r="AH29" s="14"/>
      <c r="AQ29" s="81" t="s">
        <v>392</v>
      </c>
      <c r="AV29" s="205"/>
      <c r="AW29" s="205"/>
      <c r="AX29" s="205"/>
      <c r="AY29" s="207"/>
      <c r="BA29" s="205"/>
      <c r="BD29" s="81"/>
      <c r="BE29" s="81"/>
      <c r="BF29" s="81" t="s">
        <v>450</v>
      </c>
      <c r="BG29" s="3">
        <f>BG24+BG25</f>
        <v>285.5180520003621</v>
      </c>
      <c r="BH29" s="81"/>
      <c r="BI29" s="81"/>
      <c r="BJ29" s="81" t="s">
        <v>294</v>
      </c>
      <c r="BK29" s="204">
        <v>-1000000</v>
      </c>
      <c r="BT29" s="204"/>
      <c r="BU29" s="81" t="s">
        <v>392</v>
      </c>
      <c r="BZ29" s="211"/>
      <c r="CA29" s="211"/>
      <c r="CB29" s="81" t="s">
        <v>487</v>
      </c>
      <c r="CC29" s="204">
        <v>197</v>
      </c>
      <c r="CD29" s="204">
        <v>1.44</v>
      </c>
      <c r="CH29" s="81" t="s">
        <v>483</v>
      </c>
      <c r="CI29" s="204">
        <v>0.76</v>
      </c>
      <c r="CJ29" s="204">
        <v>3.9399999999999999E-3</v>
      </c>
      <c r="CK29">
        <v>192.86</v>
      </c>
      <c r="CL29" t="s">
        <v>505</v>
      </c>
      <c r="CM29" s="81"/>
      <c r="CN29" s="81" t="s">
        <v>120</v>
      </c>
      <c r="CO29" s="204">
        <v>64.400000000000006</v>
      </c>
      <c r="CP29" s="204">
        <v>1.8</v>
      </c>
      <c r="CQ29" s="81">
        <v>35.869999999999997</v>
      </c>
      <c r="CR29" s="81" t="s">
        <v>509</v>
      </c>
      <c r="CS29" s="204">
        <v>2E-16</v>
      </c>
      <c r="CT29" s="81" t="s">
        <v>510</v>
      </c>
      <c r="CV29" s="212" t="s">
        <v>506</v>
      </c>
      <c r="CW29" s="81" t="s">
        <v>413</v>
      </c>
      <c r="CX29" s="204">
        <v>1700000</v>
      </c>
      <c r="CY29" s="204">
        <v>7.17</v>
      </c>
      <c r="CZ29" s="81">
        <v>236943</v>
      </c>
      <c r="DA29" s="81" t="s">
        <v>505</v>
      </c>
      <c r="DB29" s="81" t="s">
        <v>510</v>
      </c>
      <c r="DF29" s="81"/>
      <c r="DG29" s="81"/>
      <c r="DH29" s="81"/>
      <c r="DI29" s="81"/>
      <c r="DJ29" s="204"/>
      <c r="DK29" s="81"/>
      <c r="DL29" s="81" t="s">
        <v>413</v>
      </c>
      <c r="DM29" s="288">
        <f t="shared" si="0"/>
        <v>1336649.5999999999</v>
      </c>
      <c r="DN29" s="288">
        <f t="shared" si="1"/>
        <v>1340000</v>
      </c>
      <c r="DO29" s="288">
        <f t="shared" si="2"/>
        <v>1130000</v>
      </c>
      <c r="DQ29" s="290" t="s">
        <v>506</v>
      </c>
      <c r="DR29" s="290" t="s">
        <v>424</v>
      </c>
      <c r="DS29" s="291">
        <v>2.9899999999999998E-9</v>
      </c>
      <c r="DT29" s="291">
        <v>4.5900000000000001E-9</v>
      </c>
      <c r="DU29" s="290">
        <v>0.65</v>
      </c>
      <c r="DV29" s="290">
        <v>0.51493999999999995</v>
      </c>
      <c r="DX29" s="81"/>
      <c r="DY29" s="212" t="s">
        <v>568</v>
      </c>
      <c r="DZ29" s="295" t="s">
        <v>397</v>
      </c>
      <c r="EA29" s="292" t="s">
        <v>434</v>
      </c>
      <c r="EB29" s="293">
        <f t="shared" si="22"/>
        <v>7260000</v>
      </c>
      <c r="EC29" s="212" t="s">
        <v>392</v>
      </c>
      <c r="EE29" s="160" t="s">
        <v>568</v>
      </c>
      <c r="EF29" s="324" t="s">
        <v>397</v>
      </c>
      <c r="EG29" s="322" t="s">
        <v>434</v>
      </c>
      <c r="EH29" s="326">
        <f>$AP10</f>
        <v>8856365.1000000015</v>
      </c>
      <c r="EI29" s="160" t="s">
        <v>392</v>
      </c>
    </row>
    <row r="30" spans="1:139" ht="15" customHeight="1" thickTop="1" thickBot="1" x14ac:dyDescent="0.3">
      <c r="A30" s="237"/>
      <c r="B30" s="219"/>
      <c r="C30" s="242"/>
      <c r="D30" s="237"/>
      <c r="E30" s="219"/>
      <c r="F30" s="219"/>
      <c r="G30" s="219"/>
      <c r="H30" s="242"/>
      <c r="I30" s="221"/>
      <c r="L30" s="250" t="s">
        <v>618</v>
      </c>
      <c r="M30" s="251">
        <v>1</v>
      </c>
      <c r="N30" s="251" t="s">
        <v>610</v>
      </c>
      <c r="O30" s="252">
        <f>O7</f>
        <v>30.921227867960802</v>
      </c>
      <c r="P30" s="253"/>
      <c r="Q30" s="30">
        <f t="shared" si="23"/>
        <v>1.8430034129692836</v>
      </c>
      <c r="R30" s="30">
        <f t="shared" si="24"/>
        <v>56.987928493852685</v>
      </c>
      <c r="S30" s="30">
        <f t="shared" si="25"/>
        <v>5597360.6686582649</v>
      </c>
      <c r="T30" s="30">
        <f t="shared" si="26"/>
        <v>181020.00000000003</v>
      </c>
      <c r="U30" s="30">
        <f t="shared" si="27"/>
        <v>0</v>
      </c>
      <c r="X30" s="220"/>
      <c r="Y30" s="221" t="s">
        <v>129</v>
      </c>
      <c r="Z30" s="221">
        <v>0.08</v>
      </c>
      <c r="AA30" s="221">
        <v>0.6</v>
      </c>
      <c r="AB30" s="221">
        <v>1100</v>
      </c>
      <c r="AC30" s="221">
        <v>860</v>
      </c>
      <c r="AD30" s="268">
        <f>Z30/AA30</f>
        <v>0.13333333333333333</v>
      </c>
      <c r="AE30" s="222">
        <f>Z30*AB30*AC30</f>
        <v>75680</v>
      </c>
      <c r="AF30" s="14"/>
      <c r="AG30" s="14"/>
      <c r="AH30" s="14"/>
      <c r="AM30" s="154" t="s">
        <v>389</v>
      </c>
      <c r="AN30" s="81" t="s">
        <v>390</v>
      </c>
      <c r="AO30" s="81" t="s">
        <v>413</v>
      </c>
      <c r="AP30" s="204">
        <f>B35*1.04*1012*5</f>
        <v>1336649.5999999999</v>
      </c>
      <c r="AQ30" s="81" t="s">
        <v>392</v>
      </c>
      <c r="AR30" s="204">
        <v>1340000</v>
      </c>
      <c r="AV30" s="205" t="s">
        <v>389</v>
      </c>
      <c r="AW30" s="205" t="s">
        <v>390</v>
      </c>
      <c r="AX30" s="205" t="s">
        <v>413</v>
      </c>
      <c r="AY30" s="207" t="s">
        <v>434</v>
      </c>
      <c r="AZ30" s="206">
        <f t="shared" si="3"/>
        <v>1130000</v>
      </c>
      <c r="BA30" s="205" t="s">
        <v>392</v>
      </c>
      <c r="BD30" s="81"/>
      <c r="BE30" s="81"/>
      <c r="BF30" s="81"/>
      <c r="BG30" s="81"/>
      <c r="BH30" s="81"/>
      <c r="BI30" s="81"/>
      <c r="BJ30" s="81" t="s">
        <v>301</v>
      </c>
      <c r="BK30" s="204">
        <v>-1000000</v>
      </c>
      <c r="BQ30" s="154" t="s">
        <v>389</v>
      </c>
      <c r="BR30" s="81" t="s">
        <v>390</v>
      </c>
      <c r="BS30" s="81" t="s">
        <v>413</v>
      </c>
      <c r="BT30" s="204">
        <f t="shared" si="20"/>
        <v>1340000</v>
      </c>
      <c r="BU30" s="81" t="s">
        <v>392</v>
      </c>
      <c r="BV30" s="204">
        <v>1340000</v>
      </c>
      <c r="BZ30" s="211">
        <f>CO16</f>
        <v>1130000</v>
      </c>
      <c r="CA30" s="211"/>
      <c r="CB30" s="81" t="s">
        <v>285</v>
      </c>
      <c r="CC30" s="204">
        <v>487</v>
      </c>
      <c r="CD30" s="204">
        <v>2.62</v>
      </c>
      <c r="CH30" s="81" t="s">
        <v>484</v>
      </c>
      <c r="CI30" s="204">
        <v>6.4100000000000004E-2</v>
      </c>
      <c r="CJ30" s="204">
        <v>4.3300000000000001E-4</v>
      </c>
      <c r="CK30">
        <v>148.13</v>
      </c>
      <c r="CL30" t="s">
        <v>505</v>
      </c>
      <c r="CM30" s="81"/>
      <c r="CN30" s="81" t="s">
        <v>488</v>
      </c>
      <c r="CO30" s="204">
        <v>-4.93</v>
      </c>
      <c r="CP30" s="204">
        <v>2.1999999999999999E-2</v>
      </c>
      <c r="CQ30" s="81">
        <v>-223.73</v>
      </c>
      <c r="CR30" s="81" t="s">
        <v>509</v>
      </c>
      <c r="CS30" s="204">
        <v>2E-16</v>
      </c>
      <c r="CT30" s="81" t="s">
        <v>510</v>
      </c>
      <c r="CV30" s="212" t="s">
        <v>506</v>
      </c>
      <c r="CW30" s="81" t="s">
        <v>397</v>
      </c>
      <c r="CX30" s="204">
        <v>16300000</v>
      </c>
      <c r="CY30" s="204">
        <v>47.4</v>
      </c>
      <c r="CZ30" s="81">
        <v>343884</v>
      </c>
      <c r="DA30" s="81" t="s">
        <v>505</v>
      </c>
      <c r="DB30" s="81" t="s">
        <v>510</v>
      </c>
      <c r="DF30" s="81"/>
      <c r="DG30" s="81"/>
      <c r="DH30" s="81"/>
      <c r="DI30" s="81"/>
      <c r="DJ30" s="204"/>
      <c r="DK30" s="81"/>
      <c r="DL30" s="81" t="s">
        <v>414</v>
      </c>
      <c r="DM30" s="288">
        <f t="shared" si="0"/>
        <v>12706502.100000001</v>
      </c>
      <c r="DN30" s="288">
        <f t="shared" si="1"/>
        <v>2810000</v>
      </c>
      <c r="DO30" s="288">
        <f t="shared" si="2"/>
        <v>6980000</v>
      </c>
      <c r="DQ30" s="290" t="s">
        <v>506</v>
      </c>
      <c r="DR30" s="290" t="s">
        <v>555</v>
      </c>
      <c r="DS30" s="291">
        <v>0.17100000000000001</v>
      </c>
      <c r="DT30" s="291">
        <v>3.0799999999999998E-3</v>
      </c>
      <c r="DU30" s="290">
        <v>55.45</v>
      </c>
      <c r="DV30" s="290" t="s">
        <v>509</v>
      </c>
      <c r="DW30" s="291">
        <v>2E-16</v>
      </c>
      <c r="DX30" s="81" t="s">
        <v>510</v>
      </c>
      <c r="DY30" s="212" t="s">
        <v>568</v>
      </c>
      <c r="DZ30" s="295" t="s">
        <v>398</v>
      </c>
      <c r="EA30" s="292" t="s">
        <v>434</v>
      </c>
      <c r="EB30" s="293">
        <f t="shared" si="22"/>
        <v>10700000</v>
      </c>
      <c r="EC30" s="212" t="s">
        <v>392</v>
      </c>
      <c r="EE30" s="160" t="s">
        <v>568</v>
      </c>
      <c r="EF30" s="324" t="s">
        <v>398</v>
      </c>
      <c r="EG30" s="322" t="s">
        <v>434</v>
      </c>
      <c r="EH30" s="326">
        <f>$AP11</f>
        <v>13048563.000000004</v>
      </c>
      <c r="EI30" s="160" t="s">
        <v>392</v>
      </c>
    </row>
    <row r="31" spans="1:139" ht="15" customHeight="1" thickTop="1" thickBot="1" x14ac:dyDescent="0.3">
      <c r="C31" s="81"/>
      <c r="D31" s="81"/>
      <c r="E31" s="81"/>
      <c r="F31" s="81"/>
      <c r="G31" s="81"/>
      <c r="H31" s="81"/>
      <c r="K31" s="81"/>
      <c r="L31" s="255" t="s">
        <v>618</v>
      </c>
      <c r="M31" s="256">
        <v>2</v>
      </c>
      <c r="N31" s="256" t="s">
        <v>610</v>
      </c>
      <c r="O31" s="252">
        <f>O18</f>
        <v>36.064797687389479</v>
      </c>
      <c r="P31" s="257"/>
      <c r="Q31" s="30">
        <f t="shared" si="23"/>
        <v>1.8430034129692836</v>
      </c>
      <c r="R31" s="30">
        <f t="shared" si="24"/>
        <v>66.467545225905539</v>
      </c>
      <c r="S31" s="30">
        <f t="shared" si="25"/>
        <v>6528449.6773712449</v>
      </c>
      <c r="T31" s="30">
        <f t="shared" si="26"/>
        <v>181020.00000000003</v>
      </c>
      <c r="U31" s="30">
        <f t="shared" si="27"/>
        <v>0</v>
      </c>
      <c r="X31" s="220"/>
      <c r="Y31" s="221" t="s">
        <v>131</v>
      </c>
      <c r="Z31" s="221">
        <v>0.2</v>
      </c>
      <c r="AA31" s="221">
        <v>1.4</v>
      </c>
      <c r="AB31" s="221">
        <v>2100</v>
      </c>
      <c r="AC31" s="221">
        <v>840</v>
      </c>
      <c r="AD31" s="268">
        <f>Z31/AA31</f>
        <v>0.14285714285714288</v>
      </c>
      <c r="AE31" s="222">
        <f>Z31*AB31*AC31</f>
        <v>352800</v>
      </c>
      <c r="AF31" s="14"/>
      <c r="AG31" s="14"/>
      <c r="AH31" s="14"/>
      <c r="AM31" s="154" t="s">
        <v>389</v>
      </c>
      <c r="AN31" s="81" t="s">
        <v>390</v>
      </c>
      <c r="AO31" s="81" t="s">
        <v>414</v>
      </c>
      <c r="AP31" s="204">
        <f>U25+SUM(U17:U20)</f>
        <v>12706502.100000001</v>
      </c>
      <c r="AQ31" s="81" t="s">
        <v>392</v>
      </c>
      <c r="AR31" s="204">
        <v>2810000</v>
      </c>
      <c r="AV31" s="205" t="s">
        <v>389</v>
      </c>
      <c r="AW31" s="205" t="s">
        <v>390</v>
      </c>
      <c r="AX31" s="205" t="s">
        <v>414</v>
      </c>
      <c r="AY31" s="207" t="s">
        <v>434</v>
      </c>
      <c r="AZ31" s="206">
        <f t="shared" si="3"/>
        <v>6980000</v>
      </c>
      <c r="BA31" s="205" t="s">
        <v>392</v>
      </c>
      <c r="BD31" s="81"/>
      <c r="BE31" s="81"/>
      <c r="BF31" s="81"/>
      <c r="BG31" s="81"/>
      <c r="BH31" s="81"/>
      <c r="BI31" s="81"/>
      <c r="BJ31" s="81"/>
      <c r="BK31" s="81"/>
      <c r="BQ31" s="154" t="s">
        <v>389</v>
      </c>
      <c r="BR31" s="81" t="s">
        <v>390</v>
      </c>
      <c r="BS31" s="81" t="s">
        <v>414</v>
      </c>
      <c r="BT31" s="204">
        <f t="shared" si="20"/>
        <v>2810000</v>
      </c>
      <c r="BU31" s="81" t="s">
        <v>392</v>
      </c>
      <c r="BV31" s="204">
        <v>2810000</v>
      </c>
      <c r="BZ31" s="211">
        <f>CO17</f>
        <v>6980000</v>
      </c>
      <c r="CA31" s="211"/>
      <c r="CB31" s="81" t="s">
        <v>120</v>
      </c>
      <c r="CC31" s="204">
        <v>274</v>
      </c>
      <c r="CD31" s="204">
        <v>1.37</v>
      </c>
      <c r="CH31" s="81" t="s">
        <v>485</v>
      </c>
      <c r="CI31" s="204">
        <v>5.4300000000000001E-2</v>
      </c>
      <c r="CJ31" s="204">
        <v>4.44E-4</v>
      </c>
      <c r="CK31">
        <v>122.4</v>
      </c>
      <c r="CL31" t="s">
        <v>505</v>
      </c>
      <c r="CM31" s="81"/>
      <c r="CN31" s="81" t="s">
        <v>489</v>
      </c>
      <c r="CO31" s="204">
        <v>-4.84</v>
      </c>
      <c r="CP31" s="204">
        <v>2.86E-2</v>
      </c>
      <c r="CQ31" s="81">
        <v>-169.23</v>
      </c>
      <c r="CR31" s="81" t="s">
        <v>509</v>
      </c>
      <c r="CS31" s="204">
        <v>2E-16</v>
      </c>
      <c r="CT31" s="81" t="s">
        <v>510</v>
      </c>
      <c r="CV31" s="212" t="s">
        <v>506</v>
      </c>
      <c r="CW31" s="81" t="s">
        <v>398</v>
      </c>
      <c r="CX31" s="204">
        <v>26200000</v>
      </c>
      <c r="CY31" s="204">
        <v>77.599999999999994</v>
      </c>
      <c r="CZ31" s="81">
        <v>337769</v>
      </c>
      <c r="DA31" s="81" t="s">
        <v>505</v>
      </c>
      <c r="DB31" s="81" t="s">
        <v>510</v>
      </c>
      <c r="DF31" s="81" t="s">
        <v>389</v>
      </c>
      <c r="DG31" s="81" t="s">
        <v>390</v>
      </c>
      <c r="DH31" s="81" t="str">
        <f t="shared" si="13"/>
        <v>f1D</v>
      </c>
      <c r="DI31" s="81" t="s">
        <v>434</v>
      </c>
      <c r="DJ31" s="204">
        <f t="shared" si="14"/>
        <v>0.06</v>
      </c>
      <c r="DK31" s="81" t="s">
        <v>392</v>
      </c>
      <c r="DL31" s="81" t="s">
        <v>415</v>
      </c>
      <c r="DM31" s="288">
        <f t="shared" si="0"/>
        <v>15219117.000000004</v>
      </c>
      <c r="DN31" s="288">
        <f t="shared" si="1"/>
        <v>5640000</v>
      </c>
      <c r="DO31" s="288">
        <f t="shared" si="2"/>
        <v>11000000</v>
      </c>
      <c r="DQ31" s="290" t="s">
        <v>506</v>
      </c>
      <c r="DR31" s="290" t="s">
        <v>556</v>
      </c>
      <c r="DS31" s="291">
        <v>0.183</v>
      </c>
      <c r="DT31" s="291">
        <v>4.45E-3</v>
      </c>
      <c r="DU31" s="290">
        <v>41.04</v>
      </c>
      <c r="DV31" s="290" t="s">
        <v>509</v>
      </c>
      <c r="DW31" s="291">
        <v>2E-16</v>
      </c>
      <c r="DX31" s="81" t="s">
        <v>510</v>
      </c>
      <c r="EA31" s="292"/>
      <c r="EE31" s="160"/>
      <c r="EF31" s="160"/>
      <c r="EG31" s="322"/>
      <c r="EH31" s="160"/>
      <c r="EI31" s="160"/>
    </row>
    <row r="32" spans="1:139" ht="15" customHeight="1" thickTop="1" thickBot="1" x14ac:dyDescent="0.3">
      <c r="C32" s="81"/>
      <c r="D32" s="81"/>
      <c r="E32" s="81"/>
      <c r="F32" s="81"/>
      <c r="G32" s="81"/>
      <c r="H32" s="81"/>
      <c r="K32" s="81"/>
      <c r="L32"/>
      <c r="M32"/>
      <c r="N32"/>
      <c r="Q32" s="69" t="s">
        <v>106</v>
      </c>
      <c r="R32" s="70">
        <f>SUM(R7:R10)+SUM(R11:R14)+0.5*R15+R17+SUM(R18:R25)+R26</f>
        <v>458.31203767824388</v>
      </c>
      <c r="S32" s="69" t="s">
        <v>107</v>
      </c>
      <c r="X32" s="237"/>
      <c r="Y32" s="219" t="s">
        <v>80</v>
      </c>
      <c r="Z32" s="219">
        <v>0.02</v>
      </c>
      <c r="AA32" s="219">
        <v>0.6</v>
      </c>
      <c r="AB32" s="219">
        <v>975</v>
      </c>
      <c r="AC32" s="219">
        <v>840</v>
      </c>
      <c r="AD32" s="269">
        <f>Z32/AA32</f>
        <v>3.3333333333333333E-2</v>
      </c>
      <c r="AE32" s="242">
        <f>Z32*AB32*AC32</f>
        <v>16380</v>
      </c>
      <c r="AF32" s="14"/>
      <c r="AG32" s="14"/>
      <c r="AH32" s="14"/>
      <c r="AM32" s="154" t="s">
        <v>389</v>
      </c>
      <c r="AN32" s="81" t="s">
        <v>390</v>
      </c>
      <c r="AO32" s="81" t="s">
        <v>415</v>
      </c>
      <c r="AP32" s="204">
        <f>SUM(U28,U31)</f>
        <v>15219117.000000004</v>
      </c>
      <c r="AQ32" s="81" t="s">
        <v>392</v>
      </c>
      <c r="AR32" s="204">
        <v>5640000</v>
      </c>
      <c r="AV32" s="205" t="s">
        <v>389</v>
      </c>
      <c r="AW32" s="205" t="s">
        <v>390</v>
      </c>
      <c r="AX32" s="205" t="s">
        <v>415</v>
      </c>
      <c r="AY32" s="207" t="s">
        <v>434</v>
      </c>
      <c r="AZ32" s="206">
        <f t="shared" si="3"/>
        <v>11000000</v>
      </c>
      <c r="BA32" s="205" t="s">
        <v>392</v>
      </c>
      <c r="BD32" s="81"/>
      <c r="BE32" s="81"/>
      <c r="BF32" s="81"/>
      <c r="BG32" s="81"/>
      <c r="BH32" s="81"/>
      <c r="BI32" s="81"/>
      <c r="BJ32" s="81" t="s">
        <v>281</v>
      </c>
      <c r="BK32" s="81">
        <f>BK4+BK5</f>
        <v>230.87124900352376</v>
      </c>
      <c r="BQ32" s="154" t="s">
        <v>389</v>
      </c>
      <c r="BR32" s="81" t="s">
        <v>390</v>
      </c>
      <c r="BS32" s="81" t="s">
        <v>415</v>
      </c>
      <c r="BT32" s="204">
        <f t="shared" si="20"/>
        <v>5640000</v>
      </c>
      <c r="BU32" s="81" t="s">
        <v>392</v>
      </c>
      <c r="BV32" s="204">
        <v>5640000</v>
      </c>
      <c r="BZ32" s="211">
        <f>CO18</f>
        <v>11000000</v>
      </c>
      <c r="CA32" s="211"/>
      <c r="CB32" s="81" t="s">
        <v>488</v>
      </c>
      <c r="CC32" s="204">
        <v>-5.75</v>
      </c>
      <c r="CD32" s="204">
        <v>2.35E-2</v>
      </c>
      <c r="CH32" s="81" t="s">
        <v>486</v>
      </c>
      <c r="CI32" s="204">
        <v>259</v>
      </c>
      <c r="CJ32" s="204">
        <v>2.63</v>
      </c>
      <c r="CK32">
        <v>98.59</v>
      </c>
      <c r="CL32" t="s">
        <v>505</v>
      </c>
      <c r="CM32" s="81"/>
      <c r="CN32" s="81"/>
      <c r="CO32" s="81"/>
      <c r="CP32" s="81"/>
      <c r="CQ32" s="81"/>
      <c r="CR32" s="81"/>
      <c r="CS32" s="81"/>
      <c r="CT32" s="81"/>
      <c r="CV32" s="212" t="s">
        <v>506</v>
      </c>
      <c r="CW32" s="81" t="s">
        <v>415</v>
      </c>
      <c r="CX32" s="204">
        <v>5730000</v>
      </c>
      <c r="CY32" s="204">
        <v>26.3</v>
      </c>
      <c r="CZ32" s="81">
        <v>218218</v>
      </c>
      <c r="DA32" s="81" t="s">
        <v>505</v>
      </c>
      <c r="DB32" s="81" t="s">
        <v>510</v>
      </c>
      <c r="DF32" s="81" t="s">
        <v>389</v>
      </c>
      <c r="DG32" s="81" t="s">
        <v>390</v>
      </c>
      <c r="DH32" s="81" t="str">
        <f t="shared" si="13"/>
        <v>f1N</v>
      </c>
      <c r="DI32" s="81" t="s">
        <v>434</v>
      </c>
      <c r="DJ32" s="204">
        <f t="shared" si="14"/>
        <v>0.16</v>
      </c>
      <c r="DK32" s="81" t="s">
        <v>392</v>
      </c>
      <c r="DL32" s="81" t="s">
        <v>416</v>
      </c>
      <c r="DM32" s="286">
        <f t="shared" si="0"/>
        <v>7.6978281187079431E-2</v>
      </c>
      <c r="DN32" s="286">
        <f t="shared" si="1"/>
        <v>0.33200000000000002</v>
      </c>
      <c r="DO32" s="286">
        <f t="shared" si="2"/>
        <v>0.19700000000000001</v>
      </c>
      <c r="DQ32" s="290" t="s">
        <v>506</v>
      </c>
      <c r="DR32" s="290" t="s">
        <v>298</v>
      </c>
      <c r="DS32" s="291">
        <v>341000000</v>
      </c>
      <c r="DT32" s="291">
        <v>14000000</v>
      </c>
      <c r="DU32" s="290">
        <v>24.36</v>
      </c>
      <c r="DV32" s="290" t="s">
        <v>509</v>
      </c>
      <c r="DW32" s="291">
        <v>2E-16</v>
      </c>
      <c r="DX32" s="81" t="s">
        <v>510</v>
      </c>
      <c r="DY32" s="212" t="s">
        <v>568</v>
      </c>
      <c r="DZ32" s="295" t="s">
        <v>404</v>
      </c>
      <c r="EA32" s="292" t="s">
        <v>434</v>
      </c>
      <c r="EB32" s="293">
        <f>DS47</f>
        <v>105</v>
      </c>
      <c r="EC32" s="212" t="s">
        <v>392</v>
      </c>
      <c r="EE32" s="160" t="s">
        <v>568</v>
      </c>
      <c r="EF32" s="324" t="s">
        <v>404</v>
      </c>
      <c r="EG32" s="322" t="s">
        <v>434</v>
      </c>
      <c r="EH32" s="160">
        <f>$AP19</f>
        <v>192.42672314208707</v>
      </c>
      <c r="EI32" s="160" t="s">
        <v>392</v>
      </c>
    </row>
    <row r="33" spans="1:139" ht="15" customHeight="1" thickTop="1" thickBot="1" x14ac:dyDescent="0.3">
      <c r="A33" s="72" t="s">
        <v>109</v>
      </c>
      <c r="B33" s="72" t="s">
        <v>110</v>
      </c>
      <c r="C33" s="72"/>
      <c r="D33" s="72" t="s">
        <v>111</v>
      </c>
      <c r="E33" s="344" t="s">
        <v>112</v>
      </c>
      <c r="F33" s="345"/>
      <c r="G33" s="72" t="s">
        <v>113</v>
      </c>
      <c r="H33" s="81"/>
      <c r="K33" s="81"/>
      <c r="L33"/>
      <c r="M33"/>
      <c r="N33"/>
      <c r="Q33"/>
      <c r="R33" s="30">
        <f>G4*Z37</f>
        <v>20.119</v>
      </c>
      <c r="X33" s="221"/>
      <c r="Y33" s="221"/>
      <c r="Z33" s="221"/>
      <c r="AA33" s="221"/>
      <c r="AB33" s="221"/>
      <c r="AC33" s="221"/>
      <c r="AD33" s="268"/>
      <c r="AE33" s="221"/>
      <c r="AF33" s="14"/>
      <c r="AG33" s="14"/>
      <c r="AH33" s="14"/>
      <c r="AM33" s="154" t="s">
        <v>389</v>
      </c>
      <c r="AN33" s="81" t="s">
        <v>390</v>
      </c>
      <c r="AO33" s="81" t="s">
        <v>416</v>
      </c>
      <c r="AP33" s="81">
        <f>AP26*0.2</f>
        <v>7.6978281187079431E-2</v>
      </c>
      <c r="AQ33" s="81" t="s">
        <v>392</v>
      </c>
      <c r="AR33" s="204">
        <v>0.33200000000000002</v>
      </c>
      <c r="AV33" s="205" t="s">
        <v>389</v>
      </c>
      <c r="AW33" s="205" t="s">
        <v>390</v>
      </c>
      <c r="AX33" s="205" t="s">
        <v>416</v>
      </c>
      <c r="AY33" s="207" t="s">
        <v>434</v>
      </c>
      <c r="AZ33" s="206">
        <f t="shared" si="3"/>
        <v>0.19700000000000001</v>
      </c>
      <c r="BA33" s="205" t="s">
        <v>392</v>
      </c>
      <c r="BD33" s="81"/>
      <c r="BE33" s="81"/>
      <c r="BF33" s="81"/>
      <c r="BG33" s="81"/>
      <c r="BH33" s="81"/>
      <c r="BI33" s="81"/>
      <c r="BJ33" s="81" t="s">
        <v>282</v>
      </c>
      <c r="BK33" s="3">
        <f>BK6+BK7</f>
        <v>236.23999999999998</v>
      </c>
      <c r="BQ33" s="154" t="s">
        <v>389</v>
      </c>
      <c r="BR33" s="81" t="s">
        <v>390</v>
      </c>
      <c r="BS33" s="81" t="s">
        <v>416</v>
      </c>
      <c r="BT33" s="204">
        <f t="shared" si="20"/>
        <v>0.33200000000000002</v>
      </c>
      <c r="BU33" s="81" t="s">
        <v>392</v>
      </c>
      <c r="BV33" s="204">
        <v>0.33200000000000002</v>
      </c>
      <c r="BZ33" s="211">
        <f>CO23</f>
        <v>0.19700000000000001</v>
      </c>
      <c r="CA33" s="211"/>
      <c r="CB33" s="81" t="s">
        <v>489</v>
      </c>
      <c r="CC33" s="204">
        <v>-6.06</v>
      </c>
      <c r="CD33" s="204">
        <v>2.58E-2</v>
      </c>
      <c r="CH33" s="81" t="s">
        <v>487</v>
      </c>
      <c r="CI33" s="204">
        <v>197</v>
      </c>
      <c r="CJ33" s="204">
        <v>1.44</v>
      </c>
      <c r="CK33">
        <v>136.51</v>
      </c>
      <c r="CL33" t="s">
        <v>505</v>
      </c>
      <c r="CM33" s="81"/>
      <c r="CN33" s="81" t="s">
        <v>490</v>
      </c>
      <c r="CO33" s="204">
        <v>-5.83</v>
      </c>
      <c r="CP33" s="204">
        <v>2.98E-2</v>
      </c>
      <c r="CQ33" s="81">
        <v>-195.34</v>
      </c>
      <c r="CR33" s="81" t="s">
        <v>509</v>
      </c>
      <c r="CS33" s="204">
        <v>2E-16</v>
      </c>
      <c r="CT33" s="81" t="s">
        <v>510</v>
      </c>
      <c r="CV33" s="212" t="s">
        <v>506</v>
      </c>
      <c r="CW33" s="81" t="s">
        <v>414</v>
      </c>
      <c r="CX33" s="204">
        <v>5800000</v>
      </c>
      <c r="CY33" s="204">
        <v>19.399999999999999</v>
      </c>
      <c r="CZ33" s="81">
        <v>298526</v>
      </c>
      <c r="DA33" s="81" t="s">
        <v>505</v>
      </c>
      <c r="DB33" s="81" t="s">
        <v>510</v>
      </c>
      <c r="DF33" s="81" t="s">
        <v>389</v>
      </c>
      <c r="DG33" s="81" t="s">
        <v>390</v>
      </c>
      <c r="DH33" s="81" t="str">
        <f t="shared" si="13"/>
        <v>f2N</v>
      </c>
      <c r="DI33" s="81" t="s">
        <v>434</v>
      </c>
      <c r="DJ33" s="204">
        <f t="shared" si="14"/>
        <v>5.2999999999999999E-2</v>
      </c>
      <c r="DK33" s="81" t="s">
        <v>392</v>
      </c>
      <c r="DL33" s="81" t="s">
        <v>417</v>
      </c>
      <c r="DM33" s="286">
        <f t="shared" si="0"/>
        <v>7.8912156718437265E-2</v>
      </c>
      <c r="DN33" s="286">
        <f t="shared" si="1"/>
        <v>6.88E-2</v>
      </c>
      <c r="DO33" s="286">
        <f t="shared" si="2"/>
        <v>4.9399999999999999E-2</v>
      </c>
      <c r="DQ33" s="290" t="s">
        <v>506</v>
      </c>
      <c r="DR33" s="290" t="s">
        <v>294</v>
      </c>
      <c r="DS33" s="291">
        <v>9520000</v>
      </c>
      <c r="DT33" s="291">
        <v>107000</v>
      </c>
      <c r="DU33" s="290">
        <v>88.93</v>
      </c>
      <c r="DV33" s="290" t="s">
        <v>509</v>
      </c>
      <c r="DW33" s="291">
        <v>2E-16</v>
      </c>
      <c r="DX33" s="81" t="s">
        <v>510</v>
      </c>
      <c r="DY33" s="212" t="s">
        <v>568</v>
      </c>
      <c r="DZ33" s="295" t="s">
        <v>405</v>
      </c>
      <c r="EA33" s="292" t="s">
        <v>434</v>
      </c>
      <c r="EB33" s="293">
        <f t="shared" ref="EB33:EB35" si="28">DS48</f>
        <v>148</v>
      </c>
      <c r="EC33" s="212" t="s">
        <v>392</v>
      </c>
      <c r="EE33" s="160" t="s">
        <v>568</v>
      </c>
      <c r="EF33" s="324" t="s">
        <v>405</v>
      </c>
      <c r="EG33" s="322" t="s">
        <v>434</v>
      </c>
      <c r="EH33" s="160">
        <f>$AP20</f>
        <v>329</v>
      </c>
      <c r="EI33" s="160" t="s">
        <v>392</v>
      </c>
    </row>
    <row r="34" spans="1:139" ht="15" customHeight="1" thickTop="1" thickBot="1" x14ac:dyDescent="0.3">
      <c r="A34" s="73">
        <v>1</v>
      </c>
      <c r="B34" s="74">
        <f>B7*3.5</f>
        <v>361.90000000000003</v>
      </c>
      <c r="C34" s="73"/>
      <c r="D34" s="73" t="s">
        <v>42</v>
      </c>
      <c r="E34" s="195">
        <v>21</v>
      </c>
      <c r="F34" s="195"/>
      <c r="G34" s="76">
        <f>VLOOKUP(D34,A6:B22,2,0)</f>
        <v>103.4</v>
      </c>
      <c r="H34" s="81"/>
      <c r="K34" s="81"/>
      <c r="L34"/>
      <c r="M34"/>
      <c r="N34"/>
      <c r="Q34">
        <f>25+13+18</f>
        <v>56</v>
      </c>
      <c r="R34"/>
      <c r="X34" s="258"/>
      <c r="Y34" s="258"/>
      <c r="Z34" s="259"/>
      <c r="AA34" s="259"/>
      <c r="AB34" s="259"/>
      <c r="AC34" s="258"/>
      <c r="AD34" s="258"/>
      <c r="AE34" s="258"/>
      <c r="AF34" s="14"/>
      <c r="AG34" s="14"/>
      <c r="AH34" s="14"/>
      <c r="AM34" s="154" t="s">
        <v>389</v>
      </c>
      <c r="AN34" s="81" t="s">
        <v>390</v>
      </c>
      <c r="AO34" s="81" t="s">
        <v>417</v>
      </c>
      <c r="AP34" s="81">
        <f>AP27*0.2</f>
        <v>7.8912156718437265E-2</v>
      </c>
      <c r="AQ34" s="81" t="s">
        <v>392</v>
      </c>
      <c r="AR34" s="204">
        <v>6.88E-2</v>
      </c>
      <c r="AV34" s="205" t="s">
        <v>389</v>
      </c>
      <c r="AW34" s="205" t="s">
        <v>390</v>
      </c>
      <c r="AX34" s="205" t="s">
        <v>417</v>
      </c>
      <c r="AY34" s="207" t="s">
        <v>434</v>
      </c>
      <c r="AZ34" s="206">
        <f t="shared" si="3"/>
        <v>4.9399999999999999E-2</v>
      </c>
      <c r="BA34" s="205" t="s">
        <v>392</v>
      </c>
      <c r="BD34" s="81"/>
      <c r="BE34" s="81"/>
      <c r="BF34" s="81"/>
      <c r="BG34" s="81"/>
      <c r="BH34" s="81"/>
      <c r="BI34" s="81"/>
      <c r="BJ34" s="81" t="s">
        <v>291</v>
      </c>
      <c r="BK34" s="204">
        <f>BK10+BK9</f>
        <v>36781984.200000003</v>
      </c>
      <c r="BQ34" s="154" t="s">
        <v>389</v>
      </c>
      <c r="BR34" s="81" t="s">
        <v>390</v>
      </c>
      <c r="BS34" s="81" t="s">
        <v>417</v>
      </c>
      <c r="BT34" s="204">
        <f t="shared" si="20"/>
        <v>6.88E-2</v>
      </c>
      <c r="BU34" s="81" t="s">
        <v>392</v>
      </c>
      <c r="BV34" s="204">
        <v>6.88E-2</v>
      </c>
      <c r="BZ34" s="211">
        <f>CO24</f>
        <v>4.9399999999999999E-2</v>
      </c>
      <c r="CA34" s="211"/>
      <c r="CB34" s="81" t="s">
        <v>490</v>
      </c>
      <c r="CC34" s="204">
        <v>-6.94</v>
      </c>
      <c r="CD34" s="204">
        <v>3.6200000000000003E-2</v>
      </c>
      <c r="CH34" s="81" t="s">
        <v>285</v>
      </c>
      <c r="CI34" s="204">
        <v>487</v>
      </c>
      <c r="CJ34" s="204">
        <v>2.62</v>
      </c>
      <c r="CK34">
        <v>186.01</v>
      </c>
      <c r="CL34" t="s">
        <v>505</v>
      </c>
      <c r="CM34" s="81"/>
      <c r="CN34" s="81" t="s">
        <v>491</v>
      </c>
      <c r="CO34" s="204">
        <v>-5.45</v>
      </c>
      <c r="CP34" s="204">
        <v>2.8299999999999999E-2</v>
      </c>
      <c r="CQ34" s="81">
        <v>-192.79</v>
      </c>
      <c r="CR34" s="81" t="s">
        <v>509</v>
      </c>
      <c r="CS34" s="204">
        <v>2E-16</v>
      </c>
      <c r="CT34" s="81" t="s">
        <v>510</v>
      </c>
      <c r="CV34" s="212" t="s">
        <v>506</v>
      </c>
      <c r="CW34" s="81" t="s">
        <v>476</v>
      </c>
      <c r="CX34" s="204">
        <v>-10</v>
      </c>
      <c r="CY34" s="204">
        <v>2.1000000000000001E-4</v>
      </c>
      <c r="CZ34" s="81">
        <v>-47558</v>
      </c>
      <c r="DA34" s="81" t="s">
        <v>505</v>
      </c>
      <c r="DB34" s="81" t="s">
        <v>510</v>
      </c>
      <c r="DF34" s="81" t="s">
        <v>389</v>
      </c>
      <c r="DG34" s="81" t="s">
        <v>390</v>
      </c>
      <c r="DH34" s="81" t="str">
        <f t="shared" si="13"/>
        <v>f3D</v>
      </c>
      <c r="DI34" s="81" t="s">
        <v>434</v>
      </c>
      <c r="DJ34" s="204">
        <f t="shared" si="14"/>
        <v>0.65</v>
      </c>
      <c r="DK34" s="81" t="s">
        <v>392</v>
      </c>
      <c r="DL34" s="81" t="s">
        <v>418</v>
      </c>
      <c r="DM34" s="286">
        <f t="shared" si="0"/>
        <v>0.8070716317227169</v>
      </c>
      <c r="DN34" s="286">
        <f t="shared" si="1"/>
        <v>0.46100000000000002</v>
      </c>
      <c r="DO34" s="286">
        <f t="shared" si="2"/>
        <v>0.59799999999999998</v>
      </c>
      <c r="DQ34" s="290" t="s">
        <v>506</v>
      </c>
      <c r="DR34" s="290" t="s">
        <v>475</v>
      </c>
      <c r="DS34" s="291">
        <v>2190000</v>
      </c>
      <c r="DT34" s="291">
        <v>44700</v>
      </c>
      <c r="DU34" s="290">
        <v>49.03</v>
      </c>
      <c r="DV34" s="290" t="s">
        <v>509</v>
      </c>
      <c r="DW34" s="291">
        <v>2E-16</v>
      </c>
      <c r="DX34" s="81" t="s">
        <v>510</v>
      </c>
      <c r="DY34" s="212" t="s">
        <v>568</v>
      </c>
      <c r="DZ34" s="296" t="s">
        <v>406</v>
      </c>
      <c r="EA34" s="292" t="s">
        <v>434</v>
      </c>
      <c r="EB34" s="293">
        <f t="shared" si="28"/>
        <v>242</v>
      </c>
      <c r="EC34" s="212" t="s">
        <v>392</v>
      </c>
      <c r="EE34" s="160" t="s">
        <v>568</v>
      </c>
      <c r="EF34" s="325" t="s">
        <v>406</v>
      </c>
      <c r="EG34" s="322" t="s">
        <v>434</v>
      </c>
      <c r="EH34" s="160">
        <f>$AP21</f>
        <v>286.53877828714622</v>
      </c>
      <c r="EI34" s="160" t="s">
        <v>392</v>
      </c>
    </row>
    <row r="35" spans="1:139" ht="15" customHeight="1" thickTop="1" thickBot="1" x14ac:dyDescent="0.3">
      <c r="A35" s="73">
        <v>2</v>
      </c>
      <c r="B35" s="74">
        <f>B4-B34</f>
        <v>253.99999999999994</v>
      </c>
      <c r="C35" s="73"/>
      <c r="D35" s="73" t="s">
        <v>116</v>
      </c>
      <c r="E35" s="77">
        <v>18</v>
      </c>
      <c r="F35" s="77"/>
      <c r="G35" s="76">
        <f>VLOOKUP(D35,A7:B23,2,0)</f>
        <v>120.6</v>
      </c>
      <c r="H35" s="81"/>
      <c r="K35" s="81"/>
      <c r="L35"/>
      <c r="M35"/>
      <c r="N35" t="s">
        <v>114</v>
      </c>
      <c r="O35" s="3">
        <f>SUM(R6:R9,R15,R17:R20,R25)</f>
        <v>150.69030037405375</v>
      </c>
      <c r="P35" s="3"/>
      <c r="Q35">
        <f>Q34/5</f>
        <v>11.2</v>
      </c>
      <c r="R35"/>
      <c r="X35" s="260" t="s">
        <v>115</v>
      </c>
      <c r="Y35" s="261"/>
      <c r="Z35" s="262" t="s">
        <v>21</v>
      </c>
      <c r="AA35" s="275">
        <f>AD37*AD36+(1-AD37)*Z36</f>
        <v>3.5</v>
      </c>
      <c r="AB35" s="261" t="s">
        <v>5</v>
      </c>
      <c r="AC35" s="261"/>
      <c r="AD35" s="261" t="s">
        <v>22</v>
      </c>
      <c r="AE35" s="264">
        <f>SUM(AE36:AE37)</f>
        <v>0</v>
      </c>
      <c r="AF35" s="14" t="s">
        <v>23</v>
      </c>
      <c r="AG35" s="14">
        <f>SUM(AE37:AE38)</f>
        <v>0</v>
      </c>
      <c r="AH35" s="14"/>
      <c r="AM35" s="154" t="s">
        <v>389</v>
      </c>
      <c r="AN35" s="81" t="s">
        <v>390</v>
      </c>
      <c r="AO35" s="81" t="s">
        <v>418</v>
      </c>
      <c r="AP35" s="81">
        <f>AP28*0.2+0.8</f>
        <v>0.8070716317227169</v>
      </c>
      <c r="AQ35" s="81" t="s">
        <v>392</v>
      </c>
      <c r="AR35" s="204">
        <v>0.46100000000000002</v>
      </c>
      <c r="AV35" s="205" t="s">
        <v>389</v>
      </c>
      <c r="AW35" s="205" t="s">
        <v>390</v>
      </c>
      <c r="AX35" s="205" t="s">
        <v>418</v>
      </c>
      <c r="AY35" s="207" t="s">
        <v>434</v>
      </c>
      <c r="AZ35" s="206">
        <f t="shared" si="3"/>
        <v>0.59799999999999998</v>
      </c>
      <c r="BA35" s="205" t="s">
        <v>392</v>
      </c>
      <c r="BD35" s="81"/>
      <c r="BE35" s="81"/>
      <c r="BF35" s="81"/>
      <c r="BG35" s="81"/>
      <c r="BH35" s="81"/>
      <c r="BI35" s="81"/>
      <c r="BJ35" s="81" t="s">
        <v>285</v>
      </c>
      <c r="BK35" s="81">
        <f>BK15+BK14</f>
        <v>620.7416473531988</v>
      </c>
      <c r="BQ35" s="154" t="s">
        <v>389</v>
      </c>
      <c r="BR35" s="81" t="s">
        <v>390</v>
      </c>
      <c r="BS35" s="81" t="s">
        <v>418</v>
      </c>
      <c r="BT35" s="204">
        <f t="shared" si="20"/>
        <v>0.46100000000000002</v>
      </c>
      <c r="BU35" s="81" t="s">
        <v>392</v>
      </c>
      <c r="BV35" s="204">
        <v>0.46100000000000002</v>
      </c>
      <c r="BZ35" s="211">
        <f>CO25</f>
        <v>0.59799999999999998</v>
      </c>
      <c r="CA35" s="211"/>
      <c r="CB35" s="81" t="s">
        <v>491</v>
      </c>
      <c r="CC35" s="204">
        <v>-6</v>
      </c>
      <c r="CD35" s="204">
        <v>2.3599999999999999E-2</v>
      </c>
      <c r="CH35" s="81" t="s">
        <v>120</v>
      </c>
      <c r="CI35" s="204">
        <v>274</v>
      </c>
      <c r="CJ35" s="204">
        <v>1.37</v>
      </c>
      <c r="CK35">
        <v>200.04</v>
      </c>
      <c r="CL35" t="s">
        <v>505</v>
      </c>
      <c r="CM35" s="81"/>
      <c r="CN35" s="81" t="s">
        <v>493</v>
      </c>
      <c r="CO35" s="204">
        <v>3.5699999999999998E-3</v>
      </c>
      <c r="CP35" s="204">
        <v>1.0900000000000001E-4</v>
      </c>
      <c r="CQ35" s="81">
        <v>32.700000000000003</v>
      </c>
      <c r="CR35" s="81" t="s">
        <v>509</v>
      </c>
      <c r="CS35" s="204">
        <v>2E-16</v>
      </c>
      <c r="CT35" s="81" t="s">
        <v>510</v>
      </c>
      <c r="CV35" s="212" t="s">
        <v>506</v>
      </c>
      <c r="CW35" s="81" t="s">
        <v>477</v>
      </c>
      <c r="CX35" s="204">
        <v>-10</v>
      </c>
      <c r="CY35" s="204">
        <v>2.1000000000000001E-4</v>
      </c>
      <c r="CZ35" s="81">
        <v>-47558</v>
      </c>
      <c r="DA35" s="81" t="s">
        <v>505</v>
      </c>
      <c r="DB35" s="81" t="s">
        <v>510</v>
      </c>
      <c r="DF35" s="81" t="s">
        <v>389</v>
      </c>
      <c r="DG35" s="81" t="s">
        <v>390</v>
      </c>
      <c r="DH35" s="81" t="str">
        <f t="shared" si="13"/>
        <v>f3N</v>
      </c>
      <c r="DI35" s="81" t="s">
        <v>434</v>
      </c>
      <c r="DJ35" s="204">
        <f t="shared" si="14"/>
        <v>0.64500000000000002</v>
      </c>
      <c r="DK35" s="81" t="s">
        <v>392</v>
      </c>
      <c r="DM35" s="287">
        <f t="shared" si="0"/>
        <v>0</v>
      </c>
      <c r="DN35" s="287">
        <f t="shared" si="1"/>
        <v>0</v>
      </c>
      <c r="DO35" s="287">
        <f t="shared" si="2"/>
        <v>0</v>
      </c>
      <c r="DQ35" s="290" t="s">
        <v>506</v>
      </c>
      <c r="DR35" s="290" t="s">
        <v>291</v>
      </c>
      <c r="DS35" s="291">
        <v>7260000</v>
      </c>
      <c r="DT35" s="291">
        <v>120000</v>
      </c>
      <c r="DU35" s="290">
        <v>60.48</v>
      </c>
      <c r="DV35" s="290" t="s">
        <v>509</v>
      </c>
      <c r="DW35" s="291">
        <v>2E-16</v>
      </c>
      <c r="DX35" s="81" t="s">
        <v>510</v>
      </c>
      <c r="DY35" s="212" t="s">
        <v>568</v>
      </c>
      <c r="DZ35" s="296" t="s">
        <v>407</v>
      </c>
      <c r="EA35" s="292" t="s">
        <v>434</v>
      </c>
      <c r="EB35" s="293">
        <f t="shared" si="28"/>
        <v>124</v>
      </c>
      <c r="EC35" s="212" t="s">
        <v>392</v>
      </c>
      <c r="EE35" s="160" t="s">
        <v>568</v>
      </c>
      <c r="EF35" s="325" t="s">
        <v>407</v>
      </c>
      <c r="EG35" s="322" t="s">
        <v>434</v>
      </c>
      <c r="EH35" s="161">
        <f>$AP22</f>
        <v>142.0714783244033</v>
      </c>
      <c r="EI35" s="160" t="s">
        <v>392</v>
      </c>
    </row>
    <row r="36" spans="1:139" ht="15" customHeight="1" thickTop="1" thickBot="1" x14ac:dyDescent="0.3">
      <c r="A36" s="73">
        <v>3</v>
      </c>
      <c r="B36" s="74">
        <f>G36*2</f>
        <v>0</v>
      </c>
      <c r="C36" s="73"/>
      <c r="D36" s="73" t="s">
        <v>118</v>
      </c>
      <c r="E36" s="346" t="s">
        <v>119</v>
      </c>
      <c r="F36" s="340"/>
      <c r="G36" s="76">
        <f>B17</f>
        <v>0</v>
      </c>
      <c r="H36" s="81"/>
      <c r="K36" s="81"/>
      <c r="L36"/>
      <c r="M36"/>
      <c r="N36" t="s">
        <v>117</v>
      </c>
      <c r="O36" s="3">
        <f>SUM(R10:R13,R21:R24)</f>
        <v>119.35</v>
      </c>
      <c r="Q36"/>
      <c r="R36"/>
      <c r="X36" s="271"/>
      <c r="Y36" s="272" t="s">
        <v>16</v>
      </c>
      <c r="Z36" s="272">
        <v>3.15</v>
      </c>
      <c r="AA36" s="272" t="s">
        <v>5</v>
      </c>
      <c r="AB36" s="272"/>
      <c r="AC36" s="272" t="s">
        <v>608</v>
      </c>
      <c r="AD36" s="272">
        <f>(3.5-(1-AD37)*Z36)/0.25</f>
        <v>4.5500000000000007</v>
      </c>
      <c r="AE36" s="276"/>
      <c r="AF36" s="14"/>
      <c r="AG36" s="14"/>
      <c r="AH36" s="14"/>
      <c r="AQ36" s="81" t="s">
        <v>392</v>
      </c>
      <c r="AV36" s="205"/>
      <c r="AW36" s="205"/>
      <c r="AX36" s="205"/>
      <c r="AY36" s="207"/>
      <c r="BA36" s="205"/>
      <c r="BD36" s="81"/>
      <c r="BE36" s="81"/>
      <c r="BF36" s="81"/>
      <c r="BG36" s="81"/>
      <c r="BH36" s="81"/>
      <c r="BI36" s="81"/>
      <c r="BJ36" s="81" t="s">
        <v>457</v>
      </c>
      <c r="BK36" s="3">
        <f>BK32+BK33</f>
        <v>467.11124900352377</v>
      </c>
      <c r="BT36" s="204"/>
      <c r="BU36" s="81" t="s">
        <v>392</v>
      </c>
      <c r="BZ36" s="211"/>
      <c r="CA36" s="211"/>
      <c r="CB36" s="81" t="s">
        <v>492</v>
      </c>
      <c r="CC36" s="204">
        <v>-6.6</v>
      </c>
      <c r="CD36" s="204">
        <v>2.63E-2</v>
      </c>
      <c r="CH36" s="81" t="s">
        <v>488</v>
      </c>
      <c r="CI36" s="204">
        <v>-5.75</v>
      </c>
      <c r="CJ36" s="204">
        <v>2.35E-2</v>
      </c>
      <c r="CK36">
        <v>-244.53</v>
      </c>
      <c r="CL36" t="s">
        <v>505</v>
      </c>
      <c r="CM36" s="81"/>
      <c r="CN36" s="81" t="s">
        <v>494</v>
      </c>
      <c r="CO36" s="204">
        <v>186</v>
      </c>
      <c r="CP36" s="204">
        <v>2.46</v>
      </c>
      <c r="CQ36" s="81">
        <v>75.599999999999994</v>
      </c>
      <c r="CR36" s="81" t="s">
        <v>509</v>
      </c>
      <c r="CS36" s="204">
        <v>2E-16</v>
      </c>
      <c r="CT36" s="81" t="s">
        <v>510</v>
      </c>
      <c r="CV36" s="212" t="s">
        <v>506</v>
      </c>
      <c r="CW36" s="81" t="s">
        <v>528</v>
      </c>
      <c r="CX36" s="204">
        <v>-10</v>
      </c>
      <c r="CY36" s="204">
        <v>2.1000000000000001E-4</v>
      </c>
      <c r="CZ36" s="81">
        <v>-47558</v>
      </c>
      <c r="DA36" s="81" t="s">
        <v>505</v>
      </c>
      <c r="DB36" s="81" t="s">
        <v>510</v>
      </c>
      <c r="DF36" s="81" t="s">
        <v>389</v>
      </c>
      <c r="DG36" s="81" t="s">
        <v>390</v>
      </c>
      <c r="DH36" s="81" t="str">
        <f t="shared" si="13"/>
        <v>f5D</v>
      </c>
      <c r="DI36" s="81" t="s">
        <v>434</v>
      </c>
      <c r="DJ36" s="204">
        <f t="shared" si="14"/>
        <v>7.0000000000000007E-2</v>
      </c>
      <c r="DK36" s="81" t="s">
        <v>392</v>
      </c>
      <c r="DL36" s="81" t="s">
        <v>419</v>
      </c>
      <c r="DM36" s="289">
        <f t="shared" si="0"/>
        <v>298.55345760945892</v>
      </c>
      <c r="DN36" s="289">
        <f t="shared" si="1"/>
        <v>467</v>
      </c>
      <c r="DO36" s="289">
        <f t="shared" si="2"/>
        <v>194</v>
      </c>
      <c r="DQ36" s="290" t="s">
        <v>506</v>
      </c>
      <c r="DR36" s="290" t="s">
        <v>293</v>
      </c>
      <c r="DS36" s="291">
        <v>10700000</v>
      </c>
      <c r="DT36" s="291">
        <v>67200</v>
      </c>
      <c r="DU36" s="290">
        <v>158.9</v>
      </c>
      <c r="DV36" s="290" t="s">
        <v>509</v>
      </c>
      <c r="DW36" s="291">
        <v>2E-16</v>
      </c>
      <c r="DX36" s="81" t="s">
        <v>510</v>
      </c>
      <c r="DY36" s="212" t="s">
        <v>568</v>
      </c>
      <c r="DZ36" s="297" t="s">
        <v>409</v>
      </c>
      <c r="EA36" s="292" t="s">
        <v>434</v>
      </c>
      <c r="EB36" s="293">
        <f>DS59</f>
        <v>44</v>
      </c>
      <c r="EC36" s="212" t="s">
        <v>392</v>
      </c>
      <c r="EE36" s="160" t="s">
        <v>568</v>
      </c>
      <c r="EF36" s="327" t="s">
        <v>409</v>
      </c>
      <c r="EG36" s="322" t="s">
        <v>434</v>
      </c>
      <c r="EH36" s="160">
        <f>$AP24</f>
        <v>45.874647887323945</v>
      </c>
      <c r="EI36" s="160" t="s">
        <v>392</v>
      </c>
    </row>
    <row r="37" spans="1:139" ht="15" customHeight="1" thickTop="1" thickBot="1" x14ac:dyDescent="0.3">
      <c r="C37" s="81"/>
      <c r="D37" s="81"/>
      <c r="E37" s="81"/>
      <c r="F37" s="81"/>
      <c r="G37" s="81"/>
      <c r="H37" s="81"/>
      <c r="K37" s="81"/>
      <c r="L37"/>
      <c r="M37"/>
      <c r="N37" t="s">
        <v>120</v>
      </c>
      <c r="O37" s="3">
        <f>'Verwarming Tabula'!B60</f>
        <v>138.03320000000002</v>
      </c>
      <c r="Q37"/>
      <c r="R37"/>
      <c r="X37" s="237"/>
      <c r="Y37" s="219" t="s">
        <v>121</v>
      </c>
      <c r="Z37" s="219">
        <v>0.59</v>
      </c>
      <c r="AA37" s="219"/>
      <c r="AB37" s="219"/>
      <c r="AC37" s="219" t="s">
        <v>607</v>
      </c>
      <c r="AD37" s="219">
        <v>0.25</v>
      </c>
      <c r="AE37" s="242"/>
      <c r="AF37" s="14"/>
      <c r="AG37" s="14"/>
      <c r="AH37" s="14"/>
      <c r="AM37" s="154" t="s">
        <v>389</v>
      </c>
      <c r="AN37" s="81" t="s">
        <v>390</v>
      </c>
      <c r="AO37" s="81" t="s">
        <v>419</v>
      </c>
      <c r="AP37" s="81">
        <f>SUM(O17:O20)*(1/(SUM(AD18:AD19)+1/8))+O25*(1/(SUM(AD9:AD10)+1/8))</f>
        <v>298.55345760945892</v>
      </c>
      <c r="AQ37" s="81" t="s">
        <v>392</v>
      </c>
      <c r="AR37" s="204">
        <v>467</v>
      </c>
      <c r="AV37" s="205" t="s">
        <v>389</v>
      </c>
      <c r="AW37" s="205" t="s">
        <v>390</v>
      </c>
      <c r="AX37" s="205" t="s">
        <v>419</v>
      </c>
      <c r="AY37" s="207" t="s">
        <v>434</v>
      </c>
      <c r="AZ37" s="206">
        <f t="shared" si="3"/>
        <v>194</v>
      </c>
      <c r="BA37" s="205" t="s">
        <v>392</v>
      </c>
      <c r="BQ37" s="154" t="s">
        <v>389</v>
      </c>
      <c r="BR37" s="81" t="s">
        <v>390</v>
      </c>
      <c r="BS37" s="81" t="s">
        <v>419</v>
      </c>
      <c r="BT37" s="204">
        <f t="shared" si="20"/>
        <v>467</v>
      </c>
      <c r="BU37" s="81" t="s">
        <v>392</v>
      </c>
      <c r="BV37" s="204">
        <v>467</v>
      </c>
      <c r="BZ37" s="211">
        <f>CO27</f>
        <v>194</v>
      </c>
      <c r="CA37" s="211"/>
      <c r="CB37" s="81" t="s">
        <v>493</v>
      </c>
      <c r="CC37" s="204">
        <v>6.4400000000000004E-3</v>
      </c>
      <c r="CD37" s="204">
        <v>1.36E-4</v>
      </c>
      <c r="CH37" s="81" t="s">
        <v>489</v>
      </c>
      <c r="CI37" s="204">
        <v>-6.06</v>
      </c>
      <c r="CJ37" s="204">
        <v>2.58E-2</v>
      </c>
      <c r="CK37">
        <v>-234.52</v>
      </c>
      <c r="CL37" t="s">
        <v>505</v>
      </c>
      <c r="CM37" s="81"/>
      <c r="CN37" s="81" t="s">
        <v>495</v>
      </c>
      <c r="CO37" s="204">
        <v>761</v>
      </c>
      <c r="CP37" s="204">
        <v>784</v>
      </c>
      <c r="CQ37" s="81">
        <v>0.97</v>
      </c>
      <c r="CR37" s="81">
        <v>0.33200000000000002</v>
      </c>
      <c r="CS37" s="81"/>
      <c r="CT37" s="81"/>
      <c r="CV37" s="212" t="s">
        <v>506</v>
      </c>
      <c r="CW37" s="81" t="s">
        <v>529</v>
      </c>
      <c r="CX37" s="204">
        <v>-10</v>
      </c>
      <c r="CY37" s="204">
        <v>2.1000000000000001E-4</v>
      </c>
      <c r="CZ37" s="81">
        <v>-47558</v>
      </c>
      <c r="DA37" s="81" t="s">
        <v>505</v>
      </c>
      <c r="DB37" s="81" t="s">
        <v>510</v>
      </c>
      <c r="DF37" s="81" t="s">
        <v>389</v>
      </c>
      <c r="DG37" s="81" t="s">
        <v>390</v>
      </c>
      <c r="DH37" s="81" t="str">
        <f t="shared" si="13"/>
        <v>f5N</v>
      </c>
      <c r="DI37" s="81" t="s">
        <v>434</v>
      </c>
      <c r="DJ37" s="204">
        <f t="shared" si="14"/>
        <v>0.13</v>
      </c>
      <c r="DK37" s="81" t="s">
        <v>392</v>
      </c>
      <c r="DL37" s="81" t="s">
        <v>420</v>
      </c>
      <c r="DM37" s="289">
        <f t="shared" si="0"/>
        <v>334.20286906605259</v>
      </c>
      <c r="DN37" s="289">
        <f t="shared" si="1"/>
        <v>247</v>
      </c>
      <c r="DO37" s="289">
        <f t="shared" si="2"/>
        <v>83.2</v>
      </c>
      <c r="DQ37" s="290" t="s">
        <v>506</v>
      </c>
      <c r="DR37" s="290" t="s">
        <v>476</v>
      </c>
      <c r="DS37" s="291">
        <v>-5.65</v>
      </c>
      <c r="DT37" s="291">
        <v>4.7100000000000003E-2</v>
      </c>
      <c r="DU37" s="290">
        <v>-120.1</v>
      </c>
      <c r="DV37" s="290" t="s">
        <v>509</v>
      </c>
      <c r="DW37" s="291">
        <v>2E-16</v>
      </c>
      <c r="DX37" s="81" t="s">
        <v>510</v>
      </c>
      <c r="DY37" s="212" t="s">
        <v>568</v>
      </c>
      <c r="DZ37" s="297" t="s">
        <v>408</v>
      </c>
      <c r="EA37" s="292" t="s">
        <v>434</v>
      </c>
      <c r="EB37" s="293">
        <f>1/DS56</f>
        <v>54.054054054054056</v>
      </c>
      <c r="EC37" s="212" t="s">
        <v>392</v>
      </c>
      <c r="EE37" s="160" t="s">
        <v>568</v>
      </c>
      <c r="EF37" s="327" t="s">
        <v>408</v>
      </c>
      <c r="EG37" s="322" t="s">
        <v>434</v>
      </c>
      <c r="EH37" s="160">
        <f>$AP23</f>
        <v>49.736990917918547</v>
      </c>
      <c r="EI37" s="160" t="s">
        <v>392</v>
      </c>
    </row>
    <row r="38" spans="1:139" ht="15" customHeight="1" thickTop="1" thickBot="1" x14ac:dyDescent="0.3">
      <c r="B38" s="3"/>
      <c r="C38" s="81"/>
      <c r="D38" s="81"/>
      <c r="E38" s="81"/>
      <c r="F38" s="81"/>
      <c r="G38" s="81"/>
      <c r="H38" s="81"/>
      <c r="K38" s="81"/>
      <c r="L38"/>
      <c r="M38"/>
      <c r="N38"/>
      <c r="O38" s="3"/>
      <c r="Q38"/>
      <c r="R38"/>
      <c r="X38" s="258"/>
      <c r="Y38" s="258"/>
      <c r="Z38" s="258"/>
      <c r="AA38" s="258"/>
      <c r="AB38" s="258"/>
      <c r="AC38" s="258"/>
      <c r="AD38" s="258"/>
      <c r="AE38" s="258"/>
      <c r="AF38" s="14"/>
      <c r="AG38" s="14"/>
      <c r="AH38" s="14"/>
      <c r="AM38" s="154" t="s">
        <v>389</v>
      </c>
      <c r="AN38" s="81" t="s">
        <v>390</v>
      </c>
      <c r="AO38" s="81" t="s">
        <v>420</v>
      </c>
      <c r="AP38" s="81">
        <f>2*AA21*O28+R31</f>
        <v>334.20286906605259</v>
      </c>
      <c r="AQ38" s="81" t="s">
        <v>392</v>
      </c>
      <c r="AR38" s="204">
        <v>247</v>
      </c>
      <c r="AV38" s="205" t="s">
        <v>389</v>
      </c>
      <c r="AW38" s="205" t="s">
        <v>390</v>
      </c>
      <c r="AX38" s="205" t="s">
        <v>420</v>
      </c>
      <c r="AY38" s="207" t="s">
        <v>434</v>
      </c>
      <c r="AZ38" s="206">
        <f t="shared" si="3"/>
        <v>83.2</v>
      </c>
      <c r="BA38" s="205" t="s">
        <v>392</v>
      </c>
      <c r="BQ38" s="154" t="s">
        <v>389</v>
      </c>
      <c r="BR38" s="81" t="s">
        <v>390</v>
      </c>
      <c r="BS38" s="81" t="s">
        <v>420</v>
      </c>
      <c r="BT38" s="204">
        <f t="shared" si="20"/>
        <v>247</v>
      </c>
      <c r="BU38" s="81" t="s">
        <v>392</v>
      </c>
      <c r="BV38" s="204">
        <v>247</v>
      </c>
      <c r="BZ38" s="211">
        <f>CO28</f>
        <v>83.2</v>
      </c>
      <c r="CA38" s="211"/>
      <c r="CB38" s="81" t="s">
        <v>494</v>
      </c>
      <c r="CC38" s="204">
        <v>143</v>
      </c>
      <c r="CD38" s="204">
        <v>1.36</v>
      </c>
      <c r="CH38" s="81" t="s">
        <v>490</v>
      </c>
      <c r="CI38" s="204">
        <v>-6.94</v>
      </c>
      <c r="CJ38" s="204">
        <v>3.6200000000000003E-2</v>
      </c>
      <c r="CK38">
        <v>-191.49</v>
      </c>
      <c r="CL38" t="s">
        <v>505</v>
      </c>
      <c r="CV38" s="212" t="s">
        <v>506</v>
      </c>
      <c r="CW38" s="81" t="s">
        <v>400</v>
      </c>
      <c r="CX38" s="204">
        <v>0.06</v>
      </c>
      <c r="CY38" s="204">
        <v>9.4099999999999997E-7</v>
      </c>
      <c r="CZ38" s="81">
        <v>63794</v>
      </c>
      <c r="DA38" s="81" t="s">
        <v>505</v>
      </c>
      <c r="DB38" s="81" t="s">
        <v>510</v>
      </c>
      <c r="DF38" s="81" t="s">
        <v>389</v>
      </c>
      <c r="DG38" s="81" t="s">
        <v>390</v>
      </c>
      <c r="DH38" s="81" t="str">
        <f t="shared" si="13"/>
        <v>hwD</v>
      </c>
      <c r="DI38" s="81" t="s">
        <v>434</v>
      </c>
      <c r="DJ38" s="204">
        <f t="shared" si="14"/>
        <v>281</v>
      </c>
      <c r="DK38" s="81" t="s">
        <v>392</v>
      </c>
      <c r="DL38" s="81" t="s">
        <v>421</v>
      </c>
      <c r="DM38" s="289">
        <f t="shared" si="0"/>
        <v>94.168521675596679</v>
      </c>
      <c r="DN38" s="289">
        <f t="shared" si="1"/>
        <v>82.5</v>
      </c>
      <c r="DO38" s="289">
        <f t="shared" si="2"/>
        <v>64.400000000000006</v>
      </c>
      <c r="DQ38" s="290" t="s">
        <v>506</v>
      </c>
      <c r="DR38" s="290" t="s">
        <v>477</v>
      </c>
      <c r="DS38" s="291">
        <v>-22.4</v>
      </c>
      <c r="DT38" s="291">
        <v>1.82</v>
      </c>
      <c r="DU38" s="290">
        <v>-12.33</v>
      </c>
      <c r="DV38" s="290" t="s">
        <v>509</v>
      </c>
      <c r="DW38" s="291">
        <v>2E-16</v>
      </c>
      <c r="DX38" s="81" t="s">
        <v>510</v>
      </c>
      <c r="DY38" s="212" t="s">
        <v>568</v>
      </c>
      <c r="DZ38" s="294" t="s">
        <v>400</v>
      </c>
      <c r="EA38" s="292" t="s">
        <v>434</v>
      </c>
      <c r="EB38" s="293">
        <f>DS42</f>
        <v>6.1600000000000002E-2</v>
      </c>
      <c r="EC38" s="212" t="s">
        <v>392</v>
      </c>
      <c r="EE38" s="160" t="s">
        <v>568</v>
      </c>
      <c r="EF38" s="323" t="s">
        <v>400</v>
      </c>
      <c r="EG38" s="322" t="s">
        <v>434</v>
      </c>
      <c r="EH38" s="160">
        <f>$AP14</f>
        <v>3.0116404280485166E-2</v>
      </c>
      <c r="EI38" s="160" t="s">
        <v>392</v>
      </c>
    </row>
    <row r="39" spans="1:139" ht="15" customHeight="1" thickTop="1" thickBot="1" x14ac:dyDescent="0.3">
      <c r="C39" s="81"/>
      <c r="D39" s="81"/>
      <c r="E39" s="81"/>
      <c r="F39" s="81"/>
      <c r="G39" s="81"/>
      <c r="H39" s="81"/>
      <c r="K39" s="81"/>
      <c r="L39"/>
      <c r="M39"/>
      <c r="N39" t="s">
        <v>122</v>
      </c>
      <c r="O39" s="3">
        <f>B4*1.204*1012*5/1000000</f>
        <v>3.7522106159999993</v>
      </c>
      <c r="P39" t="s">
        <v>123</v>
      </c>
      <c r="R39"/>
      <c r="X39" s="258"/>
      <c r="Y39" s="258"/>
      <c r="Z39" s="259"/>
      <c r="AA39" s="259"/>
      <c r="AB39" s="259"/>
      <c r="AC39" s="258"/>
      <c r="AD39" s="258"/>
      <c r="AE39" s="258"/>
      <c r="AF39" s="14"/>
      <c r="AG39" s="14"/>
      <c r="AH39" s="14"/>
      <c r="AM39" s="154" t="s">
        <v>389</v>
      </c>
      <c r="AN39" s="81" t="s">
        <v>390</v>
      </c>
      <c r="AO39" s="81" t="s">
        <v>421</v>
      </c>
      <c r="AP39" s="3">
        <f>'Verwarming Tabula 2zone'!B139+SUM(R21:R24)</f>
        <v>94.168521675596679</v>
      </c>
      <c r="AQ39" s="81" t="s">
        <v>392</v>
      </c>
      <c r="AR39" s="204">
        <v>82.5</v>
      </c>
      <c r="AV39" s="205" t="s">
        <v>389</v>
      </c>
      <c r="AW39" s="205" t="s">
        <v>390</v>
      </c>
      <c r="AX39" s="205" t="s">
        <v>421</v>
      </c>
      <c r="AY39" s="207" t="s">
        <v>434</v>
      </c>
      <c r="AZ39" s="206">
        <f t="shared" si="3"/>
        <v>64.400000000000006</v>
      </c>
      <c r="BA39" s="205" t="s">
        <v>392</v>
      </c>
      <c r="BQ39" s="154" t="s">
        <v>389</v>
      </c>
      <c r="BR39" s="81" t="s">
        <v>390</v>
      </c>
      <c r="BS39" s="81" t="s">
        <v>421</v>
      </c>
      <c r="BT39" s="204">
        <f t="shared" si="20"/>
        <v>82.5</v>
      </c>
      <c r="BU39" s="81" t="s">
        <v>392</v>
      </c>
      <c r="BV39" s="204">
        <v>82.5</v>
      </c>
      <c r="BZ39" s="211">
        <f>CO29</f>
        <v>64.400000000000006</v>
      </c>
      <c r="CA39" s="211"/>
      <c r="CB39" s="81" t="s">
        <v>495</v>
      </c>
      <c r="CC39" s="204">
        <v>1.35E-4</v>
      </c>
      <c r="CD39" s="204">
        <v>1.1900000000000001E-3</v>
      </c>
      <c r="CH39" s="81" t="s">
        <v>491</v>
      </c>
      <c r="CI39" s="204">
        <v>-6</v>
      </c>
      <c r="CJ39" s="204">
        <v>2.3599999999999999E-2</v>
      </c>
      <c r="CK39">
        <v>-254.34</v>
      </c>
      <c r="CL39" t="s">
        <v>505</v>
      </c>
      <c r="CV39" s="212" t="s">
        <v>506</v>
      </c>
      <c r="CW39" s="81" t="s">
        <v>416</v>
      </c>
      <c r="CX39" s="204">
        <v>0.16</v>
      </c>
      <c r="CY39" s="204">
        <v>2.48E-6</v>
      </c>
      <c r="CZ39" s="81">
        <v>64442</v>
      </c>
      <c r="DA39" s="81" t="s">
        <v>505</v>
      </c>
      <c r="DB39" s="81" t="s">
        <v>510</v>
      </c>
      <c r="DF39" s="81" t="s">
        <v>389</v>
      </c>
      <c r="DG39" s="81" t="s">
        <v>390</v>
      </c>
      <c r="DH39" s="81" t="str">
        <f t="shared" si="13"/>
        <v>hwiD</v>
      </c>
      <c r="DI39" s="81" t="s">
        <v>434</v>
      </c>
      <c r="DJ39" s="204">
        <f t="shared" si="14"/>
        <v>705</v>
      </c>
      <c r="DK39" s="81" t="s">
        <v>392</v>
      </c>
      <c r="DL39" s="81" t="s">
        <v>422</v>
      </c>
      <c r="DM39" s="289">
        <f t="shared" si="0"/>
        <v>532.89152120979679</v>
      </c>
      <c r="DN39" s="289">
        <f t="shared" si="1"/>
        <v>171.23287671232879</v>
      </c>
      <c r="DO39" s="289">
        <f t="shared" si="2"/>
        <v>280.1120448179272</v>
      </c>
      <c r="DQ39" s="290" t="s">
        <v>506</v>
      </c>
      <c r="DR39" s="290" t="s">
        <v>478</v>
      </c>
      <c r="DS39" s="291">
        <v>-19.5</v>
      </c>
      <c r="DT39" s="291">
        <v>1.64</v>
      </c>
      <c r="DU39" s="290">
        <v>-11.89</v>
      </c>
      <c r="DV39" s="290" t="s">
        <v>509</v>
      </c>
      <c r="DW39" s="291">
        <v>2E-16</v>
      </c>
      <c r="DX39" s="81" t="s">
        <v>510</v>
      </c>
      <c r="DY39" s="212" t="s">
        <v>568</v>
      </c>
      <c r="DZ39" s="295" t="s">
        <v>401</v>
      </c>
      <c r="EA39" s="292" t="s">
        <v>434</v>
      </c>
      <c r="EB39" s="293">
        <f t="shared" ref="EB39:EB42" si="29">DS43</f>
        <v>0.126</v>
      </c>
      <c r="EC39" s="212" t="s">
        <v>392</v>
      </c>
      <c r="EE39" s="160" t="s">
        <v>568</v>
      </c>
      <c r="EF39" s="324" t="s">
        <v>401</v>
      </c>
      <c r="EG39" s="322" t="s">
        <v>434</v>
      </c>
      <c r="EH39" s="160">
        <f>$AP15</f>
        <v>7.4320645340075361E-2</v>
      </c>
      <c r="EI39" s="160" t="s">
        <v>392</v>
      </c>
    </row>
    <row r="40" spans="1:139" ht="15" customHeight="1" thickTop="1" thickBot="1" x14ac:dyDescent="0.3">
      <c r="A40" t="s">
        <v>271</v>
      </c>
      <c r="C40" s="81"/>
      <c r="D40" s="81"/>
      <c r="E40" s="81"/>
      <c r="F40" s="81"/>
      <c r="G40" s="81"/>
      <c r="H40" s="81"/>
      <c r="K40" s="81"/>
      <c r="L40"/>
      <c r="M40"/>
      <c r="N40" t="s">
        <v>124</v>
      </c>
      <c r="O40" s="3">
        <f>SUM(S6:S9,S15)/1000000</f>
        <v>22.968783136500004</v>
      </c>
      <c r="P40" t="s">
        <v>125</v>
      </c>
      <c r="Q40" s="3">
        <f>SUM(U6:U9,U15)/1000000</f>
        <v>11.233296300000001</v>
      </c>
      <c r="R40"/>
      <c r="X40" s="260" t="s">
        <v>63</v>
      </c>
      <c r="Y40" s="261"/>
      <c r="Z40" s="262" t="s">
        <v>21</v>
      </c>
      <c r="AA40" s="263">
        <f>1/(1/10+SUM(AD42:AD46))</f>
        <v>0.66596194503171247</v>
      </c>
      <c r="AB40" s="261" t="s">
        <v>5</v>
      </c>
      <c r="AC40" s="261"/>
      <c r="AD40" s="261" t="s">
        <v>22</v>
      </c>
      <c r="AE40" s="264">
        <f>SUM(AE42:AE46)</f>
        <v>465288.8</v>
      </c>
      <c r="AF40" s="14" t="s">
        <v>23</v>
      </c>
      <c r="AG40" s="14">
        <f>SUM(AE42:AE43)</f>
        <v>110960</v>
      </c>
      <c r="AH40" s="14"/>
      <c r="AM40" s="154" t="s">
        <v>389</v>
      </c>
      <c r="AN40" s="81" t="s">
        <v>390</v>
      </c>
      <c r="AO40" s="81" t="s">
        <v>422</v>
      </c>
      <c r="AP40" s="81">
        <f>SUM(O17:O20)*1/(SUM(AD15:AD17)+1/23)+O25*1/(SUM(AD7:AD8)+1/23)</f>
        <v>532.89152120979679</v>
      </c>
      <c r="AQ40" s="81" t="s">
        <v>392</v>
      </c>
      <c r="AR40" s="81">
        <f>1/(0.00584)</f>
        <v>171.23287671232879</v>
      </c>
      <c r="AV40" s="205" t="s">
        <v>389</v>
      </c>
      <c r="AW40" s="205" t="s">
        <v>390</v>
      </c>
      <c r="AX40" s="205" t="s">
        <v>422</v>
      </c>
      <c r="AY40" s="207" t="s">
        <v>434</v>
      </c>
      <c r="AZ40" s="206">
        <f t="shared" si="3"/>
        <v>280.1120448179272</v>
      </c>
      <c r="BA40" s="205" t="s">
        <v>392</v>
      </c>
      <c r="BQ40" s="154" t="s">
        <v>389</v>
      </c>
      <c r="BR40" s="81" t="s">
        <v>390</v>
      </c>
      <c r="BS40" s="81" t="s">
        <v>422</v>
      </c>
      <c r="BT40" s="204">
        <f t="shared" si="20"/>
        <v>171.23287671232879</v>
      </c>
      <c r="BU40" s="81" t="s">
        <v>392</v>
      </c>
      <c r="BV40" s="81">
        <f>1/(0.00584)</f>
        <v>171.23287671232879</v>
      </c>
      <c r="BZ40" s="211">
        <f>1/CO35</f>
        <v>280.1120448179272</v>
      </c>
      <c r="CA40" s="211"/>
      <c r="CB40" s="81" t="s">
        <v>496</v>
      </c>
      <c r="CC40" s="204">
        <v>58.3</v>
      </c>
      <c r="CD40" s="204">
        <v>1.63</v>
      </c>
      <c r="CH40" s="81" t="s">
        <v>492</v>
      </c>
      <c r="CI40" s="204">
        <v>-6.6</v>
      </c>
      <c r="CJ40" s="204">
        <v>2.63E-2</v>
      </c>
      <c r="CK40">
        <v>-250.67</v>
      </c>
      <c r="CL40" t="s">
        <v>505</v>
      </c>
      <c r="CV40" s="212" t="s">
        <v>506</v>
      </c>
      <c r="CW40" s="81" t="s">
        <v>417</v>
      </c>
      <c r="CX40" s="204">
        <v>5.2999999999999999E-2</v>
      </c>
      <c r="CY40" s="204">
        <v>8.3099999999999996E-7</v>
      </c>
      <c r="CZ40" s="81">
        <v>63749</v>
      </c>
      <c r="DA40" s="81" t="s">
        <v>505</v>
      </c>
      <c r="DB40" s="81" t="s">
        <v>510</v>
      </c>
      <c r="DF40" s="81" t="s">
        <v>389</v>
      </c>
      <c r="DG40" s="81" t="s">
        <v>390</v>
      </c>
      <c r="DH40" s="81" t="str">
        <f t="shared" si="13"/>
        <v>hwiN</v>
      </c>
      <c r="DI40" s="81" t="s">
        <v>434</v>
      </c>
      <c r="DJ40" s="204">
        <f t="shared" si="14"/>
        <v>882</v>
      </c>
      <c r="DK40" s="81" t="s">
        <v>392</v>
      </c>
      <c r="DM40" s="287">
        <f t="shared" si="0"/>
        <v>0</v>
      </c>
      <c r="DN40" s="287">
        <f t="shared" si="1"/>
        <v>0</v>
      </c>
      <c r="DO40" s="287">
        <f t="shared" si="2"/>
        <v>0</v>
      </c>
      <c r="DQ40" s="290" t="s">
        <v>506</v>
      </c>
      <c r="DR40" s="290" t="s">
        <v>479</v>
      </c>
      <c r="DS40" s="291">
        <v>-18.8</v>
      </c>
      <c r="DT40" s="291">
        <v>3.58</v>
      </c>
      <c r="DU40" s="290">
        <v>-5.26</v>
      </c>
      <c r="DV40" s="291">
        <v>1.4000000000000001E-7</v>
      </c>
      <c r="DW40" s="290" t="s">
        <v>510</v>
      </c>
      <c r="DX40" s="81"/>
      <c r="DY40" s="212" t="s">
        <v>568</v>
      </c>
      <c r="DZ40" s="295" t="s">
        <v>402</v>
      </c>
      <c r="EA40" s="292" t="s">
        <v>434</v>
      </c>
      <c r="EB40" s="293">
        <f t="shared" si="29"/>
        <v>0.73899999999999999</v>
      </c>
      <c r="EC40" s="212" t="s">
        <v>392</v>
      </c>
      <c r="EE40" s="160" t="s">
        <v>568</v>
      </c>
      <c r="EF40" s="324" t="s">
        <v>402</v>
      </c>
      <c r="EG40" s="322" t="s">
        <v>434</v>
      </c>
      <c r="EH40" s="160">
        <f>$AP16</f>
        <v>0.80776804912500333</v>
      </c>
      <c r="EI40" s="160" t="s">
        <v>392</v>
      </c>
    </row>
    <row r="41" spans="1:139" ht="15" customHeight="1" thickTop="1" thickBot="1" x14ac:dyDescent="0.3">
      <c r="A41" s="148" t="s">
        <v>272</v>
      </c>
      <c r="C41" s="81"/>
      <c r="D41" s="81"/>
      <c r="E41" s="81"/>
      <c r="F41" s="81"/>
      <c r="G41" s="81"/>
      <c r="H41" s="81"/>
      <c r="K41" s="81"/>
      <c r="L41"/>
      <c r="M41"/>
      <c r="N41" t="s">
        <v>126</v>
      </c>
      <c r="O41" s="3">
        <f>SUM(S26:S27)/1000000</f>
        <v>54.621285000000015</v>
      </c>
      <c r="P41" t="s">
        <v>125</v>
      </c>
      <c r="Q41" s="3">
        <f>SUM(U26:U27)/1000000</f>
        <v>54.621285000000015</v>
      </c>
      <c r="R41"/>
      <c r="X41" s="265"/>
      <c r="Y41" s="266" t="s">
        <v>27</v>
      </c>
      <c r="Z41" s="266" t="s">
        <v>28</v>
      </c>
      <c r="AA41" s="266" t="s">
        <v>29</v>
      </c>
      <c r="AB41" s="266" t="s">
        <v>30</v>
      </c>
      <c r="AC41" s="266" t="s">
        <v>31</v>
      </c>
      <c r="AD41" s="266" t="s">
        <v>32</v>
      </c>
      <c r="AE41" s="267" t="s">
        <v>33</v>
      </c>
      <c r="AF41" s="14"/>
      <c r="AG41" s="14"/>
      <c r="AH41" s="14"/>
      <c r="AQ41" s="81" t="s">
        <v>392</v>
      </c>
      <c r="AV41" s="205"/>
      <c r="AW41" s="205"/>
      <c r="AX41" s="205"/>
      <c r="AY41" s="207"/>
      <c r="BA41" s="205"/>
      <c r="BT41" s="204"/>
      <c r="BU41" s="81" t="s">
        <v>392</v>
      </c>
      <c r="BZ41" s="211"/>
      <c r="CA41" s="211"/>
      <c r="CH41" s="81" t="s">
        <v>493</v>
      </c>
      <c r="CI41" s="204">
        <v>6.4400000000000004E-3</v>
      </c>
      <c r="CJ41" s="204">
        <v>1.36E-4</v>
      </c>
      <c r="CK41">
        <v>47.2</v>
      </c>
      <c r="CL41" t="s">
        <v>505</v>
      </c>
      <c r="CV41" s="212" t="s">
        <v>506</v>
      </c>
      <c r="CW41" s="81" t="s">
        <v>402</v>
      </c>
      <c r="CX41" s="204">
        <v>0.65</v>
      </c>
      <c r="CY41" s="204">
        <v>9.5799999999999998E-6</v>
      </c>
      <c r="CZ41" s="81">
        <v>67820</v>
      </c>
      <c r="DA41" s="81" t="s">
        <v>505</v>
      </c>
      <c r="DB41" s="81" t="s">
        <v>510</v>
      </c>
      <c r="DF41" s="81" t="s">
        <v>389</v>
      </c>
      <c r="DG41" s="81" t="s">
        <v>390</v>
      </c>
      <c r="DH41" s="81" t="str">
        <f t="shared" si="13"/>
        <v>hwN</v>
      </c>
      <c r="DI41" s="81" t="s">
        <v>434</v>
      </c>
      <c r="DJ41" s="204">
        <f t="shared" si="14"/>
        <v>384</v>
      </c>
      <c r="DK41" s="81" t="s">
        <v>392</v>
      </c>
      <c r="DL41" s="81" t="s">
        <v>423</v>
      </c>
      <c r="DM41" s="286">
        <f t="shared" si="0"/>
        <v>0.20342721022369359</v>
      </c>
      <c r="DN41" s="286">
        <f t="shared" si="1"/>
        <v>0.112</v>
      </c>
      <c r="DO41" s="286">
        <f t="shared" si="2"/>
        <v>0.14199999999999999</v>
      </c>
      <c r="DQ41" s="290" t="s">
        <v>506</v>
      </c>
      <c r="DR41" s="290" t="s">
        <v>480</v>
      </c>
      <c r="DS41" s="291">
        <v>-21</v>
      </c>
      <c r="DT41" s="291">
        <v>1.57</v>
      </c>
      <c r="DU41" s="290">
        <v>-13.37</v>
      </c>
      <c r="DV41" s="290" t="s">
        <v>509</v>
      </c>
      <c r="DW41" s="291">
        <v>2E-16</v>
      </c>
      <c r="DX41" s="81" t="s">
        <v>510</v>
      </c>
      <c r="DY41" s="212" t="s">
        <v>568</v>
      </c>
      <c r="DZ41" s="292" t="s">
        <v>403</v>
      </c>
      <c r="EA41" s="292" t="s">
        <v>434</v>
      </c>
      <c r="EB41" s="293">
        <f t="shared" si="29"/>
        <v>0.11600000000000001</v>
      </c>
      <c r="EC41" s="212" t="s">
        <v>392</v>
      </c>
      <c r="EE41" s="160" t="s">
        <v>568</v>
      </c>
      <c r="EF41" s="322" t="s">
        <v>403</v>
      </c>
      <c r="EG41" s="322" t="s">
        <v>434</v>
      </c>
      <c r="EH41" s="160">
        <f>$AP17</f>
        <v>4.710945920969746E-2</v>
      </c>
      <c r="EI41" s="160" t="s">
        <v>392</v>
      </c>
    </row>
    <row r="42" spans="1:139" ht="15" customHeight="1" thickTop="1" thickBot="1" x14ac:dyDescent="0.3">
      <c r="A42" t="s">
        <v>273</v>
      </c>
      <c r="C42" s="81">
        <f>0.55</f>
        <v>0.55000000000000004</v>
      </c>
      <c r="D42" s="81"/>
      <c r="E42" s="81"/>
      <c r="F42" s="81"/>
      <c r="G42" s="81"/>
      <c r="H42" s="81"/>
      <c r="K42" s="81"/>
      <c r="L42"/>
      <c r="M42"/>
      <c r="N42" t="s">
        <v>127</v>
      </c>
      <c r="O42" s="3">
        <f>S14/1000000</f>
        <v>48.110861920000005</v>
      </c>
      <c r="Q42" s="3">
        <f>U14/1000000</f>
        <v>11.473264</v>
      </c>
      <c r="R42"/>
      <c r="X42" s="271"/>
      <c r="Y42" s="272" t="s">
        <v>128</v>
      </c>
      <c r="Z42" s="272">
        <v>0.02</v>
      </c>
      <c r="AA42" s="272">
        <v>1.4</v>
      </c>
      <c r="AB42" s="272">
        <v>2100</v>
      </c>
      <c r="AC42" s="272">
        <v>840</v>
      </c>
      <c r="AD42" s="273">
        <f>Z42/AA42</f>
        <v>1.4285714285714287E-2</v>
      </c>
      <c r="AE42" s="274">
        <f>Z42*AB42*AC42</f>
        <v>35280</v>
      </c>
      <c r="AF42" s="14" t="s">
        <v>104</v>
      </c>
      <c r="AG42" s="14"/>
      <c r="AH42" s="14"/>
      <c r="AM42" s="154" t="s">
        <v>389</v>
      </c>
      <c r="AN42" s="81" t="s">
        <v>390</v>
      </c>
      <c r="AO42" s="81" t="s">
        <v>423</v>
      </c>
      <c r="AP42" s="81">
        <f>SUM(O26)/SUM($O$6:$O$14,$O$26,2*$O$27,O30)</f>
        <v>0.20342721022369359</v>
      </c>
      <c r="AQ42" s="81" t="s">
        <v>392</v>
      </c>
      <c r="AR42" s="204">
        <v>0.112</v>
      </c>
      <c r="AV42" s="205" t="s">
        <v>389</v>
      </c>
      <c r="AW42" s="205" t="s">
        <v>390</v>
      </c>
      <c r="AX42" s="205" t="s">
        <v>423</v>
      </c>
      <c r="AY42" s="207" t="s">
        <v>434</v>
      </c>
      <c r="AZ42" s="206">
        <f t="shared" si="3"/>
        <v>0.14199999999999999</v>
      </c>
      <c r="BA42" s="205" t="s">
        <v>392</v>
      </c>
      <c r="BQ42" s="154" t="s">
        <v>389</v>
      </c>
      <c r="BR42" s="81" t="s">
        <v>390</v>
      </c>
      <c r="BS42" s="81" t="s">
        <v>423</v>
      </c>
      <c r="BT42" s="204">
        <f t="shared" si="20"/>
        <v>0.112</v>
      </c>
      <c r="BU42" s="81" t="s">
        <v>392</v>
      </c>
      <c r="BV42" s="204">
        <v>0.112</v>
      </c>
      <c r="BZ42" s="211">
        <f>CI16</f>
        <v>0.14199999999999999</v>
      </c>
      <c r="CA42" s="211"/>
      <c r="CH42" s="81" t="s">
        <v>494</v>
      </c>
      <c r="CI42" s="204">
        <v>143</v>
      </c>
      <c r="CJ42" s="204">
        <v>1.36</v>
      </c>
      <c r="CK42">
        <v>105.13</v>
      </c>
      <c r="CL42" t="s">
        <v>505</v>
      </c>
      <c r="CV42" s="212" t="s">
        <v>506</v>
      </c>
      <c r="CW42" s="81" t="s">
        <v>418</v>
      </c>
      <c r="CX42" s="204">
        <v>0.64500000000000002</v>
      </c>
      <c r="CY42" s="204">
        <v>9.5200000000000003E-6</v>
      </c>
      <c r="CZ42" s="81">
        <v>67783</v>
      </c>
      <c r="DA42" s="81" t="s">
        <v>505</v>
      </c>
      <c r="DB42" s="81" t="s">
        <v>510</v>
      </c>
      <c r="DF42" s="81" t="s">
        <v>389</v>
      </c>
      <c r="DG42" s="81" t="s">
        <v>390</v>
      </c>
      <c r="DH42" s="81" t="str">
        <f t="shared" si="13"/>
        <v>infD</v>
      </c>
      <c r="DI42" s="81" t="s">
        <v>434</v>
      </c>
      <c r="DJ42" s="204">
        <f t="shared" si="14"/>
        <v>53</v>
      </c>
      <c r="DK42" s="81" t="s">
        <v>392</v>
      </c>
      <c r="DL42" s="81" t="s">
        <v>424</v>
      </c>
      <c r="DM42" s="286">
        <f t="shared" si="0"/>
        <v>0.1851896518588321</v>
      </c>
      <c r="DN42" s="286">
        <f t="shared" si="1"/>
        <v>0.23</v>
      </c>
      <c r="DO42" s="286">
        <f t="shared" si="2"/>
        <v>0.34599999999999997</v>
      </c>
      <c r="DQ42" s="290" t="s">
        <v>506</v>
      </c>
      <c r="DR42" s="290" t="s">
        <v>481</v>
      </c>
      <c r="DS42" s="291">
        <v>6.1600000000000002E-2</v>
      </c>
      <c r="DT42" s="291">
        <v>2.3800000000000001E-4</v>
      </c>
      <c r="DU42" s="290">
        <v>258.60000000000002</v>
      </c>
      <c r="DV42" s="290" t="s">
        <v>509</v>
      </c>
      <c r="DW42" s="291">
        <v>2E-16</v>
      </c>
      <c r="DX42" s="81" t="s">
        <v>510</v>
      </c>
      <c r="DY42" s="212" t="s">
        <v>568</v>
      </c>
      <c r="DZ42" s="292" t="s">
        <v>518</v>
      </c>
      <c r="EA42" s="292" t="s">
        <v>434</v>
      </c>
      <c r="EB42" s="293">
        <f t="shared" si="29"/>
        <v>3.1399999999999997E-2</v>
      </c>
      <c r="EC42" s="212" t="s">
        <v>392</v>
      </c>
      <c r="EE42" s="160" t="s">
        <v>568</v>
      </c>
      <c r="EF42" s="322" t="s">
        <v>518</v>
      </c>
      <c r="EG42" s="322" t="s">
        <v>434</v>
      </c>
      <c r="EH42" s="160">
        <f>$AP46</f>
        <v>4.0685442044738722E-2</v>
      </c>
      <c r="EI42" s="160" t="s">
        <v>392</v>
      </c>
    </row>
    <row r="43" spans="1:139" ht="15" customHeight="1" thickTop="1" thickBot="1" x14ac:dyDescent="0.3">
      <c r="A43" t="s">
        <v>274</v>
      </c>
      <c r="C43" s="81">
        <f>B7/B6</f>
        <v>0.46160714285714288</v>
      </c>
      <c r="D43" s="81" t="s">
        <v>275</v>
      </c>
      <c r="E43" s="81"/>
      <c r="F43" s="81"/>
      <c r="G43" s="81"/>
      <c r="H43" s="81"/>
      <c r="K43" s="81"/>
      <c r="L43"/>
      <c r="M43"/>
      <c r="N43"/>
      <c r="Q43"/>
      <c r="R43"/>
      <c r="X43" s="220"/>
      <c r="Y43" s="221" t="s">
        <v>129</v>
      </c>
      <c r="Z43" s="221">
        <v>0.08</v>
      </c>
      <c r="AA43" s="221">
        <v>0.6</v>
      </c>
      <c r="AB43" s="221">
        <v>1100</v>
      </c>
      <c r="AC43" s="221">
        <v>860</v>
      </c>
      <c r="AD43" s="268">
        <f>Z43/AA43</f>
        <v>0.13333333333333333</v>
      </c>
      <c r="AE43" s="222">
        <f>Z43*AB43*AC43</f>
        <v>75680</v>
      </c>
      <c r="AF43" s="14"/>
      <c r="AG43" s="14"/>
      <c r="AH43" s="14"/>
      <c r="AM43" s="154" t="s">
        <v>389</v>
      </c>
      <c r="AN43" s="81" t="s">
        <v>390</v>
      </c>
      <c r="AO43" s="81" t="s">
        <v>424</v>
      </c>
      <c r="AP43" s="81">
        <f>SUM(O26)/SUM(O$17:O$25,2*O$28,O$26,O$31)</f>
        <v>0.1851896518588321</v>
      </c>
      <c r="AQ43" s="81" t="s">
        <v>392</v>
      </c>
      <c r="AR43" s="204">
        <v>0.23</v>
      </c>
      <c r="AV43" s="205" t="s">
        <v>389</v>
      </c>
      <c r="AW43" s="205" t="s">
        <v>390</v>
      </c>
      <c r="AX43" s="205" t="s">
        <v>424</v>
      </c>
      <c r="AY43" s="207" t="s">
        <v>434</v>
      </c>
      <c r="AZ43" s="206">
        <f t="shared" si="3"/>
        <v>0.34599999999999997</v>
      </c>
      <c r="BA43" s="205" t="s">
        <v>392</v>
      </c>
      <c r="BQ43" s="154" t="s">
        <v>389</v>
      </c>
      <c r="BR43" s="81" t="s">
        <v>390</v>
      </c>
      <c r="BS43" s="81" t="s">
        <v>424</v>
      </c>
      <c r="BT43" s="204">
        <f t="shared" si="20"/>
        <v>0.23</v>
      </c>
      <c r="BU43" s="81" t="s">
        <v>392</v>
      </c>
      <c r="BV43" s="204">
        <v>0.23</v>
      </c>
      <c r="BZ43" s="211">
        <f>CO14</f>
        <v>0.34599999999999997</v>
      </c>
      <c r="CA43" s="211"/>
      <c r="CH43" s="81" t="s">
        <v>495</v>
      </c>
      <c r="CI43" s="204">
        <v>1.35E-4</v>
      </c>
      <c r="CJ43" s="204">
        <v>1.1900000000000001E-3</v>
      </c>
      <c r="CK43">
        <v>0.11</v>
      </c>
      <c r="CL43">
        <v>0.91</v>
      </c>
      <c r="CV43" s="212" t="s">
        <v>506</v>
      </c>
      <c r="CW43" s="81" t="s">
        <v>518</v>
      </c>
      <c r="CX43" s="204">
        <v>7.0000000000000007E-2</v>
      </c>
      <c r="CY43" s="204">
        <v>1.1000000000000001E-6</v>
      </c>
      <c r="CZ43" s="81">
        <v>63858</v>
      </c>
      <c r="DA43" s="81" t="s">
        <v>505</v>
      </c>
      <c r="DB43" s="81" t="s">
        <v>510</v>
      </c>
      <c r="DF43" s="81" t="s">
        <v>389</v>
      </c>
      <c r="DG43" s="81" t="s">
        <v>390</v>
      </c>
      <c r="DH43" s="81" t="str">
        <f t="shared" si="13"/>
        <v>infN</v>
      </c>
      <c r="DI43" s="81" t="s">
        <v>434</v>
      </c>
      <c r="DJ43" s="204">
        <f t="shared" si="14"/>
        <v>36.9</v>
      </c>
      <c r="DK43" s="81" t="s">
        <v>392</v>
      </c>
      <c r="DL43" s="81" t="s">
        <v>425</v>
      </c>
      <c r="DM43" s="288">
        <f t="shared" si="0"/>
        <v>20786361.000000004</v>
      </c>
      <c r="DN43" s="288">
        <f t="shared" si="1"/>
        <v>10700000</v>
      </c>
      <c r="DO43" s="288">
        <f t="shared" si="2"/>
        <v>120000000</v>
      </c>
      <c r="DQ43" s="290" t="s">
        <v>506</v>
      </c>
      <c r="DR43" s="290" t="s">
        <v>482</v>
      </c>
      <c r="DS43" s="291">
        <v>0.126</v>
      </c>
      <c r="DT43" s="291">
        <v>4.9799999999999996E-4</v>
      </c>
      <c r="DU43" s="290">
        <v>252.28</v>
      </c>
      <c r="DV43" s="290" t="s">
        <v>509</v>
      </c>
      <c r="DW43" s="291">
        <v>2E-16</v>
      </c>
      <c r="DX43" s="81" t="s">
        <v>510</v>
      </c>
      <c r="EA43" s="292"/>
      <c r="EE43" s="160"/>
      <c r="EF43" s="160"/>
      <c r="EG43" s="322"/>
      <c r="EH43" s="160"/>
      <c r="EI43" s="160"/>
    </row>
    <row r="44" spans="1:139" ht="15" customHeight="1" thickTop="1" thickBot="1" x14ac:dyDescent="0.3">
      <c r="A44" t="s">
        <v>277</v>
      </c>
      <c r="C44" s="81">
        <v>0.7</v>
      </c>
      <c r="D44" s="81"/>
      <c r="E44" s="79"/>
      <c r="F44" s="81"/>
      <c r="G44" s="81"/>
      <c r="H44" s="81"/>
      <c r="K44" s="81"/>
      <c r="L44"/>
      <c r="M44"/>
      <c r="N44"/>
      <c r="Q44"/>
      <c r="R44"/>
      <c r="X44" s="220"/>
      <c r="Y44" s="221" t="s">
        <v>276</v>
      </c>
      <c r="Z44" s="221">
        <v>0.04</v>
      </c>
      <c r="AA44" s="221">
        <v>3.5999999999999997E-2</v>
      </c>
      <c r="AB44" s="221">
        <v>26</v>
      </c>
      <c r="AC44" s="221">
        <v>1470</v>
      </c>
      <c r="AD44" s="268">
        <f>Z44/AA44</f>
        <v>1.1111111111111112</v>
      </c>
      <c r="AE44" s="222">
        <f>Z44*AB44*AC44</f>
        <v>1528.8</v>
      </c>
      <c r="AF44" s="14"/>
      <c r="AG44" s="14"/>
      <c r="AH44" s="14"/>
      <c r="AM44" s="154" t="s">
        <v>389</v>
      </c>
      <c r="AN44" s="81" t="s">
        <v>390</v>
      </c>
      <c r="AO44" s="81" t="s">
        <v>425</v>
      </c>
      <c r="AP44" s="81">
        <f>U26/2</f>
        <v>20786361.000000004</v>
      </c>
      <c r="AQ44" s="81" t="s">
        <v>392</v>
      </c>
      <c r="AR44" s="204">
        <v>10700000</v>
      </c>
      <c r="AV44" s="205" t="s">
        <v>389</v>
      </c>
      <c r="AW44" s="205" t="s">
        <v>390</v>
      </c>
      <c r="AX44" s="205" t="s">
        <v>425</v>
      </c>
      <c r="AY44" s="207" t="s">
        <v>434</v>
      </c>
      <c r="AZ44" s="206">
        <f t="shared" si="3"/>
        <v>120000000</v>
      </c>
      <c r="BA44" s="205" t="s">
        <v>392</v>
      </c>
      <c r="BQ44" s="154" t="s">
        <v>389</v>
      </c>
      <c r="BR44" s="81" t="s">
        <v>390</v>
      </c>
      <c r="BS44" s="81" t="s">
        <v>425</v>
      </c>
      <c r="BT44" s="204">
        <f t="shared" si="20"/>
        <v>10700000</v>
      </c>
      <c r="BU44" s="81" t="s">
        <v>392</v>
      </c>
      <c r="BV44" s="204">
        <v>10700000</v>
      </c>
      <c r="BZ44" s="211">
        <f>CP51</f>
        <v>120000000</v>
      </c>
      <c r="CA44" s="211"/>
      <c r="CH44" s="81" t="s">
        <v>496</v>
      </c>
      <c r="CI44" s="204">
        <v>58.3</v>
      </c>
      <c r="CJ44" s="204">
        <v>1.63</v>
      </c>
      <c r="CK44">
        <v>35.75</v>
      </c>
      <c r="CL44" t="s">
        <v>505</v>
      </c>
      <c r="CN44" s="81" t="s">
        <v>497</v>
      </c>
      <c r="CO44" s="81" t="s">
        <v>512</v>
      </c>
      <c r="CP44" s="81"/>
      <c r="CQ44" s="81"/>
      <c r="CR44" s="81"/>
      <c r="CS44" s="81"/>
      <c r="CT44" s="81"/>
      <c r="CU44" s="81"/>
      <c r="CV44" s="212" t="s">
        <v>506</v>
      </c>
      <c r="CW44" s="81" t="s">
        <v>519</v>
      </c>
      <c r="CX44" s="204">
        <v>0.13</v>
      </c>
      <c r="CY44" s="204">
        <v>2.0200000000000001E-6</v>
      </c>
      <c r="CZ44" s="81">
        <v>64246</v>
      </c>
      <c r="DA44" s="81" t="s">
        <v>505</v>
      </c>
      <c r="DB44" s="81" t="s">
        <v>510</v>
      </c>
      <c r="DF44" s="81"/>
      <c r="DG44" s="81"/>
      <c r="DH44" s="81"/>
      <c r="DI44" s="81"/>
      <c r="DJ44" s="204"/>
      <c r="DK44" s="81"/>
      <c r="DL44" s="81" t="s">
        <v>426</v>
      </c>
      <c r="DM44" s="288">
        <f t="shared" si="0"/>
        <v>20786361.000000004</v>
      </c>
      <c r="DN44" s="288">
        <f t="shared" si="1"/>
        <v>33900000</v>
      </c>
      <c r="DO44" s="288">
        <f t="shared" si="2"/>
        <v>630000</v>
      </c>
      <c r="DQ44" s="290" t="s">
        <v>506</v>
      </c>
      <c r="DR44" s="290" t="s">
        <v>483</v>
      </c>
      <c r="DS44" s="291">
        <v>0.73899999999999999</v>
      </c>
      <c r="DT44" s="291">
        <v>7.3000000000000001E-3</v>
      </c>
      <c r="DU44" s="290">
        <v>101.2</v>
      </c>
      <c r="DV44" s="290" t="s">
        <v>509</v>
      </c>
      <c r="DW44" s="291">
        <v>2E-16</v>
      </c>
      <c r="DX44" s="81" t="s">
        <v>510</v>
      </c>
      <c r="DY44" s="212" t="s">
        <v>568</v>
      </c>
      <c r="DZ44" s="297" t="s">
        <v>590</v>
      </c>
      <c r="EA44" s="292" t="s">
        <v>434</v>
      </c>
      <c r="EB44" s="293">
        <f>DS69</f>
        <v>0.61299999999999999</v>
      </c>
      <c r="EC44" s="212" t="s">
        <v>392</v>
      </c>
      <c r="EE44" s="160" t="s">
        <v>568</v>
      </c>
      <c r="EF44" s="327" t="s">
        <v>590</v>
      </c>
      <c r="EG44" s="322" t="s">
        <v>434</v>
      </c>
      <c r="EH44" s="160">
        <f>$O$11*$Z$37*$AP$26</f>
        <v>0.78344645678150082</v>
      </c>
      <c r="EI44" s="160" t="s">
        <v>392</v>
      </c>
    </row>
    <row r="45" spans="1:139" ht="15" customHeight="1" thickTop="1" thickBot="1" x14ac:dyDescent="0.3">
      <c r="A45" t="s">
        <v>278</v>
      </c>
      <c r="C45" s="81">
        <v>0.5</v>
      </c>
      <c r="D45" s="81"/>
      <c r="E45" s="79"/>
      <c r="F45" s="81"/>
      <c r="G45" s="81"/>
      <c r="H45" s="81"/>
      <c r="K45" s="81"/>
      <c r="L45"/>
      <c r="M45"/>
      <c r="N45"/>
      <c r="Q45"/>
      <c r="R45"/>
      <c r="X45" s="220"/>
      <c r="Y45" s="221" t="s">
        <v>131</v>
      </c>
      <c r="Z45" s="221">
        <v>0.2</v>
      </c>
      <c r="AA45" s="221">
        <v>1.4</v>
      </c>
      <c r="AB45" s="221">
        <v>2100</v>
      </c>
      <c r="AC45" s="221">
        <v>840</v>
      </c>
      <c r="AD45" s="268">
        <f>Z45/AA45</f>
        <v>0.14285714285714288</v>
      </c>
      <c r="AE45" s="222">
        <f>Z45*AB45*AC45</f>
        <v>352800</v>
      </c>
      <c r="AF45" s="14"/>
      <c r="AG45" s="14"/>
      <c r="AH45" s="14"/>
      <c r="AM45" s="154" t="s">
        <v>389</v>
      </c>
      <c r="AN45" s="81" t="s">
        <v>390</v>
      </c>
      <c r="AO45" s="81" t="s">
        <v>426</v>
      </c>
      <c r="AP45" s="81">
        <f>U26/2</f>
        <v>20786361.000000004</v>
      </c>
      <c r="AQ45" s="81" t="s">
        <v>392</v>
      </c>
      <c r="AR45" s="204">
        <v>33900000</v>
      </c>
      <c r="AV45" s="205" t="s">
        <v>389</v>
      </c>
      <c r="AW45" s="205" t="s">
        <v>390</v>
      </c>
      <c r="AX45" s="205" t="s">
        <v>426</v>
      </c>
      <c r="AY45" s="207" t="s">
        <v>434</v>
      </c>
      <c r="AZ45" s="206">
        <f t="shared" si="3"/>
        <v>630000</v>
      </c>
      <c r="BA45" s="205" t="s">
        <v>392</v>
      </c>
      <c r="BQ45" s="154" t="s">
        <v>389</v>
      </c>
      <c r="BR45" s="81" t="s">
        <v>390</v>
      </c>
      <c r="BS45" s="81" t="s">
        <v>426</v>
      </c>
      <c r="BT45" s="204">
        <f t="shared" si="20"/>
        <v>33900000</v>
      </c>
      <c r="BU45" s="81" t="s">
        <v>392</v>
      </c>
      <c r="BV45" s="204">
        <v>33900000</v>
      </c>
      <c r="BZ45" s="211">
        <f>CP52</f>
        <v>630000</v>
      </c>
      <c r="CA45" s="211"/>
      <c r="CN45" s="81" t="s">
        <v>506</v>
      </c>
      <c r="CO45" s="81" t="s">
        <v>499</v>
      </c>
      <c r="CP45" s="81"/>
      <c r="CQ45" s="81"/>
      <c r="CR45" s="81"/>
      <c r="CS45" s="81"/>
      <c r="CT45" s="81"/>
      <c r="CU45" s="81"/>
      <c r="CV45" s="212" t="s">
        <v>506</v>
      </c>
      <c r="CW45" s="81" t="s">
        <v>404</v>
      </c>
      <c r="CX45" s="204">
        <v>281</v>
      </c>
      <c r="CY45" s="204">
        <v>1.15E-3</v>
      </c>
      <c r="CZ45" s="81">
        <v>244765</v>
      </c>
      <c r="DA45" s="81" t="s">
        <v>505</v>
      </c>
      <c r="DB45" s="81" t="s">
        <v>510</v>
      </c>
      <c r="DF45" s="81"/>
      <c r="DG45" s="81"/>
      <c r="DH45" s="81"/>
      <c r="DI45" s="81"/>
      <c r="DJ45" s="204"/>
      <c r="DK45" s="81"/>
      <c r="DL45" s="81" t="s">
        <v>427</v>
      </c>
      <c r="DM45" s="286">
        <f t="shared" si="0"/>
        <v>4.0685442044738722E-2</v>
      </c>
      <c r="DN45" s="286">
        <f t="shared" si="1"/>
        <v>7.5399999999999995E-2</v>
      </c>
      <c r="DO45" s="286">
        <f t="shared" si="2"/>
        <v>5.4300000000000001E-2</v>
      </c>
      <c r="DQ45" s="290" t="s">
        <v>506</v>
      </c>
      <c r="DR45" s="290" t="s">
        <v>484</v>
      </c>
      <c r="DS45" s="291">
        <v>0.11600000000000001</v>
      </c>
      <c r="DT45" s="291">
        <v>3.1799999999999998E-4</v>
      </c>
      <c r="DU45" s="290">
        <v>365.49</v>
      </c>
      <c r="DV45" s="290" t="s">
        <v>509</v>
      </c>
      <c r="DW45" s="291">
        <v>2E-16</v>
      </c>
      <c r="DX45" s="81" t="s">
        <v>510</v>
      </c>
      <c r="DY45" s="212" t="s">
        <v>568</v>
      </c>
      <c r="DZ45" s="297" t="s">
        <v>591</v>
      </c>
      <c r="EA45" s="292" t="s">
        <v>434</v>
      </c>
      <c r="EB45" s="293">
        <f t="shared" ref="EB45:EB59" si="30">DS70</f>
        <v>1.3399999999999999E-9</v>
      </c>
      <c r="EC45" s="212" t="s">
        <v>392</v>
      </c>
      <c r="EE45" s="160" t="s">
        <v>568</v>
      </c>
      <c r="EF45" s="327" t="s">
        <v>591</v>
      </c>
      <c r="EG45" s="322" t="s">
        <v>434</v>
      </c>
      <c r="EH45" s="160">
        <f>$O$10*$Z$37*$AP$26</f>
        <v>0.91969801448263133</v>
      </c>
      <c r="EI45" s="160" t="s">
        <v>392</v>
      </c>
    </row>
    <row r="46" spans="1:139" ht="15" customHeight="1" thickTop="1" thickBot="1" x14ac:dyDescent="0.3">
      <c r="C46" s="81"/>
      <c r="D46" s="81"/>
      <c r="E46" s="81"/>
      <c r="F46" s="81"/>
      <c r="G46" s="81"/>
      <c r="H46" s="81"/>
      <c r="K46" s="81"/>
      <c r="L46"/>
      <c r="M46"/>
      <c r="N46"/>
      <c r="Q46"/>
      <c r="R46"/>
      <c r="X46" s="237"/>
      <c r="Y46" s="219" t="s">
        <v>132</v>
      </c>
      <c r="Z46" s="219">
        <v>0</v>
      </c>
      <c r="AA46" s="219">
        <v>0.02</v>
      </c>
      <c r="AB46" s="219">
        <v>30</v>
      </c>
      <c r="AC46" s="219">
        <v>1470</v>
      </c>
      <c r="AD46" s="269">
        <f>Z46/AA46</f>
        <v>0</v>
      </c>
      <c r="AE46" s="242">
        <f>Z46*AB46*AC46</f>
        <v>0</v>
      </c>
      <c r="AF46" s="14"/>
      <c r="AG46" s="14"/>
      <c r="AH46" s="14"/>
      <c r="AM46" s="154" t="s">
        <v>389</v>
      </c>
      <c r="AN46" s="81" t="s">
        <v>390</v>
      </c>
      <c r="AO46" s="81" t="s">
        <v>427</v>
      </c>
      <c r="AP46" s="81">
        <f>AP42*0.2</f>
        <v>4.0685442044738722E-2</v>
      </c>
      <c r="AQ46" s="81" t="s">
        <v>392</v>
      </c>
      <c r="AR46" s="204">
        <v>7.5399999999999995E-2</v>
      </c>
      <c r="AV46" s="205" t="s">
        <v>389</v>
      </c>
      <c r="AW46" s="205" t="s">
        <v>390</v>
      </c>
      <c r="AX46" s="205" t="s">
        <v>427</v>
      </c>
      <c r="AY46" s="207" t="s">
        <v>434</v>
      </c>
      <c r="AZ46" s="206">
        <f t="shared" si="3"/>
        <v>5.4300000000000001E-2</v>
      </c>
      <c r="BA46" s="205" t="s">
        <v>392</v>
      </c>
      <c r="BQ46" s="154" t="s">
        <v>389</v>
      </c>
      <c r="BR46" s="81" t="s">
        <v>390</v>
      </c>
      <c r="BS46" s="81" t="s">
        <v>427</v>
      </c>
      <c r="BT46" s="204">
        <f t="shared" si="20"/>
        <v>7.5399999999999995E-2</v>
      </c>
      <c r="BU46" s="81" t="s">
        <v>392</v>
      </c>
      <c r="BV46" s="204">
        <v>7.5399999999999995E-2</v>
      </c>
      <c r="BZ46" s="211">
        <f>CI31</f>
        <v>5.4300000000000001E-2</v>
      </c>
      <c r="CA46" s="211"/>
      <c r="CN46" s="81" t="s">
        <v>506</v>
      </c>
      <c r="CO46" s="81" t="s">
        <v>500</v>
      </c>
      <c r="CP46" s="81" t="s">
        <v>501</v>
      </c>
      <c r="CQ46" s="81" t="s">
        <v>502</v>
      </c>
      <c r="CR46" s="81" t="s">
        <v>503</v>
      </c>
      <c r="CS46" s="81" t="s">
        <v>504</v>
      </c>
      <c r="CT46" s="81" t="s">
        <v>508</v>
      </c>
      <c r="CU46" s="81"/>
      <c r="CV46" s="212" t="s">
        <v>506</v>
      </c>
      <c r="CW46" s="81" t="s">
        <v>406</v>
      </c>
      <c r="CX46" s="204">
        <v>705</v>
      </c>
      <c r="CY46" s="204">
        <v>2.7899999999999999E-3</v>
      </c>
      <c r="CZ46" s="81">
        <v>252594</v>
      </c>
      <c r="DA46" s="81" t="s">
        <v>505</v>
      </c>
      <c r="DB46" s="81" t="s">
        <v>510</v>
      </c>
      <c r="DF46" s="81"/>
      <c r="DG46" s="81"/>
      <c r="DH46" s="81"/>
      <c r="DI46" s="81"/>
      <c r="DJ46" s="204"/>
      <c r="DK46" s="81"/>
      <c r="DL46" s="81" t="s">
        <v>428</v>
      </c>
      <c r="DM46" s="286">
        <f t="shared" si="0"/>
        <v>3.703793037176642E-2</v>
      </c>
      <c r="DN46" s="286">
        <f t="shared" si="1"/>
        <v>0.127</v>
      </c>
      <c r="DO46" s="286">
        <f t="shared" si="2"/>
        <v>9.5100000000000004E-2</v>
      </c>
      <c r="DQ46" s="290" t="s">
        <v>506</v>
      </c>
      <c r="DR46" s="290" t="s">
        <v>485</v>
      </c>
      <c r="DS46" s="291">
        <v>3.1399999999999997E-2</v>
      </c>
      <c r="DT46" s="291">
        <v>2.05E-4</v>
      </c>
      <c r="DU46" s="290">
        <v>153.07</v>
      </c>
      <c r="DV46" s="290" t="s">
        <v>509</v>
      </c>
      <c r="DW46" s="291">
        <v>2E-16</v>
      </c>
      <c r="DX46" s="81" t="s">
        <v>510</v>
      </c>
      <c r="DY46" s="212" t="s">
        <v>568</v>
      </c>
      <c r="DZ46" s="297" t="s">
        <v>592</v>
      </c>
      <c r="EA46" s="292" t="s">
        <v>434</v>
      </c>
      <c r="EB46" s="293">
        <f t="shared" si="30"/>
        <v>0.84499999999999997</v>
      </c>
      <c r="EC46" s="212" t="s">
        <v>392</v>
      </c>
      <c r="EE46" s="160" t="s">
        <v>568</v>
      </c>
      <c r="EF46" s="327" t="s">
        <v>592</v>
      </c>
      <c r="EG46" s="322" t="s">
        <v>434</v>
      </c>
      <c r="EH46" s="160">
        <f>$O$12*$Z$37*$AP$26</f>
        <v>1.0218866827584792</v>
      </c>
      <c r="EI46" s="160" t="s">
        <v>392</v>
      </c>
    </row>
    <row r="47" spans="1:139" ht="15" customHeight="1" thickTop="1" thickBot="1" x14ac:dyDescent="0.3">
      <c r="B47" s="3"/>
      <c r="C47" s="81"/>
      <c r="D47" s="81"/>
      <c r="E47" s="81"/>
      <c r="F47" s="81"/>
      <c r="G47" s="81"/>
      <c r="H47" s="81"/>
      <c r="K47" s="81"/>
      <c r="L47"/>
      <c r="M47"/>
      <c r="N47"/>
      <c r="Q47"/>
      <c r="R47"/>
      <c r="X47" s="221"/>
      <c r="Y47" s="221"/>
      <c r="Z47" s="221"/>
      <c r="AA47" s="221"/>
      <c r="AB47" s="221"/>
      <c r="AC47" s="221"/>
      <c r="AD47" s="268"/>
      <c r="AE47" s="221"/>
      <c r="AF47" s="14"/>
      <c r="AG47" s="14"/>
      <c r="AH47" s="14"/>
      <c r="AM47" s="154" t="s">
        <v>389</v>
      </c>
      <c r="AN47" s="81" t="s">
        <v>390</v>
      </c>
      <c r="AO47" s="81" t="s">
        <v>428</v>
      </c>
      <c r="AP47" s="81">
        <f>AP43*0.2</f>
        <v>3.703793037176642E-2</v>
      </c>
      <c r="AQ47" s="81" t="s">
        <v>392</v>
      </c>
      <c r="AR47" s="204">
        <v>0.127</v>
      </c>
      <c r="AV47" s="205" t="s">
        <v>389</v>
      </c>
      <c r="AW47" s="205" t="s">
        <v>390</v>
      </c>
      <c r="AX47" s="205" t="s">
        <v>428</v>
      </c>
      <c r="AY47" s="207" t="s">
        <v>434</v>
      </c>
      <c r="AZ47" s="206">
        <f t="shared" si="3"/>
        <v>9.5100000000000004E-2</v>
      </c>
      <c r="BA47" s="205" t="s">
        <v>392</v>
      </c>
      <c r="BQ47" s="154" t="s">
        <v>389</v>
      </c>
      <c r="BR47" s="81" t="s">
        <v>390</v>
      </c>
      <c r="BS47" s="81" t="s">
        <v>428</v>
      </c>
      <c r="BT47" s="204">
        <f t="shared" si="20"/>
        <v>0.127</v>
      </c>
      <c r="BU47" s="81" t="s">
        <v>392</v>
      </c>
      <c r="BV47" s="204">
        <v>0.127</v>
      </c>
      <c r="BZ47" s="211">
        <f>CO26</f>
        <v>9.5100000000000004E-2</v>
      </c>
      <c r="CA47" s="211"/>
      <c r="CN47" s="81" t="s">
        <v>506</v>
      </c>
      <c r="CO47" s="81" t="s">
        <v>513</v>
      </c>
      <c r="CP47" s="204">
        <v>290</v>
      </c>
      <c r="CQ47" s="204">
        <v>0.14499999999999999</v>
      </c>
      <c r="CR47" s="81">
        <v>1995.82</v>
      </c>
      <c r="CS47" s="81" t="s">
        <v>509</v>
      </c>
      <c r="CT47" s="204">
        <v>2E-16</v>
      </c>
      <c r="CU47" s="81" t="s">
        <v>510</v>
      </c>
      <c r="CV47" s="212" t="s">
        <v>506</v>
      </c>
      <c r="CW47" s="81" t="s">
        <v>420</v>
      </c>
      <c r="CX47" s="204">
        <v>882</v>
      </c>
      <c r="CY47" s="204">
        <v>6.6800000000000002E-3</v>
      </c>
      <c r="CZ47" s="81">
        <v>132039</v>
      </c>
      <c r="DA47" s="81" t="s">
        <v>505</v>
      </c>
      <c r="DB47" s="81" t="s">
        <v>510</v>
      </c>
      <c r="DF47" s="81"/>
      <c r="DG47" s="81"/>
      <c r="DH47" s="81"/>
      <c r="DI47" s="81"/>
      <c r="DJ47" s="204"/>
      <c r="DK47" s="81"/>
      <c r="DL47" s="81" t="s">
        <v>429</v>
      </c>
      <c r="DM47" s="289">
        <f t="shared" si="0"/>
        <v>519.71362586605085</v>
      </c>
      <c r="DN47" s="289">
        <f t="shared" si="1"/>
        <v>599</v>
      </c>
      <c r="DO47" s="289">
        <f t="shared" si="2"/>
        <v>138</v>
      </c>
      <c r="DQ47" s="290" t="s">
        <v>506</v>
      </c>
      <c r="DR47" s="290" t="s">
        <v>619</v>
      </c>
      <c r="DS47" s="291">
        <v>105</v>
      </c>
      <c r="DT47" s="291">
        <v>0.44600000000000001</v>
      </c>
      <c r="DU47" s="290">
        <v>235.33</v>
      </c>
      <c r="DV47" s="290" t="s">
        <v>509</v>
      </c>
      <c r="DW47" s="291">
        <v>2E-16</v>
      </c>
      <c r="DX47" s="81" t="s">
        <v>510</v>
      </c>
      <c r="DY47" s="212" t="s">
        <v>568</v>
      </c>
      <c r="DZ47" s="297" t="s">
        <v>593</v>
      </c>
      <c r="EA47" s="292" t="s">
        <v>434</v>
      </c>
      <c r="EB47" s="293">
        <f t="shared" si="30"/>
        <v>0.98199999999999998</v>
      </c>
      <c r="EC47" s="212" t="s">
        <v>392</v>
      </c>
      <c r="EE47" s="160" t="s">
        <v>568</v>
      </c>
      <c r="EF47" s="327" t="s">
        <v>593</v>
      </c>
      <c r="EG47" s="322" t="s">
        <v>434</v>
      </c>
      <c r="EH47" s="160">
        <f>$O$13*$Z$37*$AP$26</f>
        <v>1.1467839439845156</v>
      </c>
      <c r="EI47" s="160" t="s">
        <v>392</v>
      </c>
    </row>
    <row r="48" spans="1:139" ht="15" customHeight="1" thickTop="1" thickBot="1" x14ac:dyDescent="0.3">
      <c r="B48" s="3"/>
      <c r="C48" s="81"/>
      <c r="D48" s="81"/>
      <c r="E48" s="81"/>
      <c r="F48" s="81"/>
      <c r="G48" s="81"/>
      <c r="H48" s="81"/>
      <c r="K48" s="81"/>
      <c r="L48"/>
      <c r="M48"/>
      <c r="N48"/>
      <c r="Q48"/>
      <c r="R48"/>
      <c r="X48" s="258"/>
      <c r="Y48" s="258"/>
      <c r="Z48" s="277"/>
      <c r="AA48" s="277"/>
      <c r="AB48" s="277"/>
      <c r="AC48" s="258"/>
      <c r="AD48" s="258"/>
      <c r="AE48" s="258"/>
      <c r="AF48" s="14"/>
      <c r="AG48" s="14"/>
      <c r="AH48" s="14"/>
      <c r="AM48" s="154" t="s">
        <v>389</v>
      </c>
      <c r="AN48" s="81" t="s">
        <v>390</v>
      </c>
      <c r="AO48" s="81" t="s">
        <v>429</v>
      </c>
      <c r="AP48" s="81">
        <f>AA27*4*O26</f>
        <v>519.71362586605085</v>
      </c>
      <c r="AQ48" s="81" t="s">
        <v>392</v>
      </c>
      <c r="AR48" s="204">
        <v>599</v>
      </c>
      <c r="AV48" s="205" t="s">
        <v>389</v>
      </c>
      <c r="AW48" s="205" t="s">
        <v>390</v>
      </c>
      <c r="AX48" s="205" t="s">
        <v>429</v>
      </c>
      <c r="AY48" s="207" t="s">
        <v>434</v>
      </c>
      <c r="AZ48" s="206">
        <f t="shared" si="3"/>
        <v>138</v>
      </c>
      <c r="BA48" s="205" t="s">
        <v>392</v>
      </c>
      <c r="BQ48" s="154" t="s">
        <v>389</v>
      </c>
      <c r="BR48" s="81" t="s">
        <v>390</v>
      </c>
      <c r="BS48" s="81" t="s">
        <v>429</v>
      </c>
      <c r="BT48" s="204">
        <f t="shared" si="20"/>
        <v>599</v>
      </c>
      <c r="BU48" s="81" t="s">
        <v>392</v>
      </c>
      <c r="BV48" s="204">
        <v>599</v>
      </c>
      <c r="BZ48" s="211">
        <f>CP60</f>
        <v>138</v>
      </c>
      <c r="CA48" s="211"/>
      <c r="CN48" s="81" t="s">
        <v>506</v>
      </c>
      <c r="CO48" s="81" t="s">
        <v>514</v>
      </c>
      <c r="CP48" s="204">
        <v>291</v>
      </c>
      <c r="CQ48" s="204">
        <v>0.76600000000000001</v>
      </c>
      <c r="CR48" s="81">
        <v>379.48</v>
      </c>
      <c r="CS48" s="81" t="s">
        <v>509</v>
      </c>
      <c r="CT48" s="204">
        <v>2E-16</v>
      </c>
      <c r="CU48" s="81" t="s">
        <v>510</v>
      </c>
      <c r="CV48" s="212" t="s">
        <v>506</v>
      </c>
      <c r="CW48" s="81" t="s">
        <v>419</v>
      </c>
      <c r="CX48" s="204">
        <v>384</v>
      </c>
      <c r="CY48" s="204">
        <v>1.17E-3</v>
      </c>
      <c r="CZ48" s="81">
        <v>328443</v>
      </c>
      <c r="DA48" s="81" t="s">
        <v>505</v>
      </c>
      <c r="DB48" s="81" t="s">
        <v>510</v>
      </c>
      <c r="DF48" s="81"/>
      <c r="DG48" s="81"/>
      <c r="DH48" s="81"/>
      <c r="DI48" s="81"/>
      <c r="DJ48" s="204"/>
      <c r="DK48" s="81"/>
      <c r="DL48" s="81" t="s">
        <v>430</v>
      </c>
      <c r="DM48" s="289">
        <f t="shared" si="0"/>
        <v>259.85681293302542</v>
      </c>
      <c r="DN48" s="289">
        <f t="shared" si="1"/>
        <v>537</v>
      </c>
      <c r="DO48" s="289">
        <f t="shared" si="2"/>
        <v>7610</v>
      </c>
      <c r="DQ48" s="290" t="s">
        <v>506</v>
      </c>
      <c r="DR48" s="290" t="s">
        <v>487</v>
      </c>
      <c r="DS48" s="291">
        <v>148</v>
      </c>
      <c r="DT48" s="291">
        <v>0.52200000000000002</v>
      </c>
      <c r="DU48" s="290">
        <v>282.66000000000003</v>
      </c>
      <c r="DV48" s="290" t="s">
        <v>509</v>
      </c>
      <c r="DW48" s="291">
        <v>2E-16</v>
      </c>
      <c r="DX48" s="81" t="s">
        <v>510</v>
      </c>
      <c r="DY48" s="212" t="s">
        <v>568</v>
      </c>
      <c r="DZ48" s="297" t="s">
        <v>594</v>
      </c>
      <c r="EA48" s="292" t="s">
        <v>434</v>
      </c>
      <c r="EB48" s="293">
        <f t="shared" si="30"/>
        <v>0.72</v>
      </c>
      <c r="EC48" s="212" t="s">
        <v>392</v>
      </c>
      <c r="EE48" s="160" t="s">
        <v>568</v>
      </c>
      <c r="EF48" s="327" t="s">
        <v>594</v>
      </c>
      <c r="EG48" s="322" t="s">
        <v>434</v>
      </c>
      <c r="EH48" s="160">
        <f>$O$11*$Z$37*$AP$27</f>
        <v>0.80312847500189521</v>
      </c>
      <c r="EI48" s="160" t="s">
        <v>392</v>
      </c>
    </row>
    <row r="49" spans="2:139" ht="15" customHeight="1" thickTop="1" thickBot="1" x14ac:dyDescent="0.3">
      <c r="B49" s="3"/>
      <c r="C49" s="81"/>
      <c r="D49" s="81"/>
      <c r="E49" s="81"/>
      <c r="F49" s="81"/>
      <c r="G49" s="81"/>
      <c r="H49" s="81"/>
      <c r="K49" s="81"/>
      <c r="L49"/>
      <c r="M49"/>
      <c r="N49"/>
      <c r="Q49"/>
      <c r="R49"/>
      <c r="X49" s="278" t="s">
        <v>68</v>
      </c>
      <c r="Y49" s="279"/>
      <c r="Z49" s="280" t="s">
        <v>21</v>
      </c>
      <c r="AA49" s="281">
        <v>3.5</v>
      </c>
      <c r="AB49" s="279" t="s">
        <v>5</v>
      </c>
      <c r="AC49" s="279"/>
      <c r="AD49" s="279" t="s">
        <v>22</v>
      </c>
      <c r="AE49" s="282">
        <f>0.04*550*1660</f>
        <v>36520</v>
      </c>
      <c r="AF49" s="14" t="s">
        <v>23</v>
      </c>
      <c r="AG49" s="14">
        <f>SUM(AE51:AE52)</f>
        <v>181020.00000000003</v>
      </c>
      <c r="AH49" s="14"/>
      <c r="AM49" s="154" t="s">
        <v>389</v>
      </c>
      <c r="AN49" s="81" t="s">
        <v>390</v>
      </c>
      <c r="AO49" s="81" t="s">
        <v>430</v>
      </c>
      <c r="AP49" s="81">
        <f>AP50/2</f>
        <v>259.85681293302542</v>
      </c>
      <c r="AQ49" s="81" t="s">
        <v>392</v>
      </c>
      <c r="AR49" s="204">
        <v>537</v>
      </c>
      <c r="AV49" s="205" t="s">
        <v>389</v>
      </c>
      <c r="AW49" s="205" t="s">
        <v>390</v>
      </c>
      <c r="AX49" s="205" t="s">
        <v>430</v>
      </c>
      <c r="AY49" s="207" t="s">
        <v>434</v>
      </c>
      <c r="AZ49" s="206">
        <f>BZ49</f>
        <v>7610</v>
      </c>
      <c r="BA49" s="205" t="s">
        <v>392</v>
      </c>
      <c r="BQ49" s="154" t="s">
        <v>389</v>
      </c>
      <c r="BR49" s="81" t="s">
        <v>390</v>
      </c>
      <c r="BS49" s="81" t="s">
        <v>430</v>
      </c>
      <c r="BT49" s="204">
        <f t="shared" si="20"/>
        <v>537</v>
      </c>
      <c r="BU49" s="81" t="s">
        <v>392</v>
      </c>
      <c r="BV49" s="204">
        <v>537</v>
      </c>
      <c r="BZ49" s="211">
        <f>CP61</f>
        <v>7610</v>
      </c>
      <c r="CA49" s="211"/>
      <c r="CN49" s="81" t="s">
        <v>506</v>
      </c>
      <c r="CO49" s="81" t="s">
        <v>423</v>
      </c>
      <c r="CP49" s="204">
        <v>0.14299999999999999</v>
      </c>
      <c r="CQ49" s="204">
        <v>7.2499999999999995E-4</v>
      </c>
      <c r="CR49" s="81">
        <v>197.29</v>
      </c>
      <c r="CS49" s="81" t="s">
        <v>509</v>
      </c>
      <c r="CT49" s="204">
        <v>2E-16</v>
      </c>
      <c r="CU49" s="81" t="s">
        <v>510</v>
      </c>
      <c r="CV49" s="212" t="s">
        <v>506</v>
      </c>
      <c r="CW49" s="81" t="s">
        <v>407</v>
      </c>
      <c r="CX49" s="204">
        <v>53</v>
      </c>
      <c r="CY49" s="204">
        <v>2.9300000000000002E-4</v>
      </c>
      <c r="CZ49" s="81">
        <v>180769</v>
      </c>
      <c r="DA49" s="81" t="s">
        <v>505</v>
      </c>
      <c r="DB49" s="81" t="s">
        <v>510</v>
      </c>
      <c r="DF49" s="81"/>
      <c r="DG49" s="81"/>
      <c r="DH49" s="81"/>
      <c r="DI49" s="81"/>
      <c r="DJ49" s="204"/>
      <c r="DK49" s="81"/>
      <c r="DL49" s="81" t="s">
        <v>431</v>
      </c>
      <c r="DM49" s="289">
        <f t="shared" si="0"/>
        <v>519.71362586605085</v>
      </c>
      <c r="DN49" s="289">
        <f t="shared" si="1"/>
        <v>594</v>
      </c>
      <c r="DO49" s="289">
        <f>BZ50</f>
        <v>371</v>
      </c>
      <c r="DQ49" s="290" t="s">
        <v>506</v>
      </c>
      <c r="DR49" s="290" t="s">
        <v>285</v>
      </c>
      <c r="DS49" s="291">
        <v>242</v>
      </c>
      <c r="DT49" s="291">
        <v>0.73399999999999999</v>
      </c>
      <c r="DU49" s="290">
        <v>329.9</v>
      </c>
      <c r="DV49" s="290" t="s">
        <v>509</v>
      </c>
      <c r="DW49" s="291">
        <v>2E-16</v>
      </c>
      <c r="DX49" s="81" t="s">
        <v>510</v>
      </c>
      <c r="DY49" s="212" t="s">
        <v>568</v>
      </c>
      <c r="DZ49" s="297" t="s">
        <v>595</v>
      </c>
      <c r="EA49" s="292" t="s">
        <v>434</v>
      </c>
      <c r="EB49" s="293">
        <f t="shared" si="30"/>
        <v>0.35499999999999998</v>
      </c>
      <c r="EC49" s="212" t="s">
        <v>392</v>
      </c>
      <c r="EE49" s="160" t="s">
        <v>568</v>
      </c>
      <c r="EF49" s="327" t="s">
        <v>595</v>
      </c>
      <c r="EG49" s="322" t="s">
        <v>434</v>
      </c>
      <c r="EH49" s="160">
        <f>$O$10*$Z$37*$AP$27</f>
        <v>0.94280299239352916</v>
      </c>
      <c r="EI49" s="160" t="s">
        <v>392</v>
      </c>
    </row>
    <row r="50" spans="2:139" ht="15" customHeight="1" thickTop="1" thickBot="1" x14ac:dyDescent="0.3">
      <c r="C50" s="81"/>
      <c r="D50" s="81"/>
      <c r="E50" s="81"/>
      <c r="F50" s="81"/>
      <c r="G50" s="81"/>
      <c r="H50" s="81"/>
      <c r="K50" s="81"/>
      <c r="L50"/>
      <c r="M50"/>
      <c r="N50"/>
      <c r="Q50"/>
      <c r="R50"/>
      <c r="X50" s="283"/>
      <c r="Y50" s="284" t="s">
        <v>16</v>
      </c>
      <c r="Z50" s="284">
        <v>3.5</v>
      </c>
      <c r="AA50" s="284" t="s">
        <v>5</v>
      </c>
      <c r="AB50" s="284"/>
      <c r="AC50" s="284" t="s">
        <v>303</v>
      </c>
      <c r="AD50" s="284">
        <f>(1/AA49-1/8-1/23)*0.11</f>
        <v>1.2895962732919253E-2</v>
      </c>
      <c r="AE50" s="285"/>
      <c r="AF50" s="14"/>
      <c r="AG50" s="14"/>
      <c r="AH50" s="14"/>
      <c r="AM50" s="154" t="s">
        <v>389</v>
      </c>
      <c r="AN50" s="81" t="s">
        <v>390</v>
      </c>
      <c r="AO50" s="81" t="s">
        <v>431</v>
      </c>
      <c r="AP50" s="81">
        <f>AP48</f>
        <v>519.71362586605085</v>
      </c>
      <c r="AQ50" s="81" t="s">
        <v>392</v>
      </c>
      <c r="AR50" s="204">
        <v>594</v>
      </c>
      <c r="AV50" s="205" t="s">
        <v>389</v>
      </c>
      <c r="AW50" s="205" t="s">
        <v>390</v>
      </c>
      <c r="AX50" s="205" t="s">
        <v>431</v>
      </c>
      <c r="AY50" s="207" t="s">
        <v>434</v>
      </c>
      <c r="AZ50" s="206">
        <f t="shared" si="3"/>
        <v>371</v>
      </c>
      <c r="BA50" s="205" t="s">
        <v>392</v>
      </c>
      <c r="BQ50" s="154" t="s">
        <v>389</v>
      </c>
      <c r="BR50" s="81" t="s">
        <v>390</v>
      </c>
      <c r="BS50" s="81" t="s">
        <v>431</v>
      </c>
      <c r="BT50" s="204">
        <f t="shared" si="20"/>
        <v>594</v>
      </c>
      <c r="BU50" s="81" t="s">
        <v>392</v>
      </c>
      <c r="BV50" s="204">
        <v>594</v>
      </c>
      <c r="BZ50" s="211">
        <f>CP62</f>
        <v>371</v>
      </c>
      <c r="CA50" s="211"/>
      <c r="CN50" s="81" t="s">
        <v>506</v>
      </c>
      <c r="CO50" s="81" t="s">
        <v>424</v>
      </c>
      <c r="CP50" s="204">
        <v>0.72299999999999998</v>
      </c>
      <c r="CQ50" s="204">
        <v>2.46E-2</v>
      </c>
      <c r="CR50" s="81">
        <v>29.4</v>
      </c>
      <c r="CS50" s="81" t="s">
        <v>509</v>
      </c>
      <c r="CT50" s="204">
        <v>2E-16</v>
      </c>
      <c r="CU50" s="81" t="s">
        <v>510</v>
      </c>
      <c r="CV50" s="212" t="s">
        <v>506</v>
      </c>
      <c r="CW50" s="81" t="s">
        <v>421</v>
      </c>
      <c r="CX50" s="204">
        <v>36.9</v>
      </c>
      <c r="CY50" s="204">
        <v>5.6099999999999998E-4</v>
      </c>
      <c r="CZ50" s="81">
        <v>65843</v>
      </c>
      <c r="DA50" s="81" t="s">
        <v>505</v>
      </c>
      <c r="DB50" s="81" t="s">
        <v>510</v>
      </c>
      <c r="DF50" s="81"/>
      <c r="DG50" s="81"/>
      <c r="DH50" s="81"/>
      <c r="DI50" s="81"/>
      <c r="DJ50" s="204"/>
      <c r="DK50" s="81"/>
      <c r="DQ50" s="290" t="s">
        <v>506</v>
      </c>
      <c r="DR50" s="290" t="s">
        <v>120</v>
      </c>
      <c r="DS50" s="291">
        <v>124</v>
      </c>
      <c r="DT50" s="291">
        <v>1.38</v>
      </c>
      <c r="DU50" s="290">
        <v>89.92</v>
      </c>
      <c r="DV50" s="290" t="s">
        <v>509</v>
      </c>
      <c r="DW50" s="291">
        <v>2E-16</v>
      </c>
      <c r="DX50" s="81" t="s">
        <v>510</v>
      </c>
      <c r="DY50" s="212" t="s">
        <v>568</v>
      </c>
      <c r="DZ50" s="297" t="s">
        <v>596</v>
      </c>
      <c r="EA50" s="292" t="s">
        <v>434</v>
      </c>
      <c r="EB50" s="293">
        <f t="shared" si="30"/>
        <v>0.85199999999999998</v>
      </c>
      <c r="EC50" s="212" t="s">
        <v>392</v>
      </c>
      <c r="EE50" s="160" t="s">
        <v>568</v>
      </c>
      <c r="EF50" s="327" t="s">
        <v>596</v>
      </c>
      <c r="EG50" s="322" t="s">
        <v>434</v>
      </c>
      <c r="EH50" s="160">
        <f>$O$12*$Z$37*$AP$27</f>
        <v>1.0475588804372546</v>
      </c>
      <c r="EI50" s="160" t="s">
        <v>392</v>
      </c>
    </row>
    <row r="51" spans="2:139" ht="15" customHeight="1" thickTop="1" thickBot="1" x14ac:dyDescent="0.3">
      <c r="C51" s="81"/>
      <c r="D51" s="81"/>
      <c r="E51" s="81"/>
      <c r="F51" s="81"/>
      <c r="G51" s="81"/>
      <c r="H51" s="81"/>
      <c r="K51" s="81"/>
      <c r="L51"/>
      <c r="M51"/>
      <c r="N51"/>
      <c r="Q51"/>
      <c r="R51"/>
      <c r="X51" s="258"/>
      <c r="Y51" s="258"/>
      <c r="Z51" s="259"/>
      <c r="AA51" s="259"/>
      <c r="AB51" s="259"/>
      <c r="AC51" s="258"/>
      <c r="AD51" s="258"/>
      <c r="AE51" s="258"/>
      <c r="AF51" s="14"/>
      <c r="AG51" s="14"/>
      <c r="AH51" s="14"/>
      <c r="CN51" s="81" t="s">
        <v>506</v>
      </c>
      <c r="CO51" s="81" t="s">
        <v>515</v>
      </c>
      <c r="CP51" s="204">
        <v>120000000</v>
      </c>
      <c r="CQ51" s="204">
        <v>15700000</v>
      </c>
      <c r="CR51" s="81">
        <v>7.65</v>
      </c>
      <c r="CS51" s="204">
        <v>2.8000000000000001E-14</v>
      </c>
      <c r="CT51" s="81" t="s">
        <v>510</v>
      </c>
      <c r="CU51" s="81"/>
      <c r="CV51" s="212" t="s">
        <v>506</v>
      </c>
      <c r="CW51" s="81" t="s">
        <v>488</v>
      </c>
      <c r="CX51" s="204">
        <v>-10</v>
      </c>
      <c r="CY51" s="204">
        <v>1.5799999999999999E-4</v>
      </c>
      <c r="CZ51" s="81">
        <v>-63411</v>
      </c>
      <c r="DA51" s="81" t="s">
        <v>505</v>
      </c>
      <c r="DB51" s="81" t="s">
        <v>510</v>
      </c>
      <c r="DF51" s="81"/>
      <c r="DG51" s="81"/>
      <c r="DH51" s="81"/>
      <c r="DI51" s="81"/>
      <c r="DJ51" s="204"/>
      <c r="DK51" s="81"/>
      <c r="DQ51" s="290" t="s">
        <v>506</v>
      </c>
      <c r="DR51" s="290" t="s">
        <v>488</v>
      </c>
      <c r="DS51" s="291">
        <v>-5.0599999999999996</v>
      </c>
      <c r="DT51" s="291">
        <v>1.5299999999999999E-2</v>
      </c>
      <c r="DU51" s="290">
        <v>-330.96</v>
      </c>
      <c r="DV51" s="290" t="s">
        <v>509</v>
      </c>
      <c r="DW51" s="291">
        <v>2E-16</v>
      </c>
      <c r="DX51" s="81" t="s">
        <v>510</v>
      </c>
      <c r="DY51" s="212" t="s">
        <v>568</v>
      </c>
      <c r="DZ51" s="297" t="s">
        <v>597</v>
      </c>
      <c r="EA51" s="292" t="s">
        <v>434</v>
      </c>
      <c r="EB51" s="293">
        <f t="shared" si="30"/>
        <v>0.95499999999999996</v>
      </c>
      <c r="EC51" s="212" t="s">
        <v>392</v>
      </c>
      <c r="EE51" s="160" t="s">
        <v>568</v>
      </c>
      <c r="EF51" s="327" t="s">
        <v>597</v>
      </c>
      <c r="EG51" s="322" t="s">
        <v>434</v>
      </c>
      <c r="EH51" s="160">
        <f>$O$13*$Z$37*$AP$27</f>
        <v>1.175593854712919</v>
      </c>
      <c r="EI51" s="160" t="s">
        <v>392</v>
      </c>
    </row>
    <row r="52" spans="2:139" thickTop="1" thickBot="1" x14ac:dyDescent="0.3">
      <c r="C52" s="81"/>
      <c r="D52" s="81"/>
      <c r="E52" s="81"/>
      <c r="F52" s="81"/>
      <c r="G52" s="81"/>
      <c r="H52" s="81"/>
      <c r="K52" s="81"/>
      <c r="X52" s="303" t="s">
        <v>610</v>
      </c>
      <c r="Y52" s="304"/>
      <c r="Z52" s="305" t="s">
        <v>21</v>
      </c>
      <c r="AA52" s="306">
        <f>(1/(1/8+SUM(AD54:AD56)+1/8))</f>
        <v>1.8430034129692836</v>
      </c>
      <c r="AB52" s="304" t="s">
        <v>5</v>
      </c>
      <c r="AC52" s="304"/>
      <c r="AD52" s="304" t="s">
        <v>22</v>
      </c>
      <c r="AE52" s="307">
        <f>SUM(AE54:AE58)</f>
        <v>181020.00000000003</v>
      </c>
      <c r="CN52" s="81" t="s">
        <v>506</v>
      </c>
      <c r="CO52" s="81" t="s">
        <v>426</v>
      </c>
      <c r="CP52" s="204">
        <v>630000</v>
      </c>
      <c r="CQ52" s="204">
        <v>33500</v>
      </c>
      <c r="CR52" s="81">
        <v>18.79</v>
      </c>
      <c r="CS52" s="81" t="s">
        <v>509</v>
      </c>
      <c r="CT52" s="204">
        <v>2E-16</v>
      </c>
      <c r="CU52" s="81" t="s">
        <v>510</v>
      </c>
      <c r="CV52" s="212" t="s">
        <v>506</v>
      </c>
      <c r="CW52" s="81" t="s">
        <v>489</v>
      </c>
      <c r="CX52" s="204">
        <v>-10</v>
      </c>
      <c r="CY52" s="204">
        <v>1.5799999999999999E-4</v>
      </c>
      <c r="CZ52" s="81">
        <v>-63411</v>
      </c>
      <c r="DA52" s="81" t="s">
        <v>505</v>
      </c>
      <c r="DB52" s="81" t="s">
        <v>510</v>
      </c>
      <c r="DF52" s="81" t="s">
        <v>389</v>
      </c>
      <c r="DG52" s="81" t="s">
        <v>390</v>
      </c>
      <c r="DH52" s="81" t="str">
        <f t="shared" si="13"/>
        <v>UfDN</v>
      </c>
      <c r="DI52" s="81" t="s">
        <v>434</v>
      </c>
      <c r="DJ52" s="204">
        <f t="shared" si="14"/>
        <v>532</v>
      </c>
      <c r="DK52" s="81" t="s">
        <v>392</v>
      </c>
      <c r="DQ52" s="290" t="s">
        <v>506</v>
      </c>
      <c r="DR52" s="290" t="s">
        <v>489</v>
      </c>
      <c r="DS52" s="291">
        <v>-6.44</v>
      </c>
      <c r="DT52" s="291">
        <v>1.55E-2</v>
      </c>
      <c r="DU52" s="290">
        <v>-414.83</v>
      </c>
      <c r="DV52" s="290" t="s">
        <v>509</v>
      </c>
      <c r="DW52" s="291">
        <v>2E-16</v>
      </c>
      <c r="DX52" s="81" t="s">
        <v>510</v>
      </c>
      <c r="DY52" s="212" t="s">
        <v>568</v>
      </c>
      <c r="DZ52" s="297" t="s">
        <v>598</v>
      </c>
      <c r="EA52" s="292" t="s">
        <v>434</v>
      </c>
      <c r="EB52" s="293">
        <f t="shared" si="30"/>
        <v>0.48599999999999999</v>
      </c>
      <c r="EC52" s="212" t="s">
        <v>392</v>
      </c>
      <c r="EE52" s="160" t="s">
        <v>568</v>
      </c>
      <c r="EF52" s="327" t="s">
        <v>598</v>
      </c>
      <c r="EG52" s="322" t="s">
        <v>434</v>
      </c>
      <c r="EH52" s="160">
        <f>$O$11*$Z$37*$AP$28</f>
        <v>7.1971531857951035E-2</v>
      </c>
      <c r="EI52" s="160" t="s">
        <v>392</v>
      </c>
    </row>
    <row r="53" spans="2:139" thickTop="1" thickBot="1" x14ac:dyDescent="0.3">
      <c r="C53" s="81"/>
      <c r="D53" s="81"/>
      <c r="E53" s="81"/>
      <c r="F53" s="81"/>
      <c r="G53" s="81"/>
      <c r="H53" s="81"/>
      <c r="K53" s="81"/>
      <c r="X53" s="308"/>
      <c r="Y53" s="266" t="s">
        <v>27</v>
      </c>
      <c r="Z53" s="266" t="s">
        <v>28</v>
      </c>
      <c r="AA53" s="266" t="s">
        <v>29</v>
      </c>
      <c r="AB53" s="266" t="s">
        <v>30</v>
      </c>
      <c r="AC53" s="266" t="s">
        <v>31</v>
      </c>
      <c r="AD53" s="266" t="s">
        <v>32</v>
      </c>
      <c r="AE53" s="309" t="s">
        <v>33</v>
      </c>
      <c r="CN53" s="81">
        <v>17</v>
      </c>
      <c r="CO53" s="81"/>
      <c r="CP53" s="81"/>
      <c r="CQ53" s="81"/>
      <c r="CR53" s="81"/>
      <c r="CS53" s="81"/>
      <c r="CT53" s="81"/>
      <c r="CU53" s="81"/>
      <c r="CV53" s="212" t="s">
        <v>506</v>
      </c>
      <c r="CW53" s="81" t="s">
        <v>490</v>
      </c>
      <c r="CX53" s="204">
        <v>-10</v>
      </c>
      <c r="CY53" s="204">
        <v>1.5799999999999999E-4</v>
      </c>
      <c r="CZ53" s="81">
        <v>-63411</v>
      </c>
      <c r="DA53" s="81" t="s">
        <v>505</v>
      </c>
      <c r="DB53" s="81" t="s">
        <v>510</v>
      </c>
      <c r="DF53" s="81" t="s">
        <v>389</v>
      </c>
      <c r="DG53" s="81" t="s">
        <v>390</v>
      </c>
      <c r="DH53" s="81" t="str">
        <f t="shared" si="13"/>
        <v>Ufi</v>
      </c>
      <c r="DI53" s="81" t="s">
        <v>434</v>
      </c>
      <c r="DJ53" s="204">
        <f t="shared" si="14"/>
        <v>1</v>
      </c>
      <c r="DK53" s="81" t="s">
        <v>392</v>
      </c>
      <c r="DQ53" s="290" t="s">
        <v>506</v>
      </c>
      <c r="DR53" s="290" t="s">
        <v>490</v>
      </c>
      <c r="DS53" s="291">
        <v>-7.4</v>
      </c>
      <c r="DT53" s="291">
        <v>2.6800000000000001E-2</v>
      </c>
      <c r="DU53" s="290">
        <v>-276.33999999999997</v>
      </c>
      <c r="DV53" s="290" t="s">
        <v>509</v>
      </c>
      <c r="DW53" s="291">
        <v>2E-16</v>
      </c>
      <c r="DX53" s="81" t="s">
        <v>510</v>
      </c>
      <c r="DY53" s="212" t="s">
        <v>568</v>
      </c>
      <c r="DZ53" s="297" t="s">
        <v>599</v>
      </c>
      <c r="EA53" s="292" t="s">
        <v>434</v>
      </c>
      <c r="EB53" s="293">
        <f t="shared" si="30"/>
        <v>9.6499999999999997E-8</v>
      </c>
      <c r="EC53" s="212" t="s">
        <v>392</v>
      </c>
      <c r="EE53" s="160" t="s">
        <v>568</v>
      </c>
      <c r="EF53" s="327" t="s">
        <v>599</v>
      </c>
      <c r="EG53" s="322" t="s">
        <v>434</v>
      </c>
      <c r="EH53" s="160">
        <f>$O$10*$Z$37*$AP$28</f>
        <v>8.4488320007159917E-2</v>
      </c>
      <c r="EI53" s="160" t="s">
        <v>392</v>
      </c>
    </row>
    <row r="54" spans="2:139" thickTop="1" thickBot="1" x14ac:dyDescent="0.3">
      <c r="C54" s="81"/>
      <c r="D54" s="81"/>
      <c r="E54" s="81"/>
      <c r="F54" s="81"/>
      <c r="G54" s="81"/>
      <c r="H54" s="81"/>
      <c r="K54" s="81"/>
      <c r="X54" s="310"/>
      <c r="Y54" s="221" t="s">
        <v>90</v>
      </c>
      <c r="Z54" s="221">
        <v>0.02</v>
      </c>
      <c r="AA54" s="221">
        <v>0.6</v>
      </c>
      <c r="AB54" s="221">
        <v>975</v>
      </c>
      <c r="AC54" s="221">
        <v>840</v>
      </c>
      <c r="AD54" s="268">
        <f>Z54/AA54</f>
        <v>3.3333333333333333E-2</v>
      </c>
      <c r="AE54" s="311">
        <f>Z54*AB54*AC54</f>
        <v>16380</v>
      </c>
      <c r="AO54" s="160" t="s">
        <v>432</v>
      </c>
      <c r="AP54" s="160">
        <f>SUM(AP42,AP4:AP7)</f>
        <v>1</v>
      </c>
      <c r="AQ54" s="160"/>
      <c r="BS54" s="160" t="s">
        <v>432</v>
      </c>
      <c r="BT54" s="160">
        <f>SUM(BT42,BT4:BT7)</f>
        <v>0.99119290000000004</v>
      </c>
      <c r="BU54" s="160"/>
      <c r="CN54" s="81" t="s">
        <v>506</v>
      </c>
      <c r="CO54" s="81" t="s">
        <v>480</v>
      </c>
      <c r="CP54" s="204">
        <v>-3.69</v>
      </c>
      <c r="CQ54" s="204">
        <v>1.17</v>
      </c>
      <c r="CR54" s="81">
        <v>-3.14</v>
      </c>
      <c r="CS54" s="81">
        <v>1.6999999999999999E-3</v>
      </c>
      <c r="CT54" s="81" t="s">
        <v>516</v>
      </c>
      <c r="CU54" s="81"/>
      <c r="CV54" s="212" t="s">
        <v>506</v>
      </c>
      <c r="CW54" s="81" t="s">
        <v>491</v>
      </c>
      <c r="CX54" s="204">
        <v>-10</v>
      </c>
      <c r="CY54" s="204">
        <v>1.5799999999999999E-4</v>
      </c>
      <c r="CZ54" s="81">
        <v>-63411</v>
      </c>
      <c r="DA54" s="81" t="s">
        <v>505</v>
      </c>
      <c r="DB54" s="81" t="s">
        <v>510</v>
      </c>
      <c r="DF54" s="81" t="s">
        <v>389</v>
      </c>
      <c r="DG54" s="81" t="s">
        <v>390</v>
      </c>
      <c r="DH54" s="81" t="str">
        <f t="shared" si="13"/>
        <v>UfND</v>
      </c>
      <c r="DI54" s="81" t="s">
        <v>434</v>
      </c>
      <c r="DJ54" s="204">
        <f t="shared" si="14"/>
        <v>351</v>
      </c>
      <c r="DK54" s="81" t="s">
        <v>392</v>
      </c>
      <c r="DQ54" s="290" t="s">
        <v>506</v>
      </c>
      <c r="DR54" s="290" t="s">
        <v>491</v>
      </c>
      <c r="DS54" s="291">
        <v>-6.24</v>
      </c>
      <c r="DT54" s="291">
        <v>1.61E-2</v>
      </c>
      <c r="DU54" s="290">
        <v>-387.89</v>
      </c>
      <c r="DV54" s="290" t="s">
        <v>509</v>
      </c>
      <c r="DW54" s="291">
        <v>2E-16</v>
      </c>
      <c r="DX54" s="81" t="s">
        <v>510</v>
      </c>
      <c r="DY54" s="212" t="s">
        <v>568</v>
      </c>
      <c r="DZ54" s="297" t="s">
        <v>600</v>
      </c>
      <c r="EA54" s="292" t="s">
        <v>434</v>
      </c>
      <c r="EB54" s="293">
        <f t="shared" si="30"/>
        <v>3.45E-6</v>
      </c>
      <c r="EC54" s="212" t="s">
        <v>392</v>
      </c>
      <c r="EE54" s="160" t="s">
        <v>568</v>
      </c>
      <c r="EF54" s="327" t="s">
        <v>600</v>
      </c>
      <c r="EG54" s="322" t="s">
        <v>434</v>
      </c>
      <c r="EH54" s="160">
        <f>$O$12*$Z$37*$AP$28</f>
        <v>9.3875911119066568E-2</v>
      </c>
      <c r="EI54" s="160" t="s">
        <v>392</v>
      </c>
    </row>
    <row r="55" spans="2:139" thickTop="1" thickBot="1" x14ac:dyDescent="0.3">
      <c r="C55" s="81"/>
      <c r="D55" s="81"/>
      <c r="E55" s="81"/>
      <c r="F55" s="81"/>
      <c r="G55" s="81"/>
      <c r="H55" s="81"/>
      <c r="K55" s="81"/>
      <c r="X55" s="310"/>
      <c r="Y55" s="231" t="s">
        <v>611</v>
      </c>
      <c r="Z55" s="221">
        <v>0.14000000000000001</v>
      </c>
      <c r="AA55" s="221">
        <v>0.54</v>
      </c>
      <c r="AB55" s="221">
        <v>1400</v>
      </c>
      <c r="AC55" s="231">
        <v>840</v>
      </c>
      <c r="AD55" s="268">
        <f>Z55/AA55</f>
        <v>0.25925925925925924</v>
      </c>
      <c r="AE55" s="222">
        <f>Z55*AB55*AC55</f>
        <v>164640.00000000003</v>
      </c>
      <c r="AO55" s="160" t="s">
        <v>432</v>
      </c>
      <c r="AP55" s="160">
        <f>SUM(AP43,AP26:AP28)</f>
        <v>0.99999999999999989</v>
      </c>
      <c r="AQ55" s="160"/>
      <c r="BS55" s="160" t="s">
        <v>432</v>
      </c>
      <c r="BT55" s="160">
        <f>SUM(BT43,BT26:BT28)</f>
        <v>1.006</v>
      </c>
      <c r="BU55" s="160"/>
      <c r="CN55" s="81" t="s">
        <v>506</v>
      </c>
      <c r="CO55" s="81" t="s">
        <v>517</v>
      </c>
      <c r="CP55" s="204">
        <v>-0.99099999999999999</v>
      </c>
      <c r="CQ55" s="204">
        <v>0.94399999999999995</v>
      </c>
      <c r="CR55" s="81">
        <v>-1.05</v>
      </c>
      <c r="CS55" s="81">
        <v>0.29389999999999999</v>
      </c>
      <c r="CT55" s="81"/>
      <c r="CU55" s="81"/>
      <c r="CV55" s="212" t="s">
        <v>506</v>
      </c>
      <c r="CW55" s="81" t="s">
        <v>492</v>
      </c>
      <c r="CX55" s="204">
        <v>-10</v>
      </c>
      <c r="CY55" s="204">
        <v>1.5799999999999999E-4</v>
      </c>
      <c r="CZ55" s="81">
        <v>-63411</v>
      </c>
      <c r="DA55" s="81" t="s">
        <v>505</v>
      </c>
      <c r="DB55" s="81" t="s">
        <v>510</v>
      </c>
      <c r="DF55" s="81" t="s">
        <v>389</v>
      </c>
      <c r="DG55" s="81" t="s">
        <v>390</v>
      </c>
      <c r="DH55" s="81" t="str">
        <f t="shared" si="13"/>
        <v>UwD</v>
      </c>
      <c r="DI55" s="81" t="s">
        <v>434</v>
      </c>
      <c r="DJ55" s="204">
        <f t="shared" si="14"/>
        <v>61.2</v>
      </c>
      <c r="DK55" s="81" t="s">
        <v>392</v>
      </c>
      <c r="DQ55" s="290" t="s">
        <v>506</v>
      </c>
      <c r="DR55" s="290" t="s">
        <v>492</v>
      </c>
      <c r="DS55" s="291">
        <v>-6.91</v>
      </c>
      <c r="DT55" s="291">
        <v>1.6899999999999998E-2</v>
      </c>
      <c r="DU55" s="290">
        <v>-408.74</v>
      </c>
      <c r="DV55" s="290" t="s">
        <v>509</v>
      </c>
      <c r="DW55" s="291">
        <v>2E-16</v>
      </c>
      <c r="DX55" s="81" t="s">
        <v>510</v>
      </c>
      <c r="DY55" s="212" t="s">
        <v>568</v>
      </c>
      <c r="DZ55" s="297" t="s">
        <v>601</v>
      </c>
      <c r="EA55" s="292" t="s">
        <v>434</v>
      </c>
      <c r="EB55" s="293">
        <f t="shared" si="30"/>
        <v>0.13200000000000001</v>
      </c>
      <c r="EC55" s="212" t="s">
        <v>392</v>
      </c>
      <c r="EE55" s="160" t="s">
        <v>568</v>
      </c>
      <c r="EF55" s="327" t="s">
        <v>601</v>
      </c>
      <c r="EG55" s="322" t="s">
        <v>434</v>
      </c>
      <c r="EH55" s="160">
        <f>$O$13*$Z$37*$AP$28</f>
        <v>0.10534963358917471</v>
      </c>
      <c r="EI55" s="160" t="s">
        <v>392</v>
      </c>
    </row>
    <row r="56" spans="2:139" thickTop="1" thickBot="1" x14ac:dyDescent="0.3">
      <c r="C56" s="81"/>
      <c r="D56" s="81"/>
      <c r="E56" s="81"/>
      <c r="F56" s="81"/>
      <c r="G56" s="81"/>
      <c r="H56" s="81"/>
      <c r="K56" s="81"/>
      <c r="X56" s="312"/>
      <c r="Y56" s="313" t="s">
        <v>269</v>
      </c>
      <c r="Z56" s="314">
        <v>0</v>
      </c>
      <c r="AA56" s="314">
        <v>3.5999999999999997E-2</v>
      </c>
      <c r="AB56" s="314">
        <v>26</v>
      </c>
      <c r="AC56" s="314">
        <v>1470</v>
      </c>
      <c r="AD56" s="315">
        <f>Z56/AA56</f>
        <v>0</v>
      </c>
      <c r="AE56" s="316">
        <f>Z56*AB56*AC56</f>
        <v>0</v>
      </c>
      <c r="AO56" s="160" t="s">
        <v>433</v>
      </c>
      <c r="AP56" s="160">
        <f>SUM(AP46,AP14:AP17)</f>
        <v>1</v>
      </c>
      <c r="AQ56" s="160"/>
      <c r="BS56" s="160" t="s">
        <v>433</v>
      </c>
      <c r="BT56" s="160">
        <f>SUM(BT46,BT14:BT17)</f>
        <v>0.98349999999999993</v>
      </c>
      <c r="BU56" s="160"/>
      <c r="CN56" s="81" t="s">
        <v>506</v>
      </c>
      <c r="CO56" s="81" t="s">
        <v>518</v>
      </c>
      <c r="CP56" s="204">
        <v>5.6500000000000002E-2</v>
      </c>
      <c r="CQ56" s="204">
        <v>4.6299999999999998E-4</v>
      </c>
      <c r="CR56" s="81">
        <v>122.19</v>
      </c>
      <c r="CS56" s="81" t="s">
        <v>509</v>
      </c>
      <c r="CT56" s="204">
        <v>2E-16</v>
      </c>
      <c r="CU56" s="81" t="s">
        <v>510</v>
      </c>
      <c r="CV56" s="212" t="s">
        <v>506</v>
      </c>
      <c r="CW56" s="81" t="s">
        <v>530</v>
      </c>
      <c r="CX56" s="204">
        <v>-10</v>
      </c>
      <c r="CY56" s="204">
        <v>1.5799999999999999E-4</v>
      </c>
      <c r="CZ56" s="81">
        <v>-63411</v>
      </c>
      <c r="DA56" s="81" t="s">
        <v>505</v>
      </c>
      <c r="DB56" s="81" t="s">
        <v>510</v>
      </c>
      <c r="DF56" s="81" t="s">
        <v>389</v>
      </c>
      <c r="DG56" s="81" t="s">
        <v>390</v>
      </c>
      <c r="DH56" s="81" t="str">
        <f t="shared" si="13"/>
        <v>UwN</v>
      </c>
      <c r="DI56" s="81" t="s">
        <v>434</v>
      </c>
      <c r="DJ56" s="204">
        <f t="shared" si="14"/>
        <v>50</v>
      </c>
      <c r="DK56" s="81" t="s">
        <v>392</v>
      </c>
      <c r="DQ56" s="290" t="s">
        <v>506</v>
      </c>
      <c r="DR56" s="290" t="s">
        <v>493</v>
      </c>
      <c r="DS56" s="291">
        <v>1.8499999999999999E-2</v>
      </c>
      <c r="DT56" s="291">
        <v>2.04E-4</v>
      </c>
      <c r="DU56" s="290">
        <v>90.89</v>
      </c>
      <c r="DV56" s="290" t="s">
        <v>509</v>
      </c>
      <c r="DW56" s="291">
        <v>2E-16</v>
      </c>
      <c r="DX56" s="81" t="s">
        <v>510</v>
      </c>
      <c r="DY56" s="212" t="s">
        <v>568</v>
      </c>
      <c r="DZ56" s="297" t="s">
        <v>602</v>
      </c>
      <c r="EA56" s="292" t="s">
        <v>434</v>
      </c>
      <c r="EB56" s="293">
        <f t="shared" si="30"/>
        <v>0.36199999999999999</v>
      </c>
      <c r="EC56" s="212" t="s">
        <v>392</v>
      </c>
      <c r="EE56" s="160" t="s">
        <v>568</v>
      </c>
      <c r="EF56" s="327" t="s">
        <v>602</v>
      </c>
      <c r="EG56" s="322" t="s">
        <v>434</v>
      </c>
      <c r="EH56" s="160">
        <f>$O$11*$Z$37*$AP$43</f>
        <v>0.3769535363586527</v>
      </c>
      <c r="EI56" s="160" t="s">
        <v>392</v>
      </c>
    </row>
    <row r="57" spans="2:139" thickTop="1" thickBot="1" x14ac:dyDescent="0.3">
      <c r="C57" s="81"/>
      <c r="D57" s="81"/>
      <c r="E57" s="81"/>
      <c r="F57" s="81"/>
      <c r="G57" s="81"/>
      <c r="H57" s="81"/>
      <c r="K57" s="81"/>
      <c r="AO57" s="160" t="s">
        <v>433</v>
      </c>
      <c r="AP57" s="160">
        <f>SUM(AP47,AP33:AP35)</f>
        <v>1</v>
      </c>
      <c r="AQ57" s="160"/>
      <c r="BS57" s="160" t="s">
        <v>433</v>
      </c>
      <c r="BT57" s="160">
        <f>SUM(BT47,BT33:BT35)</f>
        <v>0.98880000000000012</v>
      </c>
      <c r="BU57" s="160"/>
      <c r="CN57" s="81" t="s">
        <v>506</v>
      </c>
      <c r="CO57" s="81" t="s">
        <v>519</v>
      </c>
      <c r="CP57" s="204">
        <v>1.15E-3</v>
      </c>
      <c r="CQ57" s="204">
        <v>8.8200000000000003E-5</v>
      </c>
      <c r="CR57" s="81">
        <v>13.04</v>
      </c>
      <c r="CS57" s="81" t="s">
        <v>509</v>
      </c>
      <c r="CT57" s="204">
        <v>2E-16</v>
      </c>
      <c r="CU57" s="81" t="s">
        <v>510</v>
      </c>
      <c r="CV57" s="212" t="s">
        <v>506</v>
      </c>
      <c r="CW57" s="81" t="s">
        <v>531</v>
      </c>
      <c r="CX57" s="204">
        <v>-10</v>
      </c>
      <c r="CY57" s="204">
        <v>1.5799999999999999E-4</v>
      </c>
      <c r="CZ57" s="81">
        <v>-63411</v>
      </c>
      <c r="DA57" s="81" t="s">
        <v>505</v>
      </c>
      <c r="DB57" s="81" t="s">
        <v>510</v>
      </c>
      <c r="DF57" s="81"/>
      <c r="DG57" s="81"/>
      <c r="DH57" s="81"/>
      <c r="DI57" s="81"/>
      <c r="DJ57" s="204"/>
      <c r="DK57" s="81"/>
      <c r="DQ57" s="290" t="s">
        <v>506</v>
      </c>
      <c r="DR57" s="290" t="s">
        <v>494</v>
      </c>
      <c r="DS57" s="291">
        <v>88.3</v>
      </c>
      <c r="DT57" s="291">
        <v>0.45200000000000001</v>
      </c>
      <c r="DU57" s="290">
        <v>195.62</v>
      </c>
      <c r="DV57" s="290" t="s">
        <v>509</v>
      </c>
      <c r="DW57" s="291">
        <v>2E-16</v>
      </c>
      <c r="DX57" s="81" t="s">
        <v>510</v>
      </c>
      <c r="DY57" s="212" t="s">
        <v>568</v>
      </c>
      <c r="DZ57" s="297" t="s">
        <v>603</v>
      </c>
      <c r="EA57" s="292" t="s">
        <v>434</v>
      </c>
      <c r="EB57" s="293">
        <f t="shared" si="30"/>
        <v>0.372</v>
      </c>
      <c r="EC57" s="212" t="s">
        <v>392</v>
      </c>
      <c r="EE57" s="160" t="s">
        <v>568</v>
      </c>
      <c r="EF57" s="327" t="s">
        <v>603</v>
      </c>
      <c r="EG57" s="322" t="s">
        <v>434</v>
      </c>
      <c r="EH57" s="160">
        <f>$O$10*$Z$37*$AP$43</f>
        <v>0.4425106731166793</v>
      </c>
      <c r="EI57" s="160" t="s">
        <v>392</v>
      </c>
    </row>
    <row r="58" spans="2:139" thickTop="1" thickBot="1" x14ac:dyDescent="0.3">
      <c r="K58" s="81"/>
      <c r="CN58" s="81" t="s">
        <v>506</v>
      </c>
      <c r="CO58" s="81" t="s">
        <v>492</v>
      </c>
      <c r="CP58" s="204">
        <v>-2.19</v>
      </c>
      <c r="CQ58" s="204">
        <v>2.1600000000000001E-2</v>
      </c>
      <c r="CR58" s="81">
        <v>-101.52</v>
      </c>
      <c r="CS58" s="81" t="s">
        <v>509</v>
      </c>
      <c r="CT58" s="204">
        <v>2E-16</v>
      </c>
      <c r="CU58" s="81" t="s">
        <v>510</v>
      </c>
      <c r="CV58" s="212" t="s">
        <v>506</v>
      </c>
      <c r="CW58" s="81" t="s">
        <v>532</v>
      </c>
      <c r="CX58" s="204">
        <v>-10</v>
      </c>
      <c r="CY58" s="204">
        <v>1.5799999999999999E-4</v>
      </c>
      <c r="CZ58" s="81">
        <v>-63411</v>
      </c>
      <c r="DA58" s="81" t="s">
        <v>505</v>
      </c>
      <c r="DB58" s="81" t="s">
        <v>510</v>
      </c>
      <c r="DF58" s="81"/>
      <c r="DG58" s="81"/>
      <c r="DH58" s="81"/>
      <c r="DI58" s="81"/>
      <c r="DJ58" s="204"/>
      <c r="DK58" s="81"/>
      <c r="DQ58" s="290" t="s">
        <v>506</v>
      </c>
      <c r="DR58" s="290" t="s">
        <v>495</v>
      </c>
      <c r="DS58" s="291">
        <v>9970</v>
      </c>
      <c r="DT58" s="291">
        <v>18.100000000000001</v>
      </c>
      <c r="DU58" s="290">
        <v>552.08000000000004</v>
      </c>
      <c r="DV58" s="291" t="s">
        <v>509</v>
      </c>
      <c r="DW58" s="291">
        <v>2E-16</v>
      </c>
      <c r="DX58" s="81" t="s">
        <v>510</v>
      </c>
      <c r="DY58" s="212" t="s">
        <v>568</v>
      </c>
      <c r="DZ58" s="297" t="s">
        <v>604</v>
      </c>
      <c r="EA58" s="292" t="s">
        <v>434</v>
      </c>
      <c r="EB58" s="293">
        <f t="shared" si="30"/>
        <v>0.42</v>
      </c>
      <c r="EC58" s="212" t="s">
        <v>392</v>
      </c>
      <c r="EE58" s="160" t="s">
        <v>568</v>
      </c>
      <c r="EF58" s="327" t="s">
        <v>604</v>
      </c>
      <c r="EG58" s="322" t="s">
        <v>434</v>
      </c>
      <c r="EH58" s="160">
        <f>$O$12*$Z$37*$AP$43</f>
        <v>0.49167852568519921</v>
      </c>
      <c r="EI58" s="160" t="s">
        <v>392</v>
      </c>
    </row>
    <row r="59" spans="2:139" thickTop="1" thickBot="1" x14ac:dyDescent="0.3">
      <c r="CN59" s="81" t="s">
        <v>506</v>
      </c>
      <c r="CO59" s="81" t="s">
        <v>520</v>
      </c>
      <c r="CP59" s="204">
        <v>-5.72</v>
      </c>
      <c r="CQ59" s="204">
        <v>2.24E-2</v>
      </c>
      <c r="CR59" s="81">
        <v>-255.17</v>
      </c>
      <c r="CS59" s="81" t="s">
        <v>509</v>
      </c>
      <c r="CT59" s="204">
        <v>2E-16</v>
      </c>
      <c r="CU59" s="81" t="s">
        <v>510</v>
      </c>
      <c r="CV59" s="212" t="s">
        <v>506</v>
      </c>
      <c r="CW59" s="81" t="s">
        <v>429</v>
      </c>
      <c r="CX59" s="204">
        <v>532</v>
      </c>
      <c r="CY59" s="204">
        <v>8.1700000000000002E-3</v>
      </c>
      <c r="CZ59" s="81">
        <v>65144</v>
      </c>
      <c r="DA59" s="81" t="s">
        <v>505</v>
      </c>
      <c r="DB59" s="81" t="s">
        <v>510</v>
      </c>
      <c r="DF59" s="81"/>
      <c r="DG59" s="81"/>
      <c r="DH59" s="81"/>
      <c r="DI59" s="81"/>
      <c r="DJ59" s="204"/>
      <c r="DK59" s="81"/>
      <c r="DQ59" s="290" t="s">
        <v>506</v>
      </c>
      <c r="DR59" s="290" t="s">
        <v>496</v>
      </c>
      <c r="DS59" s="291">
        <v>44</v>
      </c>
      <c r="DT59" s="291">
        <v>0.65900000000000003</v>
      </c>
      <c r="DU59" s="290">
        <v>66.78</v>
      </c>
      <c r="DV59" s="290" t="s">
        <v>509</v>
      </c>
      <c r="DW59" s="291">
        <v>2E-16</v>
      </c>
      <c r="DX59" s="81" t="s">
        <v>510</v>
      </c>
      <c r="DY59" s="212" t="s">
        <v>568</v>
      </c>
      <c r="DZ59" s="297" t="s">
        <v>605</v>
      </c>
      <c r="EA59" s="292" t="s">
        <v>434</v>
      </c>
      <c r="EB59" s="293">
        <f t="shared" si="30"/>
        <v>0.45800000000000002</v>
      </c>
      <c r="EC59" s="212" t="s">
        <v>392</v>
      </c>
      <c r="EE59" s="160" t="s">
        <v>568</v>
      </c>
      <c r="EF59" s="327" t="s">
        <v>605</v>
      </c>
      <c r="EG59" s="322" t="s">
        <v>434</v>
      </c>
      <c r="EH59" s="160">
        <f>$O$13*$Z$37*$AP$43</f>
        <v>0.55177256771339023</v>
      </c>
      <c r="EI59" s="160" t="s">
        <v>392</v>
      </c>
    </row>
    <row r="60" spans="2:139" thickTop="1" thickBot="1" x14ac:dyDescent="0.3">
      <c r="CN60" s="81" t="s">
        <v>506</v>
      </c>
      <c r="CO60" s="81" t="s">
        <v>429</v>
      </c>
      <c r="CP60" s="204">
        <v>138</v>
      </c>
      <c r="CQ60" s="204">
        <v>1.2</v>
      </c>
      <c r="CR60" s="81">
        <v>115.34</v>
      </c>
      <c r="CS60" s="81" t="s">
        <v>509</v>
      </c>
      <c r="CT60" s="204">
        <v>2E-16</v>
      </c>
      <c r="CU60" s="81" t="s">
        <v>510</v>
      </c>
      <c r="CV60" s="212" t="s">
        <v>506</v>
      </c>
      <c r="CW60" s="81" t="s">
        <v>430</v>
      </c>
      <c r="CX60" s="204">
        <v>1</v>
      </c>
      <c r="CY60" s="204">
        <v>1.5800000000000001E-5</v>
      </c>
      <c r="CZ60" s="81">
        <v>63424</v>
      </c>
      <c r="DA60" s="81" t="s">
        <v>505</v>
      </c>
      <c r="DB60" s="81" t="s">
        <v>510</v>
      </c>
      <c r="DF60" s="81"/>
      <c r="DG60" s="81"/>
      <c r="DH60" s="81"/>
      <c r="DI60" s="81"/>
      <c r="DJ60" s="204"/>
      <c r="DK60" s="81"/>
      <c r="DZ60" s="297"/>
      <c r="EA60" s="292"/>
      <c r="EB60" s="293"/>
      <c r="EE60" s="160"/>
      <c r="EF60" s="327"/>
      <c r="EG60" s="322"/>
      <c r="EH60" s="160"/>
      <c r="EI60" s="160"/>
    </row>
    <row r="61" spans="2:139" thickTop="1" thickBot="1" x14ac:dyDescent="0.3">
      <c r="CN61" s="81" t="s">
        <v>506</v>
      </c>
      <c r="CO61" s="81" t="s">
        <v>430</v>
      </c>
      <c r="CP61" s="204">
        <v>7610</v>
      </c>
      <c r="CQ61" s="204">
        <v>117</v>
      </c>
      <c r="CR61" s="81">
        <v>64.83</v>
      </c>
      <c r="CS61" s="81" t="s">
        <v>509</v>
      </c>
      <c r="CT61" s="204">
        <v>2E-16</v>
      </c>
      <c r="CU61" s="81" t="s">
        <v>510</v>
      </c>
      <c r="CV61" s="212" t="s">
        <v>506</v>
      </c>
      <c r="CW61" s="81" t="s">
        <v>431</v>
      </c>
      <c r="CX61" s="204">
        <v>351</v>
      </c>
      <c r="CY61" s="204">
        <v>5.3400000000000001E-3</v>
      </c>
      <c r="CZ61" s="81">
        <v>65718</v>
      </c>
      <c r="DA61" s="81" t="s">
        <v>505</v>
      </c>
      <c r="DB61" s="81" t="s">
        <v>510</v>
      </c>
      <c r="DF61" s="81"/>
      <c r="DG61" s="81"/>
      <c r="DH61" s="81"/>
      <c r="DI61" s="81"/>
      <c r="DJ61" s="204"/>
      <c r="DK61" s="81"/>
      <c r="DY61" s="212" t="s">
        <v>568</v>
      </c>
      <c r="DZ61" s="297" t="s">
        <v>413</v>
      </c>
      <c r="EA61" s="292" t="s">
        <v>434</v>
      </c>
      <c r="EB61" s="293">
        <f>DS86</f>
        <v>1750000</v>
      </c>
      <c r="EC61" s="212" t="s">
        <v>392</v>
      </c>
      <c r="EE61" s="160" t="s">
        <v>568</v>
      </c>
      <c r="EF61" s="327" t="s">
        <v>413</v>
      </c>
      <c r="EG61" s="322" t="s">
        <v>434</v>
      </c>
      <c r="EH61" s="326">
        <f>$AP30</f>
        <v>1336649.5999999999</v>
      </c>
      <c r="EI61" s="160" t="s">
        <v>392</v>
      </c>
    </row>
    <row r="62" spans="2:139" thickTop="1" thickBot="1" x14ac:dyDescent="0.3">
      <c r="CN62" s="81" t="s">
        <v>506</v>
      </c>
      <c r="CO62" s="81" t="s">
        <v>431</v>
      </c>
      <c r="CP62" s="204">
        <v>371</v>
      </c>
      <c r="CQ62" s="204">
        <v>5.67</v>
      </c>
      <c r="CR62" s="81">
        <v>65.489999999999995</v>
      </c>
      <c r="CS62" s="81" t="s">
        <v>509</v>
      </c>
      <c r="CT62" s="204">
        <v>2E-16</v>
      </c>
      <c r="CU62" s="81" t="s">
        <v>510</v>
      </c>
      <c r="CV62" s="212" t="s">
        <v>506</v>
      </c>
      <c r="CW62" s="81" t="s">
        <v>408</v>
      </c>
      <c r="CX62" s="204">
        <v>61.2</v>
      </c>
      <c r="CY62" s="204">
        <v>2.7300000000000002E-4</v>
      </c>
      <c r="CZ62" s="81">
        <v>224462</v>
      </c>
      <c r="DA62" s="81" t="s">
        <v>505</v>
      </c>
      <c r="DB62" s="81" t="s">
        <v>510</v>
      </c>
      <c r="DF62" s="81"/>
      <c r="DG62" s="81"/>
      <c r="DH62" s="81"/>
      <c r="DI62" s="81"/>
      <c r="DJ62" s="204"/>
      <c r="DK62" s="81"/>
      <c r="DQ62" s="290" t="s">
        <v>506</v>
      </c>
      <c r="DR62" s="290" t="s">
        <v>497</v>
      </c>
      <c r="DS62" s="290" t="s">
        <v>558</v>
      </c>
      <c r="DX62" s="81"/>
      <c r="DY62" s="212" t="s">
        <v>568</v>
      </c>
      <c r="DZ62" s="297" t="s">
        <v>414</v>
      </c>
      <c r="EA62" s="292" t="s">
        <v>434</v>
      </c>
      <c r="EB62" s="293">
        <f t="shared" ref="EB62:EB63" si="31">DS87</f>
        <v>4780000</v>
      </c>
      <c r="EC62" s="212" t="s">
        <v>392</v>
      </c>
      <c r="EE62" s="160" t="s">
        <v>568</v>
      </c>
      <c r="EF62" s="327" t="s">
        <v>414</v>
      </c>
      <c r="EG62" s="322" t="s">
        <v>434</v>
      </c>
      <c r="EH62" s="326">
        <f>$AP31</f>
        <v>12706502.100000001</v>
      </c>
      <c r="EI62" s="160" t="s">
        <v>392</v>
      </c>
    </row>
    <row r="63" spans="2:139" thickTop="1" thickBot="1" x14ac:dyDescent="0.3">
      <c r="CV63" s="212" t="s">
        <v>506</v>
      </c>
      <c r="CW63" s="81" t="s">
        <v>422</v>
      </c>
      <c r="CX63" s="204">
        <v>50</v>
      </c>
      <c r="CY63" s="204">
        <v>2.2499999999999999E-4</v>
      </c>
      <c r="CZ63" s="81">
        <v>221939</v>
      </c>
      <c r="DA63" s="81" t="s">
        <v>505</v>
      </c>
      <c r="DB63" s="81" t="s">
        <v>510</v>
      </c>
      <c r="DQ63" s="290" t="s">
        <v>506</v>
      </c>
      <c r="DR63" s="290" t="s">
        <v>499</v>
      </c>
      <c r="DX63" s="81"/>
      <c r="DY63" s="212" t="s">
        <v>568</v>
      </c>
      <c r="DZ63" s="297" t="s">
        <v>415</v>
      </c>
      <c r="EA63" s="292" t="s">
        <v>434</v>
      </c>
      <c r="EB63" s="293">
        <f t="shared" si="31"/>
        <v>45900000</v>
      </c>
      <c r="EC63" s="212" t="s">
        <v>392</v>
      </c>
      <c r="EE63" s="160" t="s">
        <v>568</v>
      </c>
      <c r="EF63" s="327" t="s">
        <v>415</v>
      </c>
      <c r="EG63" s="322" t="s">
        <v>434</v>
      </c>
      <c r="EH63" s="326">
        <f>$AP32</f>
        <v>15219117.000000004</v>
      </c>
      <c r="EI63" s="160" t="s">
        <v>392</v>
      </c>
    </row>
    <row r="64" spans="2:139" thickTop="1" thickBot="1" x14ac:dyDescent="0.3">
      <c r="DQ64" s="290" t="s">
        <v>506</v>
      </c>
      <c r="DR64" s="290" t="s">
        <v>500</v>
      </c>
      <c r="DS64" s="290" t="s">
        <v>501</v>
      </c>
      <c r="DT64" s="290" t="s">
        <v>502</v>
      </c>
      <c r="DU64" s="290" t="s">
        <v>503</v>
      </c>
      <c r="DV64" s="290" t="s">
        <v>504</v>
      </c>
      <c r="DW64" s="290" t="s">
        <v>508</v>
      </c>
      <c r="DX64" s="81"/>
      <c r="EA64" s="292"/>
      <c r="EE64" s="160"/>
      <c r="EF64" s="160"/>
      <c r="EG64" s="322"/>
      <c r="EH64" s="160"/>
      <c r="EI64" s="160"/>
    </row>
    <row r="65" spans="121:139" thickTop="1" thickBot="1" x14ac:dyDescent="0.3">
      <c r="DQ65" s="290" t="s">
        <v>506</v>
      </c>
      <c r="DR65" s="290" t="s">
        <v>465</v>
      </c>
      <c r="DS65" s="291">
        <v>292</v>
      </c>
      <c r="DT65" s="291">
        <v>7.4499999999999997E-2</v>
      </c>
      <c r="DU65" s="290">
        <v>3915.4</v>
      </c>
      <c r="DV65" s="290" t="s">
        <v>509</v>
      </c>
      <c r="DW65" s="291">
        <v>2E-16</v>
      </c>
      <c r="DX65" s="81" t="s">
        <v>510</v>
      </c>
      <c r="DY65" s="212" t="s">
        <v>568</v>
      </c>
      <c r="DZ65" s="297" t="s">
        <v>416</v>
      </c>
      <c r="EA65" s="292" t="s">
        <v>434</v>
      </c>
      <c r="EB65" s="293">
        <f>DS93</f>
        <v>0.13700000000000001</v>
      </c>
      <c r="EC65" s="212" t="s">
        <v>392</v>
      </c>
      <c r="EE65" s="160" t="s">
        <v>568</v>
      </c>
      <c r="EF65" s="327" t="s">
        <v>416</v>
      </c>
      <c r="EG65" s="322" t="s">
        <v>434</v>
      </c>
      <c r="EH65" s="160">
        <f>$AP33</f>
        <v>7.6978281187079431E-2</v>
      </c>
      <c r="EI65" s="160" t="s">
        <v>392</v>
      </c>
    </row>
    <row r="66" spans="121:139" thickTop="1" thickBot="1" x14ac:dyDescent="0.3">
      <c r="DQ66" s="290" t="s">
        <v>506</v>
      </c>
      <c r="DR66" s="290" t="s">
        <v>466</v>
      </c>
      <c r="DS66" s="291">
        <v>288</v>
      </c>
      <c r="DT66" s="291">
        <v>9.0800000000000006E-2</v>
      </c>
      <c r="DU66" s="290">
        <v>3172.77</v>
      </c>
      <c r="DV66" s="290" t="s">
        <v>509</v>
      </c>
      <c r="DW66" s="291">
        <v>2E-16</v>
      </c>
      <c r="DX66" s="81" t="s">
        <v>510</v>
      </c>
      <c r="DY66" s="212" t="s">
        <v>568</v>
      </c>
      <c r="DZ66" s="297" t="s">
        <v>417</v>
      </c>
      <c r="EA66" s="292" t="s">
        <v>434</v>
      </c>
      <c r="EB66" s="293">
        <f t="shared" ref="EB66:EB68" si="32">DS94</f>
        <v>0.13700000000000001</v>
      </c>
      <c r="EC66" s="212" t="s">
        <v>392</v>
      </c>
      <c r="EE66" s="160" t="s">
        <v>568</v>
      </c>
      <c r="EF66" s="327" t="s">
        <v>417</v>
      </c>
      <c r="EG66" s="322" t="s">
        <v>434</v>
      </c>
      <c r="EH66" s="160">
        <f>$AP34</f>
        <v>7.8912156718437265E-2</v>
      </c>
      <c r="EI66" s="160" t="s">
        <v>392</v>
      </c>
    </row>
    <row r="67" spans="121:139" thickTop="1" thickBot="1" x14ac:dyDescent="0.3">
      <c r="DQ67" s="290" t="s">
        <v>506</v>
      </c>
      <c r="DR67" s="290" t="s">
        <v>467</v>
      </c>
      <c r="DS67" s="291">
        <v>292</v>
      </c>
      <c r="DT67" s="291">
        <v>7.9399999999999998E-2</v>
      </c>
      <c r="DU67" s="290">
        <v>3677.56</v>
      </c>
      <c r="DV67" s="290" t="s">
        <v>509</v>
      </c>
      <c r="DW67" s="291">
        <v>2E-16</v>
      </c>
      <c r="DX67" s="81" t="s">
        <v>510</v>
      </c>
      <c r="DY67" s="212" t="s">
        <v>568</v>
      </c>
      <c r="DZ67" s="297" t="s">
        <v>418</v>
      </c>
      <c r="EA67" s="292" t="s">
        <v>434</v>
      </c>
      <c r="EB67" s="293">
        <f t="shared" si="32"/>
        <v>0.61499999999999999</v>
      </c>
      <c r="EC67" s="212" t="s">
        <v>392</v>
      </c>
      <c r="EE67" s="160" t="s">
        <v>568</v>
      </c>
      <c r="EF67" s="327" t="s">
        <v>418</v>
      </c>
      <c r="EG67" s="322" t="s">
        <v>434</v>
      </c>
      <c r="EH67" s="160">
        <f>$AP35</f>
        <v>0.8070716317227169</v>
      </c>
      <c r="EI67" s="160" t="s">
        <v>392</v>
      </c>
    </row>
    <row r="68" spans="121:139" thickTop="1" thickBot="1" x14ac:dyDescent="0.3">
      <c r="DQ68" s="290" t="s">
        <v>506</v>
      </c>
      <c r="DR68" s="290" t="s">
        <v>468</v>
      </c>
      <c r="DS68" s="291">
        <v>294</v>
      </c>
      <c r="DT68" s="291">
        <v>9.5000000000000001E-2</v>
      </c>
      <c r="DU68" s="290">
        <v>3092.35</v>
      </c>
      <c r="DV68" s="290" t="s">
        <v>509</v>
      </c>
      <c r="DW68" s="291">
        <v>2E-16</v>
      </c>
      <c r="DX68" s="81" t="s">
        <v>510</v>
      </c>
      <c r="DY68" s="212" t="s">
        <v>568</v>
      </c>
      <c r="DZ68" s="297" t="s">
        <v>519</v>
      </c>
      <c r="EA68" s="292" t="s">
        <v>434</v>
      </c>
      <c r="EB68" s="293">
        <f t="shared" si="32"/>
        <v>6.3899999999999998E-2</v>
      </c>
      <c r="EC68" s="212" t="s">
        <v>392</v>
      </c>
      <c r="EE68" s="160" t="s">
        <v>568</v>
      </c>
      <c r="EF68" s="327" t="s">
        <v>519</v>
      </c>
      <c r="EG68" s="322" t="s">
        <v>434</v>
      </c>
      <c r="EH68" s="160">
        <f>$AP47</f>
        <v>3.703793037176642E-2</v>
      </c>
      <c r="EI68" s="160" t="s">
        <v>392</v>
      </c>
    </row>
    <row r="69" spans="121:139" thickTop="1" thickBot="1" x14ac:dyDescent="0.3">
      <c r="DQ69" s="290" t="s">
        <v>506</v>
      </c>
      <c r="DR69" s="290" t="s">
        <v>541</v>
      </c>
      <c r="DS69" s="291">
        <v>0.61299999999999999</v>
      </c>
      <c r="DT69" s="291">
        <v>1.83E-2</v>
      </c>
      <c r="DU69" s="290">
        <v>33.47</v>
      </c>
      <c r="DV69" s="291" t="s">
        <v>509</v>
      </c>
      <c r="DW69" s="291">
        <v>2E-16</v>
      </c>
      <c r="DX69" s="81" t="s">
        <v>510</v>
      </c>
      <c r="EA69" s="292"/>
      <c r="EE69" s="160"/>
      <c r="EF69" s="160"/>
      <c r="EG69" s="322"/>
      <c r="EH69" s="160"/>
      <c r="EI69" s="160"/>
    </row>
    <row r="70" spans="121:139" thickTop="1" thickBot="1" x14ac:dyDescent="0.3">
      <c r="DQ70" s="290" t="s">
        <v>506</v>
      </c>
      <c r="DR70" s="290" t="s">
        <v>410</v>
      </c>
      <c r="DS70" s="291">
        <v>1.3399999999999999E-9</v>
      </c>
      <c r="DT70" s="291">
        <v>9.7100000000000003E-8</v>
      </c>
      <c r="DU70" s="290">
        <v>0.01</v>
      </c>
      <c r="DV70" s="290">
        <v>0.9889</v>
      </c>
      <c r="DX70" s="81"/>
      <c r="DY70" s="212" t="s">
        <v>568</v>
      </c>
      <c r="DZ70" s="297" t="s">
        <v>419</v>
      </c>
      <c r="EA70" s="292" t="s">
        <v>434</v>
      </c>
      <c r="EB70" s="293">
        <f>DS97</f>
        <v>282</v>
      </c>
      <c r="EC70" s="212" t="s">
        <v>392</v>
      </c>
      <c r="EE70" s="160" t="s">
        <v>568</v>
      </c>
      <c r="EF70" s="327" t="s">
        <v>419</v>
      </c>
      <c r="EG70" s="322" t="s">
        <v>434</v>
      </c>
      <c r="EH70" s="160">
        <f>$AP37</f>
        <v>298.55345760945892</v>
      </c>
      <c r="EI70" s="160" t="s">
        <v>392</v>
      </c>
    </row>
    <row r="71" spans="121:139" thickTop="1" thickBot="1" x14ac:dyDescent="0.3">
      <c r="DQ71" s="290" t="s">
        <v>506</v>
      </c>
      <c r="DR71" s="290" t="s">
        <v>542</v>
      </c>
      <c r="DS71" s="291">
        <v>0.84499999999999997</v>
      </c>
      <c r="DT71" s="291">
        <v>1.0200000000000001E-2</v>
      </c>
      <c r="DU71" s="290">
        <v>82.99</v>
      </c>
      <c r="DV71" s="290" t="s">
        <v>509</v>
      </c>
      <c r="DW71" s="291">
        <v>2E-16</v>
      </c>
      <c r="DX71" s="81" t="s">
        <v>510</v>
      </c>
      <c r="DY71" s="212" t="s">
        <v>568</v>
      </c>
      <c r="DZ71" s="297" t="s">
        <v>420</v>
      </c>
      <c r="EA71" s="292" t="s">
        <v>434</v>
      </c>
      <c r="EB71" s="293">
        <f t="shared" ref="EB71:EB72" si="33">DS98</f>
        <v>273</v>
      </c>
      <c r="EC71" s="212" t="s">
        <v>392</v>
      </c>
      <c r="EE71" s="160" t="s">
        <v>568</v>
      </c>
      <c r="EF71" s="327" t="s">
        <v>420</v>
      </c>
      <c r="EG71" s="322" t="s">
        <v>434</v>
      </c>
      <c r="EH71" s="160">
        <f>$AP38</f>
        <v>334.20286906605259</v>
      </c>
      <c r="EI71" s="160" t="s">
        <v>392</v>
      </c>
    </row>
    <row r="72" spans="121:139" thickTop="1" thickBot="1" x14ac:dyDescent="0.3">
      <c r="DQ72" s="290" t="s">
        <v>506</v>
      </c>
      <c r="DR72" s="290" t="s">
        <v>543</v>
      </c>
      <c r="DS72" s="291">
        <v>0.98199999999999998</v>
      </c>
      <c r="DT72" s="291">
        <v>1.7299999999999999E-2</v>
      </c>
      <c r="DU72" s="290">
        <v>56.62</v>
      </c>
      <c r="DV72" s="290" t="s">
        <v>509</v>
      </c>
      <c r="DW72" s="291">
        <v>2E-16</v>
      </c>
      <c r="DX72" s="81" t="s">
        <v>510</v>
      </c>
      <c r="DY72" s="212" t="s">
        <v>568</v>
      </c>
      <c r="DZ72" s="297" t="s">
        <v>421</v>
      </c>
      <c r="EA72" s="292" t="s">
        <v>434</v>
      </c>
      <c r="EB72" s="293">
        <f t="shared" si="33"/>
        <v>72.599999999999994</v>
      </c>
      <c r="EC72" s="212" t="s">
        <v>392</v>
      </c>
      <c r="EE72" s="160" t="s">
        <v>568</v>
      </c>
      <c r="EF72" s="327" t="s">
        <v>421</v>
      </c>
      <c r="EG72" s="322" t="s">
        <v>434</v>
      </c>
      <c r="EH72" s="161">
        <f>$AP39</f>
        <v>94.168521675596679</v>
      </c>
      <c r="EI72" s="160" t="s">
        <v>392</v>
      </c>
    </row>
    <row r="73" spans="121:139" thickTop="1" thickBot="1" x14ac:dyDescent="0.3">
      <c r="DQ73" s="290" t="s">
        <v>506</v>
      </c>
      <c r="DR73" s="290" t="s">
        <v>544</v>
      </c>
      <c r="DS73" s="291">
        <v>0.72</v>
      </c>
      <c r="DT73" s="291">
        <v>1.5299999999999999E-2</v>
      </c>
      <c r="DU73" s="290">
        <v>46.95</v>
      </c>
      <c r="DV73" s="290" t="s">
        <v>509</v>
      </c>
      <c r="DW73" s="291">
        <v>2E-16</v>
      </c>
      <c r="DX73" s="81" t="s">
        <v>510</v>
      </c>
      <c r="DY73" s="212" t="s">
        <v>568</v>
      </c>
      <c r="DZ73" s="297" t="s">
        <v>422</v>
      </c>
      <c r="EA73" s="292" t="s">
        <v>434</v>
      </c>
      <c r="EB73" s="293">
        <f>1/DS104</f>
        <v>219.78021978021977</v>
      </c>
      <c r="EC73" s="212" t="s">
        <v>392</v>
      </c>
      <c r="EE73" s="160" t="s">
        <v>568</v>
      </c>
      <c r="EF73" s="327" t="s">
        <v>422</v>
      </c>
      <c r="EG73" s="322" t="s">
        <v>434</v>
      </c>
      <c r="EH73" s="160">
        <f>$AP40</f>
        <v>532.89152120979679</v>
      </c>
      <c r="EI73" s="160" t="s">
        <v>392</v>
      </c>
    </row>
    <row r="74" spans="121:139" thickTop="1" thickBot="1" x14ac:dyDescent="0.3">
      <c r="DQ74" s="290" t="s">
        <v>506</v>
      </c>
      <c r="DR74" s="290" t="s">
        <v>411</v>
      </c>
      <c r="DS74" s="291">
        <v>0.35499999999999998</v>
      </c>
      <c r="DT74" s="291">
        <v>5.9799999999999999E-2</v>
      </c>
      <c r="DU74" s="290">
        <v>5.94</v>
      </c>
      <c r="DV74" s="291">
        <v>3E-9</v>
      </c>
      <c r="DW74" s="290" t="s">
        <v>510</v>
      </c>
      <c r="DX74" s="81"/>
      <c r="EA74" s="292"/>
      <c r="EE74" s="160"/>
      <c r="EF74" s="160"/>
      <c r="EG74" s="322"/>
      <c r="EH74" s="160"/>
      <c r="EI74" s="160"/>
    </row>
    <row r="75" spans="121:139" thickTop="1" thickBot="1" x14ac:dyDescent="0.3">
      <c r="DQ75" s="290" t="s">
        <v>506</v>
      </c>
      <c r="DR75" s="290" t="s">
        <v>545</v>
      </c>
      <c r="DS75" s="291">
        <v>0.85199999999999998</v>
      </c>
      <c r="DT75" s="291">
        <v>8.4799999999999997E-3</v>
      </c>
      <c r="DU75" s="290">
        <v>100.47</v>
      </c>
      <c r="DV75" s="290" t="s">
        <v>509</v>
      </c>
      <c r="DW75" s="291">
        <v>2E-16</v>
      </c>
      <c r="DX75" s="81" t="s">
        <v>510</v>
      </c>
      <c r="DY75" s="212" t="s">
        <v>568</v>
      </c>
      <c r="DZ75" s="297" t="s">
        <v>515</v>
      </c>
      <c r="EA75" s="292" t="s">
        <v>434</v>
      </c>
      <c r="EB75" s="293">
        <f>DS115</f>
        <v>994000000</v>
      </c>
      <c r="EC75" s="212" t="s">
        <v>392</v>
      </c>
      <c r="EE75" s="160" t="s">
        <v>568</v>
      </c>
      <c r="EF75" s="327" t="s">
        <v>515</v>
      </c>
      <c r="EG75" s="322" t="s">
        <v>434</v>
      </c>
      <c r="EH75" s="160">
        <f>$AP44</f>
        <v>20786361.000000004</v>
      </c>
      <c r="EI75" s="160" t="s">
        <v>392</v>
      </c>
    </row>
    <row r="76" spans="121:139" thickTop="1" thickBot="1" x14ac:dyDescent="0.3">
      <c r="DQ76" s="290" t="s">
        <v>506</v>
      </c>
      <c r="DR76" s="290" t="s">
        <v>546</v>
      </c>
      <c r="DS76" s="291">
        <v>0.95499999999999996</v>
      </c>
      <c r="DT76" s="291">
        <v>1.5100000000000001E-2</v>
      </c>
      <c r="DU76" s="290">
        <v>63.31</v>
      </c>
      <c r="DV76" s="290" t="s">
        <v>509</v>
      </c>
      <c r="DW76" s="291">
        <v>2E-16</v>
      </c>
      <c r="DX76" s="81" t="s">
        <v>510</v>
      </c>
      <c r="DY76" s="212" t="s">
        <v>568</v>
      </c>
      <c r="DZ76" s="297" t="s">
        <v>426</v>
      </c>
      <c r="EA76" s="292" t="s">
        <v>434</v>
      </c>
      <c r="EB76" s="293">
        <f>DS116</f>
        <v>994000000</v>
      </c>
      <c r="EC76" s="212" t="s">
        <v>392</v>
      </c>
      <c r="EE76" s="160" t="s">
        <v>568</v>
      </c>
      <c r="EF76" s="327" t="s">
        <v>426</v>
      </c>
      <c r="EG76" s="322" t="s">
        <v>434</v>
      </c>
      <c r="EH76" s="160">
        <f>$AP45</f>
        <v>20786361.000000004</v>
      </c>
      <c r="EI76" s="160" t="s">
        <v>392</v>
      </c>
    </row>
    <row r="77" spans="121:139" thickTop="1" thickBot="1" x14ac:dyDescent="0.3">
      <c r="DQ77" s="290" t="s">
        <v>506</v>
      </c>
      <c r="DR77" s="290" t="s">
        <v>547</v>
      </c>
      <c r="DS77" s="291">
        <v>0.48599999999999999</v>
      </c>
      <c r="DT77" s="291">
        <v>4.9000000000000002E-2</v>
      </c>
      <c r="DU77" s="290">
        <v>9.93</v>
      </c>
      <c r="DV77" s="290" t="s">
        <v>509</v>
      </c>
      <c r="DW77" s="291">
        <v>2E-16</v>
      </c>
      <c r="DX77" s="81" t="s">
        <v>510</v>
      </c>
      <c r="DY77" s="212" t="s">
        <v>568</v>
      </c>
      <c r="DZ77" s="297" t="s">
        <v>429</v>
      </c>
      <c r="EA77" s="292" t="s">
        <v>434</v>
      </c>
      <c r="EB77" s="293">
        <f>DS123</f>
        <v>92.3</v>
      </c>
      <c r="EC77" s="212" t="s">
        <v>392</v>
      </c>
      <c r="EE77" s="160" t="s">
        <v>568</v>
      </c>
      <c r="EF77" s="327" t="s">
        <v>429</v>
      </c>
      <c r="EG77" s="322" t="s">
        <v>434</v>
      </c>
      <c r="EH77" s="160">
        <f>$AP48</f>
        <v>519.71362586605085</v>
      </c>
      <c r="EI77" s="160" t="s">
        <v>392</v>
      </c>
    </row>
    <row r="78" spans="121:139" thickTop="1" thickBot="1" x14ac:dyDescent="0.3">
      <c r="DQ78" s="290" t="s">
        <v>506</v>
      </c>
      <c r="DR78" s="290" t="s">
        <v>412</v>
      </c>
      <c r="DS78" s="291">
        <v>9.6499999999999997E-8</v>
      </c>
      <c r="DT78" s="291">
        <v>6.6899999999999997E-7</v>
      </c>
      <c r="DU78" s="290">
        <v>0.14000000000000001</v>
      </c>
      <c r="DV78" s="290">
        <v>0.88529999999999998</v>
      </c>
      <c r="DX78" s="81"/>
      <c r="DY78" s="212" t="s">
        <v>568</v>
      </c>
      <c r="DZ78" s="297" t="s">
        <v>430</v>
      </c>
      <c r="EA78" s="292" t="s">
        <v>434</v>
      </c>
      <c r="EB78" s="293">
        <f t="shared" ref="EB78:EB79" si="34">DS124</f>
        <v>228</v>
      </c>
      <c r="EC78" s="212" t="s">
        <v>392</v>
      </c>
      <c r="EE78" s="160" t="s">
        <v>568</v>
      </c>
      <c r="EF78" s="327" t="s">
        <v>430</v>
      </c>
      <c r="EG78" s="322" t="s">
        <v>434</v>
      </c>
      <c r="EH78" s="160">
        <f>$AP49</f>
        <v>259.85681293302542</v>
      </c>
      <c r="EI78" s="160" t="s">
        <v>392</v>
      </c>
    </row>
    <row r="79" spans="121:139" thickTop="1" thickBot="1" x14ac:dyDescent="0.3">
      <c r="DQ79" s="290" t="s">
        <v>506</v>
      </c>
      <c r="DR79" s="290" t="s">
        <v>548</v>
      </c>
      <c r="DS79" s="291">
        <v>3.45E-6</v>
      </c>
      <c r="DT79" s="291">
        <v>3.2199999999999997E-5</v>
      </c>
      <c r="DU79" s="290">
        <v>0.11</v>
      </c>
      <c r="DV79" s="290">
        <v>0.91469999999999996</v>
      </c>
      <c r="DX79" s="81"/>
      <c r="DY79" s="212" t="s">
        <v>568</v>
      </c>
      <c r="DZ79" s="297" t="s">
        <v>431</v>
      </c>
      <c r="EA79" s="292" t="s">
        <v>434</v>
      </c>
      <c r="EB79" s="293">
        <f t="shared" si="34"/>
        <v>129</v>
      </c>
      <c r="EC79" s="212" t="s">
        <v>392</v>
      </c>
      <c r="EE79" s="160" t="s">
        <v>568</v>
      </c>
      <c r="EF79" s="327" t="s">
        <v>431</v>
      </c>
      <c r="EG79" s="322" t="s">
        <v>434</v>
      </c>
      <c r="EH79" s="160">
        <f>$AP50</f>
        <v>519.71362586605085</v>
      </c>
      <c r="EI79" s="160" t="s">
        <v>392</v>
      </c>
    </row>
    <row r="80" spans="121:139" thickTop="1" thickBot="1" x14ac:dyDescent="0.3">
      <c r="DQ80" s="290" t="s">
        <v>506</v>
      </c>
      <c r="DR80" s="290" t="s">
        <v>549</v>
      </c>
      <c r="DS80" s="291">
        <v>0.13200000000000001</v>
      </c>
      <c r="DT80" s="291">
        <v>5.1900000000000002E-2</v>
      </c>
      <c r="DU80" s="290">
        <v>2.54</v>
      </c>
      <c r="DV80" s="290">
        <v>1.09E-2</v>
      </c>
      <c r="DW80" s="290" t="s">
        <v>511</v>
      </c>
      <c r="DX80" s="81"/>
    </row>
    <row r="81" spans="121:128" thickTop="1" thickBot="1" x14ac:dyDescent="0.3">
      <c r="DQ81" s="290" t="s">
        <v>506</v>
      </c>
      <c r="DR81" s="290" t="s">
        <v>550</v>
      </c>
      <c r="DS81" s="291">
        <v>0.36199999999999999</v>
      </c>
      <c r="DT81" s="291">
        <v>9.0699999999999999E-3</v>
      </c>
      <c r="DU81" s="290">
        <v>39.89</v>
      </c>
      <c r="DV81" s="290" t="s">
        <v>509</v>
      </c>
      <c r="DW81" s="291">
        <v>2E-16</v>
      </c>
      <c r="DX81" s="81" t="s">
        <v>510</v>
      </c>
    </row>
    <row r="82" spans="121:128" thickTop="1" thickBot="1" x14ac:dyDescent="0.3">
      <c r="DQ82" s="290" t="s">
        <v>506</v>
      </c>
      <c r="DR82" s="290" t="s">
        <v>551</v>
      </c>
      <c r="DS82" s="291">
        <v>0.372</v>
      </c>
      <c r="DT82" s="291">
        <v>3.3700000000000001E-2</v>
      </c>
      <c r="DU82" s="290">
        <v>11.04</v>
      </c>
      <c r="DV82" s="290" t="s">
        <v>509</v>
      </c>
      <c r="DW82" s="291">
        <v>2E-16</v>
      </c>
      <c r="DX82" s="81" t="s">
        <v>510</v>
      </c>
    </row>
    <row r="83" spans="121:128" thickTop="1" thickBot="1" x14ac:dyDescent="0.3">
      <c r="DQ83" s="290" t="s">
        <v>506</v>
      </c>
      <c r="DR83" s="290" t="s">
        <v>552</v>
      </c>
      <c r="DS83" s="291">
        <v>0.42</v>
      </c>
      <c r="DT83" s="291">
        <v>5.1999999999999998E-3</v>
      </c>
      <c r="DU83" s="290">
        <v>80.88</v>
      </c>
      <c r="DV83" s="290" t="s">
        <v>509</v>
      </c>
      <c r="DW83" s="291">
        <v>2E-16</v>
      </c>
      <c r="DX83" s="81" t="s">
        <v>510</v>
      </c>
    </row>
    <row r="84" spans="121:128" thickTop="1" thickBot="1" x14ac:dyDescent="0.3">
      <c r="DQ84" s="290" t="s">
        <v>506</v>
      </c>
      <c r="DR84" s="290" t="s">
        <v>553</v>
      </c>
      <c r="DS84" s="291">
        <v>0.45800000000000002</v>
      </c>
      <c r="DT84" s="291">
        <v>8.8999999999999999E-3</v>
      </c>
      <c r="DU84" s="290">
        <v>51.4</v>
      </c>
      <c r="DV84" s="291" t="s">
        <v>509</v>
      </c>
      <c r="DW84" s="291">
        <v>2E-16</v>
      </c>
      <c r="DX84" s="81" t="s">
        <v>510</v>
      </c>
    </row>
    <row r="85" spans="121:128" thickTop="1" thickBot="1" x14ac:dyDescent="0.3">
      <c r="DQ85" s="290" t="s">
        <v>506</v>
      </c>
      <c r="DR85" s="290" t="s">
        <v>298</v>
      </c>
      <c r="DS85" s="291">
        <v>992000000</v>
      </c>
      <c r="DT85" s="291">
        <v>20400000</v>
      </c>
      <c r="DU85" s="290">
        <v>48.73</v>
      </c>
      <c r="DV85" s="290" t="s">
        <v>509</v>
      </c>
      <c r="DW85" s="291">
        <v>2E-16</v>
      </c>
      <c r="DX85" s="81" t="s">
        <v>510</v>
      </c>
    </row>
    <row r="86" spans="121:128" thickTop="1" thickBot="1" x14ac:dyDescent="0.3">
      <c r="DQ86" s="290" t="s">
        <v>506</v>
      </c>
      <c r="DR86" s="290" t="s">
        <v>475</v>
      </c>
      <c r="DS86" s="291">
        <v>1750000</v>
      </c>
      <c r="DT86" s="291">
        <v>20000</v>
      </c>
      <c r="DU86" s="290">
        <v>87.71</v>
      </c>
      <c r="DV86" s="290" t="s">
        <v>509</v>
      </c>
      <c r="DW86" s="291">
        <v>2E-16</v>
      </c>
      <c r="DX86" s="81" t="s">
        <v>510</v>
      </c>
    </row>
    <row r="87" spans="121:128" thickTop="1" thickBot="1" x14ac:dyDescent="0.3">
      <c r="DQ87" s="290" t="s">
        <v>506</v>
      </c>
      <c r="DR87" s="290" t="s">
        <v>291</v>
      </c>
      <c r="DS87" s="291">
        <v>4780000</v>
      </c>
      <c r="DT87" s="291">
        <v>129000</v>
      </c>
      <c r="DU87" s="290">
        <v>37.159999999999997</v>
      </c>
      <c r="DV87" s="290" t="s">
        <v>509</v>
      </c>
      <c r="DW87" s="291">
        <v>2E-16</v>
      </c>
      <c r="DX87" s="81" t="s">
        <v>510</v>
      </c>
    </row>
    <row r="88" spans="121:128" thickTop="1" thickBot="1" x14ac:dyDescent="0.3">
      <c r="DQ88" s="290" t="s">
        <v>506</v>
      </c>
      <c r="DR88" s="290" t="s">
        <v>293</v>
      </c>
      <c r="DS88" s="291">
        <v>45900000</v>
      </c>
      <c r="DT88" s="291">
        <v>9540000</v>
      </c>
      <c r="DU88" s="290">
        <v>4.8099999999999996</v>
      </c>
      <c r="DV88" s="291">
        <v>1.5E-6</v>
      </c>
      <c r="DW88" s="290" t="s">
        <v>510</v>
      </c>
      <c r="DX88" s="81"/>
    </row>
    <row r="89" spans="121:128" thickTop="1" thickBot="1" x14ac:dyDescent="0.3">
      <c r="DQ89" s="290" t="s">
        <v>506</v>
      </c>
      <c r="DR89" s="290" t="s">
        <v>476</v>
      </c>
      <c r="DS89" s="291">
        <v>-27.5</v>
      </c>
      <c r="DT89" s="291">
        <v>10.3</v>
      </c>
      <c r="DU89" s="290">
        <v>-2.66</v>
      </c>
      <c r="DV89" s="290">
        <v>7.7999999999999996E-3</v>
      </c>
      <c r="DW89" s="291" t="s">
        <v>516</v>
      </c>
      <c r="DX89" s="81"/>
    </row>
    <row r="90" spans="121:128" thickTop="1" thickBot="1" x14ac:dyDescent="0.3">
      <c r="DQ90" s="290" t="s">
        <v>506</v>
      </c>
      <c r="DR90" s="290" t="s">
        <v>477</v>
      </c>
      <c r="DS90" s="291">
        <v>-13</v>
      </c>
      <c r="DT90" s="291">
        <v>37.200000000000003</v>
      </c>
      <c r="DU90" s="290">
        <v>-0.35</v>
      </c>
      <c r="DV90" s="290">
        <v>0.72709999999999997</v>
      </c>
      <c r="DX90" s="81"/>
    </row>
    <row r="91" spans="121:128" thickTop="1" thickBot="1" x14ac:dyDescent="0.3">
      <c r="DQ91" s="290" t="s">
        <v>506</v>
      </c>
      <c r="DR91" s="290" t="s">
        <v>478</v>
      </c>
      <c r="DS91" s="291">
        <v>-12.8</v>
      </c>
      <c r="DT91" s="291">
        <v>34.5</v>
      </c>
      <c r="DU91" s="290">
        <v>-0.37</v>
      </c>
      <c r="DV91" s="290">
        <v>0.71140000000000003</v>
      </c>
      <c r="DX91" s="81"/>
    </row>
    <row r="92" spans="121:128" thickTop="1" thickBot="1" x14ac:dyDescent="0.3">
      <c r="DQ92" s="290" t="s">
        <v>506</v>
      </c>
      <c r="DR92" s="290" t="s">
        <v>479</v>
      </c>
      <c r="DS92" s="291">
        <v>-13.4</v>
      </c>
      <c r="DT92" s="291">
        <v>90.9</v>
      </c>
      <c r="DU92" s="290">
        <v>-0.15</v>
      </c>
      <c r="DV92" s="290">
        <v>0.88270000000000004</v>
      </c>
      <c r="DX92" s="81"/>
    </row>
    <row r="93" spans="121:128" thickTop="1" thickBot="1" x14ac:dyDescent="0.3">
      <c r="DQ93" s="290" t="s">
        <v>506</v>
      </c>
      <c r="DR93" s="290" t="s">
        <v>481</v>
      </c>
      <c r="DS93" s="291">
        <v>0.13700000000000001</v>
      </c>
      <c r="DT93" s="291">
        <v>4.7100000000000001E-4</v>
      </c>
      <c r="DU93" s="290">
        <v>289.94</v>
      </c>
      <c r="DV93" s="290" t="s">
        <v>509</v>
      </c>
      <c r="DW93" s="291">
        <v>2E-16</v>
      </c>
      <c r="DX93" s="81" t="s">
        <v>510</v>
      </c>
    </row>
    <row r="94" spans="121:128" thickTop="1" thickBot="1" x14ac:dyDescent="0.3">
      <c r="DQ94" s="290" t="s">
        <v>506</v>
      </c>
      <c r="DR94" s="290" t="s">
        <v>482</v>
      </c>
      <c r="DS94" s="291">
        <v>0.13700000000000001</v>
      </c>
      <c r="DT94" s="291">
        <v>3.9100000000000002E-4</v>
      </c>
      <c r="DU94" s="290">
        <v>349.31</v>
      </c>
      <c r="DV94" s="290" t="s">
        <v>509</v>
      </c>
      <c r="DW94" s="291">
        <v>2E-16</v>
      </c>
      <c r="DX94" s="81" t="s">
        <v>510</v>
      </c>
    </row>
    <row r="95" spans="121:128" thickTop="1" thickBot="1" x14ac:dyDescent="0.3">
      <c r="DQ95" s="290" t="s">
        <v>506</v>
      </c>
      <c r="DR95" s="290" t="s">
        <v>483</v>
      </c>
      <c r="DS95" s="291">
        <v>0.61499999999999999</v>
      </c>
      <c r="DT95" s="291">
        <v>4.7400000000000003E-3</v>
      </c>
      <c r="DU95" s="290">
        <v>129.72999999999999</v>
      </c>
      <c r="DV95" s="290" t="s">
        <v>509</v>
      </c>
      <c r="DW95" s="291">
        <v>2E-16</v>
      </c>
      <c r="DX95" s="81" t="s">
        <v>510</v>
      </c>
    </row>
    <row r="96" spans="121:128" thickTop="1" thickBot="1" x14ac:dyDescent="0.3">
      <c r="DQ96" s="290" t="s">
        <v>506</v>
      </c>
      <c r="DR96" s="290" t="s">
        <v>484</v>
      </c>
      <c r="DS96" s="291">
        <v>6.3899999999999998E-2</v>
      </c>
      <c r="DT96" s="291">
        <v>2.2100000000000001E-4</v>
      </c>
      <c r="DU96" s="290">
        <v>288.83999999999997</v>
      </c>
      <c r="DV96" s="290" t="s">
        <v>509</v>
      </c>
      <c r="DW96" s="291">
        <v>2E-16</v>
      </c>
      <c r="DX96" s="81" t="s">
        <v>510</v>
      </c>
    </row>
    <row r="97" spans="121:134" thickTop="1" thickBot="1" x14ac:dyDescent="0.3">
      <c r="DQ97" s="290" t="s">
        <v>506</v>
      </c>
      <c r="DR97" s="290" t="s">
        <v>486</v>
      </c>
      <c r="DS97" s="291">
        <v>282</v>
      </c>
      <c r="DT97" s="291">
        <v>2.21</v>
      </c>
      <c r="DU97" s="290">
        <v>127.37</v>
      </c>
      <c r="DV97" s="290" t="s">
        <v>509</v>
      </c>
      <c r="DW97" s="291">
        <v>2E-16</v>
      </c>
      <c r="DX97" s="81" t="s">
        <v>510</v>
      </c>
    </row>
    <row r="98" spans="121:134" thickTop="1" thickBot="1" x14ac:dyDescent="0.3">
      <c r="DQ98" s="290" t="s">
        <v>506</v>
      </c>
      <c r="DR98" s="290" t="s">
        <v>285</v>
      </c>
      <c r="DS98" s="291">
        <v>273</v>
      </c>
      <c r="DT98" s="291">
        <v>1.78</v>
      </c>
      <c r="DU98" s="290">
        <v>153.27000000000001</v>
      </c>
      <c r="DV98" s="290" t="s">
        <v>509</v>
      </c>
      <c r="DW98" s="291">
        <v>2E-16</v>
      </c>
      <c r="DX98" s="81" t="s">
        <v>510</v>
      </c>
    </row>
    <row r="99" spans="121:134" thickTop="1" thickBot="1" x14ac:dyDescent="0.3">
      <c r="DQ99" s="290" t="s">
        <v>506</v>
      </c>
      <c r="DR99" s="290" t="s">
        <v>120</v>
      </c>
      <c r="DS99" s="291">
        <v>72.599999999999994</v>
      </c>
      <c r="DT99" s="291">
        <v>0.92800000000000005</v>
      </c>
      <c r="DU99" s="290">
        <v>78.239999999999995</v>
      </c>
      <c r="DV99" s="290" t="s">
        <v>509</v>
      </c>
      <c r="DW99" s="291">
        <v>2E-16</v>
      </c>
      <c r="DX99" s="81" t="s">
        <v>510</v>
      </c>
    </row>
    <row r="100" spans="121:134" thickTop="1" thickBot="1" x14ac:dyDescent="0.3">
      <c r="DQ100" s="290" t="s">
        <v>506</v>
      </c>
      <c r="DR100" s="290" t="s">
        <v>488</v>
      </c>
      <c r="DS100" s="291">
        <v>-5.87</v>
      </c>
      <c r="DT100" s="291">
        <v>1.4E-2</v>
      </c>
      <c r="DU100" s="290">
        <v>-417.95</v>
      </c>
      <c r="DV100" s="290" t="s">
        <v>509</v>
      </c>
      <c r="DW100" s="291">
        <v>2E-16</v>
      </c>
      <c r="DX100" s="81" t="s">
        <v>510</v>
      </c>
    </row>
    <row r="101" spans="121:134" thickTop="1" thickBot="1" x14ac:dyDescent="0.3">
      <c r="DQ101" s="290" t="s">
        <v>506</v>
      </c>
      <c r="DR101" s="290" t="s">
        <v>489</v>
      </c>
      <c r="DS101" s="291">
        <v>-5.84</v>
      </c>
      <c r="DT101" s="291">
        <v>1.54E-2</v>
      </c>
      <c r="DU101" s="290">
        <v>-379</v>
      </c>
      <c r="DV101" s="290" t="s">
        <v>509</v>
      </c>
      <c r="DW101" s="291">
        <v>2E-16</v>
      </c>
      <c r="DX101" s="81" t="s">
        <v>510</v>
      </c>
    </row>
    <row r="102" spans="121:134" thickTop="1" thickBot="1" x14ac:dyDescent="0.3">
      <c r="DQ102" s="290" t="s">
        <v>506</v>
      </c>
      <c r="DR102" s="290" t="s">
        <v>490</v>
      </c>
      <c r="DS102" s="291">
        <v>-5.98</v>
      </c>
      <c r="DT102" s="291">
        <v>1.5800000000000002E-2</v>
      </c>
      <c r="DU102" s="290">
        <v>-378.24</v>
      </c>
      <c r="DV102" s="290" t="s">
        <v>509</v>
      </c>
      <c r="DW102" s="291">
        <v>2E-16</v>
      </c>
      <c r="DX102" s="81" t="s">
        <v>510</v>
      </c>
    </row>
    <row r="103" spans="121:134" thickTop="1" thickBot="1" x14ac:dyDescent="0.3">
      <c r="DQ103" s="290" t="s">
        <v>506</v>
      </c>
      <c r="DR103" s="290" t="s">
        <v>491</v>
      </c>
      <c r="DS103" s="291">
        <v>-5.81</v>
      </c>
      <c r="DT103" s="291">
        <v>1.5800000000000002E-2</v>
      </c>
      <c r="DU103" s="290">
        <v>-366.35</v>
      </c>
      <c r="DV103" s="290" t="s">
        <v>509</v>
      </c>
      <c r="DW103" s="291">
        <v>2E-16</v>
      </c>
      <c r="DX103" s="81" t="s">
        <v>510</v>
      </c>
    </row>
    <row r="104" spans="121:134" thickTop="1" thickBot="1" x14ac:dyDescent="0.3">
      <c r="DQ104" s="290" t="s">
        <v>506</v>
      </c>
      <c r="DR104" s="290" t="s">
        <v>493</v>
      </c>
      <c r="DS104" s="291">
        <v>4.5500000000000002E-3</v>
      </c>
      <c r="DT104" s="291">
        <v>2.9600000000000001E-5</v>
      </c>
      <c r="DU104" s="290">
        <v>153.65</v>
      </c>
      <c r="DV104" s="290" t="s">
        <v>509</v>
      </c>
      <c r="DW104" s="291">
        <v>2E-16</v>
      </c>
      <c r="DX104" s="81" t="s">
        <v>510</v>
      </c>
    </row>
    <row r="105" spans="121:134" thickTop="1" thickBot="1" x14ac:dyDescent="0.3">
      <c r="DQ105" s="290" t="s">
        <v>506</v>
      </c>
      <c r="DR105" s="290" t="s">
        <v>494</v>
      </c>
      <c r="DS105" s="291">
        <v>131</v>
      </c>
      <c r="DT105" s="291">
        <v>1.02</v>
      </c>
      <c r="DU105" s="290">
        <v>128.82</v>
      </c>
      <c r="DV105" s="290" t="s">
        <v>509</v>
      </c>
      <c r="DW105" s="291">
        <v>2E-16</v>
      </c>
      <c r="DX105" s="81" t="s">
        <v>510</v>
      </c>
    </row>
    <row r="106" spans="121:134" thickTop="1" thickBot="1" x14ac:dyDescent="0.3">
      <c r="DQ106" s="290" t="s">
        <v>506</v>
      </c>
      <c r="DR106" s="290" t="s">
        <v>495</v>
      </c>
      <c r="DS106" s="291">
        <v>155</v>
      </c>
      <c r="DT106" s="291">
        <v>499</v>
      </c>
      <c r="DU106" s="290">
        <v>0.31</v>
      </c>
      <c r="DV106" s="290">
        <v>0.75680000000000003</v>
      </c>
      <c r="DX106" s="81"/>
    </row>
    <row r="107" spans="121:134" thickTop="1" thickBot="1" x14ac:dyDescent="0.3">
      <c r="DS107" s="291"/>
      <c r="DT107" s="291"/>
    </row>
    <row r="108" spans="121:134" thickTop="1" thickBot="1" x14ac:dyDescent="0.3">
      <c r="DQ108" s="290" t="s">
        <v>565</v>
      </c>
    </row>
    <row r="109" spans="121:134" thickTop="1" thickBot="1" x14ac:dyDescent="0.3">
      <c r="DQ109" s="290" t="s">
        <v>538</v>
      </c>
    </row>
    <row r="110" spans="121:134" thickTop="1" thickBot="1" x14ac:dyDescent="0.3">
      <c r="DQ110" s="290" t="s">
        <v>539</v>
      </c>
      <c r="DX110" s="81" t="s">
        <v>510</v>
      </c>
      <c r="ED110" s="81"/>
    </row>
    <row r="111" spans="121:134" thickTop="1" thickBot="1" x14ac:dyDescent="0.3">
      <c r="DQ111" s="290" t="s">
        <v>506</v>
      </c>
      <c r="DR111" s="290" t="s">
        <v>513</v>
      </c>
      <c r="DS111" s="291">
        <v>290</v>
      </c>
      <c r="DT111" s="291">
        <v>8.1500000000000003E-2</v>
      </c>
      <c r="DU111" s="290">
        <v>3559.17</v>
      </c>
      <c r="DV111" s="290" t="s">
        <v>505</v>
      </c>
      <c r="DW111" s="290" t="s">
        <v>510</v>
      </c>
      <c r="DX111" s="81" t="s">
        <v>510</v>
      </c>
      <c r="ED111" s="81"/>
    </row>
    <row r="112" spans="121:134" thickTop="1" thickBot="1" x14ac:dyDescent="0.3">
      <c r="DQ112" s="290" t="s">
        <v>506</v>
      </c>
      <c r="DR112" s="290" t="s">
        <v>514</v>
      </c>
      <c r="DS112" s="291">
        <v>294</v>
      </c>
      <c r="DT112" s="291">
        <v>9.7500000000000003E-2</v>
      </c>
      <c r="DU112" s="290">
        <v>3014.89</v>
      </c>
      <c r="DV112" s="290" t="s">
        <v>505</v>
      </c>
      <c r="DW112" s="291" t="s">
        <v>510</v>
      </c>
      <c r="DX112" s="81" t="s">
        <v>510</v>
      </c>
      <c r="ED112" s="81"/>
    </row>
    <row r="113" spans="121:134" thickTop="1" thickBot="1" x14ac:dyDescent="0.3">
      <c r="DQ113" s="290" t="s">
        <v>506</v>
      </c>
      <c r="DR113" s="290" t="s">
        <v>423</v>
      </c>
      <c r="DS113" s="291">
        <v>7.9799999999999996E-2</v>
      </c>
      <c r="DT113" s="291">
        <v>5.1999999999999995E-4</v>
      </c>
      <c r="DU113" s="290">
        <v>153.54</v>
      </c>
      <c r="DV113" s="290" t="s">
        <v>505</v>
      </c>
      <c r="DW113" s="291" t="s">
        <v>510</v>
      </c>
      <c r="DX113" s="81"/>
      <c r="ED113" s="81"/>
    </row>
    <row r="114" spans="121:134" thickTop="1" thickBot="1" x14ac:dyDescent="0.3">
      <c r="DQ114" s="290" t="s">
        <v>506</v>
      </c>
      <c r="DR114" s="290" t="s">
        <v>424</v>
      </c>
      <c r="DS114" s="291">
        <v>0.191</v>
      </c>
      <c r="DT114" s="291">
        <v>8.8599999999999996E-4</v>
      </c>
      <c r="DU114" s="290">
        <v>215.94</v>
      </c>
      <c r="DV114" s="290" t="s">
        <v>505</v>
      </c>
      <c r="DW114" s="291" t="s">
        <v>510</v>
      </c>
      <c r="DX114" s="81" t="s">
        <v>510</v>
      </c>
      <c r="ED114" s="81"/>
    </row>
    <row r="115" spans="121:134" thickTop="1" thickBot="1" x14ac:dyDescent="0.3">
      <c r="DQ115" s="290" t="s">
        <v>506</v>
      </c>
      <c r="DR115" s="290" t="s">
        <v>515</v>
      </c>
      <c r="DS115" s="291">
        <v>994000000</v>
      </c>
      <c r="DT115" s="291">
        <v>29500000</v>
      </c>
      <c r="DU115" s="290">
        <v>33.729999999999997</v>
      </c>
      <c r="DV115" s="291" t="s">
        <v>505</v>
      </c>
      <c r="DW115" s="290" t="s">
        <v>510</v>
      </c>
      <c r="DX115" s="81"/>
      <c r="ED115" s="81"/>
    </row>
    <row r="116" spans="121:134" thickTop="1" thickBot="1" x14ac:dyDescent="0.3">
      <c r="DQ116" s="290" t="s">
        <v>506</v>
      </c>
      <c r="DR116" s="290" t="s">
        <v>426</v>
      </c>
      <c r="DS116" s="291">
        <v>994000000</v>
      </c>
      <c r="DT116" s="291">
        <v>30400000</v>
      </c>
      <c r="DU116" s="290">
        <v>32.71</v>
      </c>
      <c r="DV116" s="290" t="s">
        <v>505</v>
      </c>
      <c r="DW116" s="291" t="s">
        <v>510</v>
      </c>
      <c r="DX116" s="81"/>
      <c r="ED116" s="81"/>
    </row>
    <row r="117" spans="121:134" thickTop="1" thickBot="1" x14ac:dyDescent="0.3">
      <c r="DQ117" s="290" t="s">
        <v>506</v>
      </c>
      <c r="DR117" s="290" t="s">
        <v>480</v>
      </c>
      <c r="DS117" s="291">
        <v>-24.2</v>
      </c>
      <c r="DT117" s="291">
        <v>11.1</v>
      </c>
      <c r="DU117" s="290">
        <v>-2.1800000000000002</v>
      </c>
      <c r="DV117" s="290">
        <v>0.03</v>
      </c>
      <c r="DW117" s="290" t="s">
        <v>511</v>
      </c>
      <c r="DX117" s="81" t="s">
        <v>510</v>
      </c>
      <c r="ED117" s="81"/>
    </row>
    <row r="118" spans="121:134" thickTop="1" thickBot="1" x14ac:dyDescent="0.3">
      <c r="DQ118" s="290" t="s">
        <v>506</v>
      </c>
      <c r="DR118" s="290" t="s">
        <v>517</v>
      </c>
      <c r="DS118" s="291">
        <v>-14.9</v>
      </c>
      <c r="DT118" s="291">
        <v>99.1</v>
      </c>
      <c r="DU118" s="290">
        <v>-0.15</v>
      </c>
      <c r="DV118" s="290">
        <v>0.88</v>
      </c>
      <c r="DX118" s="81" t="s">
        <v>510</v>
      </c>
      <c r="ED118" s="81"/>
    </row>
    <row r="119" spans="121:134" thickTop="1" thickBot="1" x14ac:dyDescent="0.3">
      <c r="DQ119" s="290" t="s">
        <v>506</v>
      </c>
      <c r="DR119" s="290" t="s">
        <v>518</v>
      </c>
      <c r="DS119" s="291">
        <v>2.98E-2</v>
      </c>
      <c r="DT119" s="291">
        <v>1.3100000000000001E-4</v>
      </c>
      <c r="DU119" s="290">
        <v>228.01</v>
      </c>
      <c r="DV119" s="290" t="s">
        <v>505</v>
      </c>
      <c r="DW119" s="291" t="s">
        <v>510</v>
      </c>
      <c r="DX119" s="81" t="s">
        <v>510</v>
      </c>
      <c r="ED119" s="81"/>
    </row>
    <row r="120" spans="121:134" thickTop="1" thickBot="1" x14ac:dyDescent="0.3">
      <c r="DQ120" s="290" t="s">
        <v>506</v>
      </c>
      <c r="DR120" s="290" t="s">
        <v>519</v>
      </c>
      <c r="DS120" s="291">
        <v>6.3899999999999998E-2</v>
      </c>
      <c r="DT120" s="291">
        <v>2.0799999999999999E-4</v>
      </c>
      <c r="DU120" s="290">
        <v>307.94</v>
      </c>
      <c r="DV120" s="290" t="s">
        <v>505</v>
      </c>
      <c r="DW120" s="291" t="s">
        <v>510</v>
      </c>
      <c r="DX120" s="81" t="s">
        <v>510</v>
      </c>
      <c r="ED120" s="81"/>
    </row>
    <row r="121" spans="121:134" thickTop="1" thickBot="1" x14ac:dyDescent="0.3">
      <c r="DQ121" s="290" t="s">
        <v>506</v>
      </c>
      <c r="DR121" s="290" t="s">
        <v>492</v>
      </c>
      <c r="DS121" s="291">
        <v>-5.74</v>
      </c>
      <c r="DT121" s="291">
        <v>1.3100000000000001E-2</v>
      </c>
      <c r="DU121" s="290">
        <v>-438.4</v>
      </c>
      <c r="DV121" s="290" t="s">
        <v>505</v>
      </c>
      <c r="DW121" s="291" t="s">
        <v>510</v>
      </c>
      <c r="DX121" s="81" t="s">
        <v>510</v>
      </c>
      <c r="ED121" s="81"/>
    </row>
    <row r="122" spans="121:134" thickTop="1" thickBot="1" x14ac:dyDescent="0.3">
      <c r="DQ122" s="290" t="s">
        <v>506</v>
      </c>
      <c r="DR122" s="290" t="s">
        <v>520</v>
      </c>
      <c r="DS122" s="291">
        <v>-5.93</v>
      </c>
      <c r="DT122" s="291">
        <v>1.5599999999999999E-2</v>
      </c>
      <c r="DU122" s="290">
        <v>-379.77</v>
      </c>
      <c r="DV122" s="290" t="s">
        <v>505</v>
      </c>
      <c r="DW122" s="291" t="s">
        <v>510</v>
      </c>
      <c r="DX122" s="81" t="s">
        <v>510</v>
      </c>
      <c r="ED122" s="81"/>
    </row>
    <row r="123" spans="121:134" thickTop="1" thickBot="1" x14ac:dyDescent="0.3">
      <c r="DQ123" s="290" t="s">
        <v>506</v>
      </c>
      <c r="DR123" s="290" t="s">
        <v>429</v>
      </c>
      <c r="DS123" s="291">
        <v>92.3</v>
      </c>
      <c r="DT123" s="291">
        <v>0.52900000000000003</v>
      </c>
      <c r="DU123" s="290">
        <v>174.43</v>
      </c>
      <c r="DV123" s="290" t="s">
        <v>505</v>
      </c>
      <c r="DW123" s="291" t="s">
        <v>510</v>
      </c>
      <c r="DX123" s="81" t="s">
        <v>510</v>
      </c>
      <c r="ED123" s="81"/>
    </row>
    <row r="124" spans="121:134" thickTop="1" thickBot="1" x14ac:dyDescent="0.3">
      <c r="DQ124" s="290" t="s">
        <v>506</v>
      </c>
      <c r="DR124" s="290" t="s">
        <v>430</v>
      </c>
      <c r="DS124" s="291">
        <v>228</v>
      </c>
      <c r="DT124" s="291">
        <v>333</v>
      </c>
      <c r="DU124" s="290">
        <v>0.68</v>
      </c>
      <c r="DV124" s="290">
        <v>0.49</v>
      </c>
      <c r="DW124" s="291"/>
      <c r="DX124" s="81"/>
      <c r="ED124" s="81"/>
    </row>
    <row r="125" spans="121:134" thickTop="1" thickBot="1" x14ac:dyDescent="0.3">
      <c r="DQ125" s="290" t="s">
        <v>506</v>
      </c>
      <c r="DR125" s="290" t="s">
        <v>431</v>
      </c>
      <c r="DS125" s="291">
        <v>129</v>
      </c>
      <c r="DT125" s="291">
        <v>0.93899999999999995</v>
      </c>
      <c r="DU125" s="290">
        <v>137.08000000000001</v>
      </c>
      <c r="DV125" s="290" t="s">
        <v>505</v>
      </c>
      <c r="DW125" s="291" t="s">
        <v>510</v>
      </c>
      <c r="DX125" s="81">
        <v>0.01</v>
      </c>
      <c r="ED125" s="81" t="s">
        <v>564</v>
      </c>
    </row>
    <row r="126" spans="121:134" thickTop="1" thickBot="1" x14ac:dyDescent="0.3">
      <c r="DQ126" s="290" t="s">
        <v>506</v>
      </c>
      <c r="DR126" s="290" t="s">
        <v>559</v>
      </c>
    </row>
    <row r="127" spans="121:134" thickTop="1" thickBot="1" x14ac:dyDescent="0.3">
      <c r="DQ127" s="290" t="s">
        <v>506</v>
      </c>
      <c r="DR127" s="290" t="s">
        <v>560</v>
      </c>
      <c r="DS127" s="290" t="s">
        <v>561</v>
      </c>
      <c r="DT127" s="290">
        <v>0</v>
      </c>
      <c r="DU127" s="290" t="s">
        <v>562</v>
      </c>
      <c r="DV127" s="290">
        <v>1E-3</v>
      </c>
      <c r="DW127" s="290" t="s">
        <v>563</v>
      </c>
    </row>
  </sheetData>
  <mergeCells count="7">
    <mergeCell ref="W3:AH3"/>
    <mergeCell ref="E33:F33"/>
    <mergeCell ref="E36:F36"/>
    <mergeCell ref="A1:G1"/>
    <mergeCell ref="A3:H3"/>
    <mergeCell ref="K3:U3"/>
    <mergeCell ref="L4:P4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D127"/>
  <sheetViews>
    <sheetView topLeftCell="DO64" zoomScale="85" zoomScaleNormal="85" workbookViewId="0">
      <selection activeCell="DX5" sqref="DX5:EB79"/>
    </sheetView>
  </sheetViews>
  <sheetFormatPr defaultRowHeight="16.5" thickTop="1" thickBottom="1" x14ac:dyDescent="0.3"/>
  <cols>
    <col min="1" max="5" width="9.140625" style="81"/>
    <col min="6" max="6" width="8.28515625" style="81" bestFit="1" customWidth="1"/>
    <col min="7" max="7" width="6.85546875" style="81" bestFit="1" customWidth="1"/>
    <col min="8" max="8" width="9.140625" style="81"/>
    <col min="9" max="9" width="9.140625" style="1"/>
    <col min="10" max="10" width="9.140625" style="81"/>
    <col min="11" max="13" width="9.140625" style="2"/>
    <col min="14" max="15" width="9.140625" style="81"/>
    <col min="16" max="17" width="9.140625" style="3"/>
    <col min="18" max="20" width="9.140625" style="81"/>
    <col min="21" max="21" width="9.140625" style="1"/>
    <col min="22" max="34" width="9.140625" style="81"/>
    <col min="35" max="36" width="9.140625" style="173"/>
    <col min="37" max="37" width="9.140625" style="154"/>
    <col min="38" max="38" width="10.28515625" style="154" bestFit="1" customWidth="1"/>
    <col min="39" max="40" width="9.140625" style="81"/>
    <col min="41" max="41" width="12.7109375" style="81" bestFit="1" customWidth="1"/>
    <col min="42" max="42" width="12.7109375" style="81" customWidth="1"/>
    <col min="43" max="46" width="9.140625" style="81"/>
    <col min="47" max="50" width="9.140625" style="199"/>
    <col min="51" max="51" width="16.140625" style="206" customWidth="1"/>
    <col min="52" max="52" width="9.140625" style="199"/>
    <col min="53" max="64" width="9.140625" style="81" customWidth="1"/>
    <col min="65" max="66" width="9.140625" style="173"/>
    <col min="67" max="67" width="9.140625" style="154"/>
    <col min="68" max="68" width="10.28515625" style="154" bestFit="1" customWidth="1"/>
    <col min="69" max="70" width="9.140625" style="81"/>
    <col min="71" max="71" width="12.7109375" style="81" bestFit="1" customWidth="1"/>
    <col min="72" max="73" width="12.7109375" style="81" customWidth="1"/>
    <col min="74" max="76" width="9.140625" style="81"/>
    <col min="77" max="77" width="10.42578125" style="210" bestFit="1" customWidth="1"/>
    <col min="78" max="78" width="10.42578125" style="210" customWidth="1"/>
    <col min="79" max="79" width="9.140625" style="81"/>
    <col min="80" max="80" width="10.5703125" style="81" bestFit="1" customWidth="1"/>
    <col min="81" max="85" width="9.140625" style="81"/>
    <col min="86" max="86" width="11" style="81" customWidth="1"/>
    <col min="87" max="91" width="9.140625" style="81"/>
    <col min="92" max="92" width="19.42578125" style="81" bestFit="1" customWidth="1"/>
    <col min="93" max="93" width="12" style="81" customWidth="1"/>
    <col min="94" max="94" width="11" style="81" customWidth="1"/>
    <col min="95" max="98" width="9.140625" style="81"/>
    <col min="99" max="99" width="9.140625" style="212"/>
    <col min="100" max="100" width="9.140625" style="81"/>
    <col min="101" max="101" width="19.42578125" style="81" bestFit="1" customWidth="1"/>
    <col min="102" max="112" width="9.140625" style="81"/>
    <col min="113" max="113" width="9.7109375" style="81" bestFit="1" customWidth="1"/>
    <col min="114" max="115" width="9.140625" style="81"/>
    <col min="116" max="118" width="9.85546875" style="81" bestFit="1" customWidth="1"/>
    <col min="119" max="119" width="9.140625" style="81"/>
    <col min="120" max="126" width="9.140625" style="290"/>
    <col min="127" max="127" width="9.140625" style="81"/>
    <col min="128" max="128" width="15.5703125" style="212" bestFit="1" customWidth="1"/>
    <col min="129" max="132" width="9.140625" style="212"/>
    <col min="133" max="16384" width="9.140625" style="81"/>
  </cols>
  <sheetData>
    <row r="1" spans="1:132" ht="20.25" customHeight="1" thickTop="1" thickBot="1" x14ac:dyDescent="0.35">
      <c r="A1" s="341" t="s">
        <v>0</v>
      </c>
      <c r="B1" s="341"/>
      <c r="C1" s="341"/>
      <c r="D1" s="341"/>
      <c r="E1" s="341"/>
      <c r="F1" s="341"/>
      <c r="G1" s="341"/>
      <c r="AN1" s="191" t="s">
        <v>384</v>
      </c>
      <c r="BC1" s="81" t="s">
        <v>435</v>
      </c>
      <c r="BD1" s="191"/>
      <c r="BE1" s="191" t="s">
        <v>436</v>
      </c>
      <c r="BR1" s="191" t="s">
        <v>384</v>
      </c>
    </row>
    <row r="2" spans="1:132" thickTop="1" thickBot="1" x14ac:dyDescent="0.3">
      <c r="AN2" s="81" t="s">
        <v>385</v>
      </c>
      <c r="BR2" s="81" t="s">
        <v>385</v>
      </c>
      <c r="DK2" s="81" t="s">
        <v>386</v>
      </c>
      <c r="DL2" s="79" t="s">
        <v>534</v>
      </c>
      <c r="DM2" s="79" t="s">
        <v>535</v>
      </c>
      <c r="DN2" s="79" t="s">
        <v>536</v>
      </c>
      <c r="DP2" s="290" t="s">
        <v>537</v>
      </c>
    </row>
    <row r="3" spans="1:132" thickTop="1" thickBot="1" x14ac:dyDescent="0.3">
      <c r="A3" s="347" t="s">
        <v>1</v>
      </c>
      <c r="B3" s="348"/>
      <c r="C3" s="348"/>
      <c r="D3" s="348"/>
      <c r="E3" s="348"/>
      <c r="F3" s="348"/>
      <c r="G3" s="348"/>
      <c r="H3" s="349"/>
      <c r="J3" s="338" t="s">
        <v>2</v>
      </c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4"/>
      <c r="V3" s="338" t="s">
        <v>3</v>
      </c>
      <c r="W3" s="338"/>
      <c r="X3" s="338"/>
      <c r="Y3" s="338"/>
      <c r="Z3" s="338"/>
      <c r="AA3" s="338"/>
      <c r="AB3" s="338"/>
      <c r="AC3" s="338"/>
      <c r="AD3" s="338"/>
      <c r="AE3" s="338"/>
      <c r="AF3" s="338"/>
      <c r="AG3" s="338"/>
      <c r="AN3" s="200" t="s">
        <v>386</v>
      </c>
      <c r="AO3" s="201" t="s">
        <v>387</v>
      </c>
      <c r="AP3" s="201"/>
      <c r="AQ3" s="209" t="s">
        <v>458</v>
      </c>
      <c r="AR3" s="202"/>
      <c r="AS3" s="202"/>
      <c r="AU3" s="203" t="s">
        <v>388</v>
      </c>
      <c r="BD3" s="208"/>
      <c r="BE3" s="208" t="s">
        <v>437</v>
      </c>
      <c r="BI3" s="208" t="s">
        <v>438</v>
      </c>
      <c r="BJ3" s="208"/>
      <c r="BR3" s="200" t="s">
        <v>386</v>
      </c>
      <c r="BS3" s="201" t="s">
        <v>387</v>
      </c>
      <c r="BT3" s="201"/>
      <c r="BU3" s="213" t="s">
        <v>533</v>
      </c>
      <c r="CA3" s="81" t="s">
        <v>465</v>
      </c>
      <c r="CB3" s="204">
        <v>292</v>
      </c>
      <c r="CC3" s="204">
        <v>0.10299999999999999</v>
      </c>
      <c r="DK3" s="81" t="s">
        <v>391</v>
      </c>
      <c r="DL3" s="286">
        <f>AO4</f>
        <v>0.19330695832358544</v>
      </c>
      <c r="DM3" s="286">
        <f>BU4</f>
        <v>0.1641929</v>
      </c>
      <c r="DN3" s="286">
        <f>BY4</f>
        <v>0.19500000000000001</v>
      </c>
      <c r="DX3" s="212" t="s">
        <v>567</v>
      </c>
    </row>
    <row r="4" spans="1:132" ht="15.75" customHeight="1" thickTop="1" thickBot="1" x14ac:dyDescent="0.3">
      <c r="A4" s="214" t="s">
        <v>6</v>
      </c>
      <c r="B4" s="215">
        <f>'Tabula data'!B5</f>
        <v>615.9</v>
      </c>
      <c r="C4" s="215" t="s">
        <v>7</v>
      </c>
      <c r="D4" s="214" t="s">
        <v>8</v>
      </c>
      <c r="E4" s="215"/>
      <c r="F4" s="215"/>
      <c r="G4" s="216">
        <f>SUM(H6:H13)</f>
        <v>34.1</v>
      </c>
      <c r="H4" s="217" t="s">
        <v>9</v>
      </c>
      <c r="K4" s="350" t="s">
        <v>2</v>
      </c>
      <c r="L4" s="351"/>
      <c r="M4" s="351"/>
      <c r="N4" s="351"/>
      <c r="O4" s="352"/>
      <c r="W4" s="258"/>
      <c r="X4" s="258"/>
      <c r="Y4" s="259" t="s">
        <v>4</v>
      </c>
      <c r="Z4" s="259">
        <v>0.6</v>
      </c>
      <c r="AA4" s="259" t="s">
        <v>5</v>
      </c>
      <c r="AB4" s="258"/>
      <c r="AC4" s="258"/>
      <c r="AD4" s="258"/>
      <c r="AL4" s="154" t="s">
        <v>389</v>
      </c>
      <c r="AM4" s="81" t="s">
        <v>390</v>
      </c>
      <c r="AN4" s="81" t="s">
        <v>391</v>
      </c>
      <c r="AO4" s="81">
        <f>SUM(N6:N9)/SUM($N$6:$N$14,$N$26:$N$27)</f>
        <v>0.19330695832358544</v>
      </c>
      <c r="AP4" s="81" t="s">
        <v>392</v>
      </c>
      <c r="AQ4" s="204">
        <v>0.1641929</v>
      </c>
      <c r="AU4" s="205" t="s">
        <v>389</v>
      </c>
      <c r="AV4" s="205" t="s">
        <v>390</v>
      </c>
      <c r="AW4" s="205" t="s">
        <v>391</v>
      </c>
      <c r="AX4" s="207" t="s">
        <v>434</v>
      </c>
      <c r="AY4" s="206">
        <f>BY4</f>
        <v>0.19500000000000001</v>
      </c>
      <c r="AZ4" s="205" t="s">
        <v>392</v>
      </c>
      <c r="BE4" s="81" t="s">
        <v>281</v>
      </c>
      <c r="BF4" s="81">
        <f>1/(1/AO19+1/AO23)</f>
        <v>24.102418034076017</v>
      </c>
      <c r="BI4" s="81" t="s">
        <v>439</v>
      </c>
      <c r="BJ4" s="81">
        <f>BF4</f>
        <v>24.102418034076017</v>
      </c>
      <c r="BP4" s="154" t="s">
        <v>389</v>
      </c>
      <c r="BQ4" s="81" t="s">
        <v>390</v>
      </c>
      <c r="BR4" s="81" t="s">
        <v>391</v>
      </c>
      <c r="BS4" s="204">
        <f>AQ4</f>
        <v>0.1641929</v>
      </c>
      <c r="BT4" s="81" t="s">
        <v>392</v>
      </c>
      <c r="BU4" s="204">
        <v>0.1641929</v>
      </c>
      <c r="BY4" s="211">
        <f>CB8</f>
        <v>0.19500000000000001</v>
      </c>
      <c r="BZ4" s="211"/>
      <c r="CA4" s="81" t="s">
        <v>466</v>
      </c>
      <c r="CB4" s="204">
        <v>291</v>
      </c>
      <c r="CC4" s="204">
        <v>0.105</v>
      </c>
      <c r="CG4" s="81" t="s">
        <v>497</v>
      </c>
      <c r="CH4" s="81" t="s">
        <v>498</v>
      </c>
      <c r="CM4" s="81" t="s">
        <v>497</v>
      </c>
      <c r="CN4" s="81" t="s">
        <v>507</v>
      </c>
      <c r="DK4" s="81" t="s">
        <v>393</v>
      </c>
      <c r="DL4" s="286">
        <f t="shared" ref="DL4:DL49" si="0">AO5</f>
        <v>0.19330695832358544</v>
      </c>
      <c r="DM4" s="286">
        <f t="shared" ref="DM4:DM49" si="1">BU5</f>
        <v>0.32600000000000001</v>
      </c>
      <c r="DN4" s="286">
        <f t="shared" ref="DN4:DN48" si="2">BY5</f>
        <v>0.38800000000000001</v>
      </c>
      <c r="DP4" s="290" t="s">
        <v>506</v>
      </c>
      <c r="DQ4" s="290" t="s">
        <v>497</v>
      </c>
      <c r="DR4" s="290" t="s">
        <v>540</v>
      </c>
    </row>
    <row r="5" spans="1:132" ht="15" customHeight="1" thickTop="1" thickBot="1" x14ac:dyDescent="0.3">
      <c r="A5" s="218"/>
      <c r="B5" s="219"/>
      <c r="C5" s="219"/>
      <c r="D5" s="220"/>
      <c r="E5" s="221"/>
      <c r="F5" s="221"/>
      <c r="G5" s="221"/>
      <c r="H5" s="222"/>
      <c r="J5" s="81" t="s">
        <v>10</v>
      </c>
      <c r="K5" s="243" t="s">
        <v>11</v>
      </c>
      <c r="L5" s="244" t="s">
        <v>12</v>
      </c>
      <c r="M5" s="244" t="s">
        <v>13</v>
      </c>
      <c r="N5" s="244" t="s">
        <v>14</v>
      </c>
      <c r="O5" s="245" t="s">
        <v>15</v>
      </c>
      <c r="P5" s="13" t="s">
        <v>16</v>
      </c>
      <c r="Q5" s="13" t="s">
        <v>17</v>
      </c>
      <c r="R5" s="14" t="s">
        <v>18</v>
      </c>
      <c r="S5" s="14"/>
      <c r="T5" s="14" t="s">
        <v>19</v>
      </c>
      <c r="U5" s="15"/>
      <c r="W5" s="260" t="s">
        <v>20</v>
      </c>
      <c r="X5" s="261"/>
      <c r="Y5" s="262" t="s">
        <v>21</v>
      </c>
      <c r="Z5" s="263">
        <f>1/(1/10+SUM(AC7:AC10)+1/23)</f>
        <v>0.27062537995411134</v>
      </c>
      <c r="AA5" s="261" t="s">
        <v>5</v>
      </c>
      <c r="AB5" s="261"/>
      <c r="AC5" s="261" t="s">
        <v>22</v>
      </c>
      <c r="AD5" s="264">
        <f>SUM(AD7:AD10)</f>
        <v>66192</v>
      </c>
      <c r="AE5" s="14" t="s">
        <v>23</v>
      </c>
      <c r="AF5" s="14">
        <f>SUM(AD9:AD10)</f>
        <v>30492</v>
      </c>
      <c r="AG5" s="14"/>
      <c r="AL5" s="154" t="s">
        <v>389</v>
      </c>
      <c r="AM5" s="81" t="s">
        <v>390</v>
      </c>
      <c r="AN5" s="81" t="s">
        <v>393</v>
      </c>
      <c r="AO5" s="81">
        <f>SUM(N27)/SUM($N$6:$N$14,$N$26:$N$27)</f>
        <v>0.19330695832358544</v>
      </c>
      <c r="AP5" s="81" t="s">
        <v>392</v>
      </c>
      <c r="AQ5" s="204">
        <v>0.32600000000000001</v>
      </c>
      <c r="AU5" s="205" t="s">
        <v>389</v>
      </c>
      <c r="AV5" s="205" t="s">
        <v>390</v>
      </c>
      <c r="AW5" s="205" t="s">
        <v>393</v>
      </c>
      <c r="AX5" s="207" t="s">
        <v>434</v>
      </c>
      <c r="AY5" s="206">
        <f t="shared" ref="AY5:AY50" si="3">BY5</f>
        <v>0.38800000000000001</v>
      </c>
      <c r="AZ5" s="205" t="s">
        <v>392</v>
      </c>
      <c r="BE5" s="81" t="s">
        <v>291</v>
      </c>
      <c r="BF5" s="204">
        <f>AO10</f>
        <v>8856365.1000000015</v>
      </c>
      <c r="BI5" s="81" t="s">
        <v>440</v>
      </c>
      <c r="BJ5" s="81">
        <f>BF24</f>
        <v>52.776033509561948</v>
      </c>
      <c r="BP5" s="154" t="s">
        <v>389</v>
      </c>
      <c r="BQ5" s="81" t="s">
        <v>390</v>
      </c>
      <c r="BR5" s="81" t="s">
        <v>393</v>
      </c>
      <c r="BS5" s="204">
        <f t="shared" ref="BS5:BS7" si="4">AQ5</f>
        <v>0.32600000000000001</v>
      </c>
      <c r="BT5" s="81" t="s">
        <v>392</v>
      </c>
      <c r="BU5" s="204">
        <v>0.32600000000000001</v>
      </c>
      <c r="BY5" s="211">
        <f>CB9</f>
        <v>0.38800000000000001</v>
      </c>
      <c r="BZ5" s="211"/>
      <c r="CA5" s="81" t="s">
        <v>467</v>
      </c>
      <c r="CB5" s="204">
        <v>294</v>
      </c>
      <c r="CC5" s="204">
        <v>5.4199999999999998E-2</v>
      </c>
      <c r="CG5" s="81" t="s">
        <v>499</v>
      </c>
      <c r="CM5" s="81" t="s">
        <v>499</v>
      </c>
      <c r="DK5" s="81" t="s">
        <v>394</v>
      </c>
      <c r="DL5" s="286">
        <f t="shared" si="0"/>
        <v>4.9860465893519591E-2</v>
      </c>
      <c r="DM5" s="286">
        <f t="shared" si="1"/>
        <v>0.251</v>
      </c>
      <c r="DN5" s="286">
        <f t="shared" si="2"/>
        <v>6.13E-2</v>
      </c>
      <c r="DP5" s="290" t="s">
        <v>506</v>
      </c>
      <c r="DQ5" s="290" t="s">
        <v>499</v>
      </c>
      <c r="DX5" s="212" t="s">
        <v>568</v>
      </c>
      <c r="DY5" s="292" t="s">
        <v>569</v>
      </c>
      <c r="DZ5" s="292" t="s">
        <v>434</v>
      </c>
      <c r="EA5" s="293">
        <f>DR12</f>
        <v>0.182</v>
      </c>
      <c r="EB5" s="212" t="s">
        <v>392</v>
      </c>
    </row>
    <row r="6" spans="1:132" ht="15" customHeight="1" thickTop="1" thickBot="1" x14ac:dyDescent="0.3">
      <c r="A6" s="223" t="s">
        <v>34</v>
      </c>
      <c r="B6" s="224">
        <f>'Tabula data'!B4</f>
        <v>224</v>
      </c>
      <c r="C6" s="225" t="s">
        <v>9</v>
      </c>
      <c r="D6" s="226" t="s">
        <v>35</v>
      </c>
      <c r="E6" s="221" t="s">
        <v>36</v>
      </c>
      <c r="F6" s="227">
        <f t="shared" ref="F6:F13" si="5">H6/$G$4</f>
        <v>0.11876832844574779</v>
      </c>
      <c r="G6" s="221"/>
      <c r="H6" s="228">
        <f>'Tabula data'!B22*'Tabula 2zone Ref 1'!C45</f>
        <v>4.05</v>
      </c>
      <c r="J6" s="81" t="s">
        <v>24</v>
      </c>
      <c r="K6" s="246">
        <v>0</v>
      </c>
      <c r="L6" s="247">
        <v>1</v>
      </c>
      <c r="M6" s="247" t="s">
        <v>25</v>
      </c>
      <c r="N6" s="248">
        <f>'[1]Tabula data'!B19*C43</f>
        <v>17.590457494591035</v>
      </c>
      <c r="O6" s="249" t="s">
        <v>26</v>
      </c>
      <c r="P6" s="30">
        <f t="shared" ref="P6:P28" si="6">VLOOKUP(M6,$W$5:$Z$391,4,0)</f>
        <v>0.36462385321100915</v>
      </c>
      <c r="Q6" s="30">
        <f t="shared" ref="Q6:Q28" si="7">P6*N6</f>
        <v>6.4139003914222572</v>
      </c>
      <c r="R6" s="30">
        <f t="shared" ref="R6:R14" si="8">VLOOKUP(M6,$W$5:$AD$391,8,0)*N6</f>
        <v>4479191.8793246746</v>
      </c>
      <c r="S6" s="30">
        <f t="shared" ref="S6:S14" si="9">R6/N6</f>
        <v>254637.6</v>
      </c>
      <c r="T6" s="30">
        <f t="shared" ref="T6:T14" si="10">VLOOKUP(M6,$W$5:$AF$391,10,0)*N6</f>
        <v>2356769.4951253068</v>
      </c>
      <c r="U6" s="31"/>
      <c r="V6" s="3"/>
      <c r="W6" s="265"/>
      <c r="X6" s="266" t="s">
        <v>27</v>
      </c>
      <c r="Y6" s="266" t="s">
        <v>28</v>
      </c>
      <c r="Z6" s="266" t="s">
        <v>29</v>
      </c>
      <c r="AA6" s="266" t="s">
        <v>30</v>
      </c>
      <c r="AB6" s="266" t="s">
        <v>31</v>
      </c>
      <c r="AC6" s="266" t="s">
        <v>32</v>
      </c>
      <c r="AD6" s="267" t="s">
        <v>33</v>
      </c>
      <c r="AE6" s="14"/>
      <c r="AF6" s="14"/>
      <c r="AG6" s="14"/>
      <c r="AL6" s="154" t="s">
        <v>389</v>
      </c>
      <c r="AM6" s="81" t="s">
        <v>390</v>
      </c>
      <c r="AN6" s="81" t="s">
        <v>394</v>
      </c>
      <c r="AO6" s="81">
        <f>SUM(N10:N13)/SUM($N$6:$N$14,$N$26:$N$27)</f>
        <v>4.9860465893519591E-2</v>
      </c>
      <c r="AP6" s="81" t="s">
        <v>392</v>
      </c>
      <c r="AQ6" s="204">
        <v>0.251</v>
      </c>
      <c r="AU6" s="205" t="s">
        <v>389</v>
      </c>
      <c r="AV6" s="205" t="s">
        <v>390</v>
      </c>
      <c r="AW6" s="205" t="s">
        <v>394</v>
      </c>
      <c r="AX6" s="207" t="s">
        <v>434</v>
      </c>
      <c r="AY6" s="206">
        <f t="shared" si="3"/>
        <v>6.13E-2</v>
      </c>
      <c r="AZ6" s="205" t="s">
        <v>392</v>
      </c>
      <c r="BE6" s="81" t="s">
        <v>282</v>
      </c>
      <c r="BF6" s="3">
        <f>AO22</f>
        <v>83.246478324403313</v>
      </c>
      <c r="BI6" s="81" t="s">
        <v>441</v>
      </c>
      <c r="BJ6" s="3">
        <f>BF6</f>
        <v>83.246478324403313</v>
      </c>
      <c r="BP6" s="154" t="s">
        <v>389</v>
      </c>
      <c r="BQ6" s="81" t="s">
        <v>390</v>
      </c>
      <c r="BR6" s="81" t="s">
        <v>394</v>
      </c>
      <c r="BS6" s="204">
        <f t="shared" si="4"/>
        <v>0.251</v>
      </c>
      <c r="BT6" s="81" t="s">
        <v>392</v>
      </c>
      <c r="BU6" s="204">
        <v>0.251</v>
      </c>
      <c r="BY6" s="211">
        <f>CB10</f>
        <v>6.13E-2</v>
      </c>
      <c r="BZ6" s="211"/>
      <c r="CA6" s="81" t="s">
        <v>468</v>
      </c>
      <c r="CB6" s="204">
        <v>290</v>
      </c>
      <c r="CC6" s="204">
        <v>0.111</v>
      </c>
      <c r="CG6" s="81" t="s">
        <v>500</v>
      </c>
      <c r="CH6" s="81" t="s">
        <v>501</v>
      </c>
      <c r="CI6" s="81" t="s">
        <v>502</v>
      </c>
      <c r="CJ6" s="81" t="s">
        <v>503</v>
      </c>
      <c r="CK6" s="81" t="s">
        <v>504</v>
      </c>
      <c r="CM6" s="81" t="s">
        <v>500</v>
      </c>
      <c r="CN6" s="81" t="s">
        <v>501</v>
      </c>
      <c r="CO6" s="81" t="s">
        <v>502</v>
      </c>
      <c r="CP6" s="81" t="s">
        <v>503</v>
      </c>
      <c r="CQ6" s="81" t="s">
        <v>504</v>
      </c>
      <c r="CR6" s="81" t="s">
        <v>508</v>
      </c>
      <c r="CU6" s="212" t="s">
        <v>506</v>
      </c>
      <c r="CV6" s="81" t="s">
        <v>497</v>
      </c>
      <c r="CW6" s="81" t="s">
        <v>521</v>
      </c>
      <c r="DK6" s="81" t="s">
        <v>395</v>
      </c>
      <c r="DL6" s="286">
        <f t="shared" si="0"/>
        <v>0.30237959961231237</v>
      </c>
      <c r="DM6" s="286">
        <f t="shared" si="1"/>
        <v>0.13800000000000001</v>
      </c>
      <c r="DN6" s="286">
        <f t="shared" si="2"/>
        <v>0.17799999999999999</v>
      </c>
      <c r="DP6" s="290" t="s">
        <v>506</v>
      </c>
      <c r="DQ6" s="290" t="s">
        <v>500</v>
      </c>
      <c r="DR6" s="290" t="s">
        <v>501</v>
      </c>
      <c r="DS6" s="290" t="s">
        <v>502</v>
      </c>
      <c r="DT6" s="290" t="s">
        <v>503</v>
      </c>
      <c r="DU6" s="290" t="s">
        <v>504</v>
      </c>
      <c r="DV6" s="290" t="s">
        <v>508</v>
      </c>
      <c r="DX6" s="212" t="s">
        <v>568</v>
      </c>
      <c r="DY6" s="292" t="s">
        <v>570</v>
      </c>
      <c r="DZ6" s="292" t="s">
        <v>434</v>
      </c>
      <c r="EA6" s="293">
        <f t="shared" ref="EA6:EA24" si="11">DR13</f>
        <v>0.17799999999999999</v>
      </c>
      <c r="EB6" s="212" t="s">
        <v>392</v>
      </c>
    </row>
    <row r="7" spans="1:132" ht="15" customHeight="1" thickTop="1" thickBot="1" x14ac:dyDescent="0.3">
      <c r="A7" s="226" t="s">
        <v>42</v>
      </c>
      <c r="B7" s="229">
        <f>'Tabula data'!B14</f>
        <v>103.4</v>
      </c>
      <c r="C7" s="230" t="s">
        <v>9</v>
      </c>
      <c r="D7" s="226" t="s">
        <v>43</v>
      </c>
      <c r="E7" s="221" t="s">
        <v>36</v>
      </c>
      <c r="F7" s="227">
        <f t="shared" si="5"/>
        <v>0.10117302052785924</v>
      </c>
      <c r="G7" s="221"/>
      <c r="H7" s="228">
        <f>'Tabula data'!B23*'Tabula 2zone Ref 1'!C45</f>
        <v>3.45</v>
      </c>
      <c r="J7" s="81" t="s">
        <v>38</v>
      </c>
      <c r="K7" s="250">
        <v>0</v>
      </c>
      <c r="L7" s="251">
        <v>1</v>
      </c>
      <c r="M7" s="251" t="s">
        <v>25</v>
      </c>
      <c r="N7" s="252">
        <f>'[1]Tabula data'!B20*C43</f>
        <v>30.921227867960802</v>
      </c>
      <c r="O7" s="253" t="s">
        <v>39</v>
      </c>
      <c r="P7" s="30">
        <f t="shared" si="6"/>
        <v>0.36462385321100915</v>
      </c>
      <c r="Q7" s="30">
        <f t="shared" si="7"/>
        <v>11.274617251231504</v>
      </c>
      <c r="R7" s="30">
        <f t="shared" si="8"/>
        <v>7873707.2533506555</v>
      </c>
      <c r="S7" s="30">
        <f t="shared" si="9"/>
        <v>254637.6</v>
      </c>
      <c r="T7" s="30">
        <f t="shared" si="10"/>
        <v>4142826.1097493884</v>
      </c>
      <c r="U7" s="31"/>
      <c r="V7" s="3"/>
      <c r="W7" s="220"/>
      <c r="X7" s="221" t="s">
        <v>40</v>
      </c>
      <c r="Y7" s="221">
        <v>2.5000000000000001E-2</v>
      </c>
      <c r="Z7" s="221">
        <v>1</v>
      </c>
      <c r="AA7" s="221">
        <v>1700</v>
      </c>
      <c r="AB7" s="221">
        <v>840</v>
      </c>
      <c r="AC7" s="268">
        <f>Y7/Z7</f>
        <v>2.5000000000000001E-2</v>
      </c>
      <c r="AD7" s="222">
        <f>Y7*AA7*AB7</f>
        <v>35700</v>
      </c>
      <c r="AE7" s="14" t="s">
        <v>41</v>
      </c>
      <c r="AF7" s="14"/>
      <c r="AG7" s="14"/>
      <c r="AL7" s="154" t="s">
        <v>389</v>
      </c>
      <c r="AM7" s="81" t="s">
        <v>390</v>
      </c>
      <c r="AN7" s="81" t="s">
        <v>395</v>
      </c>
      <c r="AO7" s="81">
        <f>SUM(N14)/SUM(N6:N14,N27,N26)</f>
        <v>0.30237959961231237</v>
      </c>
      <c r="AP7" s="81" t="s">
        <v>392</v>
      </c>
      <c r="AQ7" s="204">
        <v>0.13800000000000001</v>
      </c>
      <c r="AU7" s="205" t="s">
        <v>389</v>
      </c>
      <c r="AV7" s="205" t="s">
        <v>390</v>
      </c>
      <c r="AW7" s="205" t="s">
        <v>395</v>
      </c>
      <c r="AX7" s="207" t="s">
        <v>434</v>
      </c>
      <c r="AY7" s="206">
        <f t="shared" si="3"/>
        <v>0.17799999999999999</v>
      </c>
      <c r="AZ7" s="205" t="s">
        <v>392</v>
      </c>
      <c r="BE7" s="81" t="s">
        <v>122</v>
      </c>
      <c r="BF7" s="204">
        <f>AO9</f>
        <v>1904462.5600000003</v>
      </c>
      <c r="BI7" s="81" t="s">
        <v>442</v>
      </c>
      <c r="BJ7" s="3">
        <f>BF25</f>
        <v>68.593521675596691</v>
      </c>
      <c r="BP7" s="154" t="s">
        <v>389</v>
      </c>
      <c r="BQ7" s="81" t="s">
        <v>390</v>
      </c>
      <c r="BR7" s="81" t="s">
        <v>395</v>
      </c>
      <c r="BS7" s="204">
        <f t="shared" si="4"/>
        <v>0.13800000000000001</v>
      </c>
      <c r="BT7" s="81" t="s">
        <v>392</v>
      </c>
      <c r="BU7" s="204">
        <v>0.13800000000000001</v>
      </c>
      <c r="BY7" s="211">
        <f>CB11</f>
        <v>0.17799999999999999</v>
      </c>
      <c r="BZ7" s="211"/>
      <c r="CA7" s="81" t="s">
        <v>469</v>
      </c>
      <c r="CB7" s="204">
        <v>292</v>
      </c>
      <c r="CC7" s="204">
        <v>6.6199999999999995E-2</v>
      </c>
      <c r="CG7" s="81" t="s">
        <v>465</v>
      </c>
      <c r="CH7" s="204">
        <v>292</v>
      </c>
      <c r="CI7" s="204">
        <v>0.10299999999999999</v>
      </c>
      <c r="CJ7" s="81">
        <v>2836.8</v>
      </c>
      <c r="CK7" s="81" t="s">
        <v>505</v>
      </c>
      <c r="CM7" s="81" t="s">
        <v>465</v>
      </c>
      <c r="CN7" s="204">
        <v>290</v>
      </c>
      <c r="CO7" s="204">
        <v>0.23599999999999999</v>
      </c>
      <c r="CP7" s="81">
        <v>1228.6600000000001</v>
      </c>
      <c r="CQ7" s="81" t="s">
        <v>509</v>
      </c>
      <c r="CR7" s="204">
        <v>2E-16</v>
      </c>
      <c r="CS7" s="81" t="s">
        <v>510</v>
      </c>
      <c r="CU7" s="212" t="s">
        <v>506</v>
      </c>
      <c r="CV7" s="81" t="s">
        <v>499</v>
      </c>
      <c r="DL7" s="287">
        <f t="shared" si="0"/>
        <v>0</v>
      </c>
      <c r="DM7" s="287">
        <f t="shared" si="1"/>
        <v>0</v>
      </c>
      <c r="DN7" s="287">
        <f t="shared" si="2"/>
        <v>0</v>
      </c>
      <c r="DP7" s="290" t="s">
        <v>506</v>
      </c>
      <c r="DQ7" s="290" t="s">
        <v>465</v>
      </c>
      <c r="DR7" s="291">
        <v>293</v>
      </c>
      <c r="DS7" s="291">
        <v>4.6699999999999998E-2</v>
      </c>
      <c r="DT7" s="290">
        <v>6277.76</v>
      </c>
      <c r="DU7" s="290" t="s">
        <v>509</v>
      </c>
      <c r="DV7" s="291">
        <v>2E-16</v>
      </c>
      <c r="DW7" s="81" t="s">
        <v>510</v>
      </c>
      <c r="DX7" s="212" t="s">
        <v>568</v>
      </c>
      <c r="DY7" s="294" t="s">
        <v>571</v>
      </c>
      <c r="DZ7" s="292" t="s">
        <v>434</v>
      </c>
      <c r="EA7" s="293">
        <f t="shared" si="11"/>
        <v>0.224</v>
      </c>
      <c r="EB7" s="212" t="s">
        <v>392</v>
      </c>
    </row>
    <row r="8" spans="1:132" ht="15" customHeight="1" thickTop="1" thickBot="1" x14ac:dyDescent="0.3">
      <c r="A8" s="226" t="s">
        <v>47</v>
      </c>
      <c r="B8" s="229">
        <f>B6-B7</f>
        <v>120.6</v>
      </c>
      <c r="C8" s="221"/>
      <c r="D8" s="226" t="s">
        <v>48</v>
      </c>
      <c r="E8" s="221" t="s">
        <v>36</v>
      </c>
      <c r="F8" s="227">
        <f t="shared" si="5"/>
        <v>0.13196480938416422</v>
      </c>
      <c r="G8" s="221"/>
      <c r="H8" s="228">
        <f>'Tabula data'!B24*C45</f>
        <v>4.5</v>
      </c>
      <c r="J8" s="81" t="s">
        <v>44</v>
      </c>
      <c r="K8" s="250">
        <v>0</v>
      </c>
      <c r="L8" s="251">
        <v>1</v>
      </c>
      <c r="M8" s="251" t="s">
        <v>25</v>
      </c>
      <c r="N8" s="252">
        <f>N6</f>
        <v>17.590457494591035</v>
      </c>
      <c r="O8" s="253" t="s">
        <v>45</v>
      </c>
      <c r="P8" s="30">
        <f t="shared" si="6"/>
        <v>0.36462385321100915</v>
      </c>
      <c r="Q8" s="30">
        <f t="shared" si="7"/>
        <v>6.4139003914222572</v>
      </c>
      <c r="R8" s="30">
        <f t="shared" si="8"/>
        <v>4479191.8793246746</v>
      </c>
      <c r="S8" s="30">
        <f t="shared" si="9"/>
        <v>254637.6</v>
      </c>
      <c r="T8" s="30">
        <f t="shared" si="10"/>
        <v>2356769.4951253068</v>
      </c>
      <c r="U8" s="31"/>
      <c r="V8" s="3"/>
      <c r="W8" s="220"/>
      <c r="X8" s="221" t="s">
        <v>46</v>
      </c>
      <c r="Y8" s="221">
        <v>0</v>
      </c>
      <c r="Z8" s="221">
        <v>0</v>
      </c>
      <c r="AA8" s="221">
        <v>0</v>
      </c>
      <c r="AB8" s="221">
        <v>0</v>
      </c>
      <c r="AC8" s="268">
        <v>0.16</v>
      </c>
      <c r="AD8" s="222">
        <f>Y8*AA8*AB8</f>
        <v>0</v>
      </c>
      <c r="AE8" s="14"/>
      <c r="AF8" s="14"/>
      <c r="AG8" s="14"/>
      <c r="AP8" s="81" t="s">
        <v>392</v>
      </c>
      <c r="AQ8" s="204"/>
      <c r="AU8" s="205"/>
      <c r="AV8" s="205"/>
      <c r="AW8" s="205"/>
      <c r="AX8" s="207"/>
      <c r="AZ8" s="205"/>
      <c r="BS8" s="204">
        <f>AQ8</f>
        <v>0</v>
      </c>
      <c r="BT8" s="81" t="s">
        <v>392</v>
      </c>
      <c r="BU8" s="204"/>
      <c r="CA8" s="81" t="s">
        <v>470</v>
      </c>
      <c r="CB8" s="204">
        <v>0.19500000000000001</v>
      </c>
      <c r="CC8" s="204">
        <v>1.0499999999999999E-3</v>
      </c>
      <c r="CG8" s="81" t="s">
        <v>466</v>
      </c>
      <c r="CH8" s="204">
        <v>291</v>
      </c>
      <c r="CI8" s="204">
        <v>0.105</v>
      </c>
      <c r="CJ8" s="81">
        <v>2780.29</v>
      </c>
      <c r="CK8" s="81" t="s">
        <v>505</v>
      </c>
      <c r="CM8" s="81" t="s">
        <v>466</v>
      </c>
      <c r="CN8" s="204">
        <v>285</v>
      </c>
      <c r="CO8" s="204">
        <v>0.35499999999999998</v>
      </c>
      <c r="CP8" s="81">
        <v>802.92</v>
      </c>
      <c r="CQ8" s="81" t="s">
        <v>509</v>
      </c>
      <c r="CR8" s="204">
        <v>2E-16</v>
      </c>
      <c r="CS8" s="81" t="s">
        <v>510</v>
      </c>
      <c r="CU8" s="212" t="s">
        <v>506</v>
      </c>
      <c r="CV8" s="81" t="s">
        <v>500</v>
      </c>
      <c r="CW8" s="81" t="s">
        <v>501</v>
      </c>
      <c r="CX8" s="81" t="s">
        <v>502</v>
      </c>
      <c r="CY8" s="81" t="s">
        <v>503</v>
      </c>
      <c r="CZ8" s="81" t="s">
        <v>504</v>
      </c>
      <c r="DA8" s="81" t="s">
        <v>508</v>
      </c>
      <c r="DK8" s="81" t="s">
        <v>396</v>
      </c>
      <c r="DL8" s="288">
        <f t="shared" si="0"/>
        <v>1904462.5600000003</v>
      </c>
      <c r="DM8" s="288">
        <f t="shared" si="1"/>
        <v>2850000</v>
      </c>
      <c r="DN8" s="288">
        <f t="shared" si="2"/>
        <v>3460000</v>
      </c>
      <c r="DP8" s="290" t="s">
        <v>506</v>
      </c>
      <c r="DQ8" s="290" t="s">
        <v>466</v>
      </c>
      <c r="DR8" s="291">
        <v>293</v>
      </c>
      <c r="DS8" s="291">
        <v>3.0700000000000002E-2</v>
      </c>
      <c r="DT8" s="290">
        <v>9556.99</v>
      </c>
      <c r="DU8" s="290" t="s">
        <v>509</v>
      </c>
      <c r="DV8" s="291">
        <v>2E-16</v>
      </c>
      <c r="DW8" s="81" t="s">
        <v>510</v>
      </c>
      <c r="DX8" s="212" t="s">
        <v>568</v>
      </c>
      <c r="DY8" s="295" t="s">
        <v>572</v>
      </c>
      <c r="DZ8" s="292" t="s">
        <v>434</v>
      </c>
      <c r="EA8" s="293">
        <f t="shared" si="11"/>
        <v>0.19600000000000001</v>
      </c>
      <c r="EB8" s="212" t="s">
        <v>392</v>
      </c>
    </row>
    <row r="9" spans="1:132" ht="15" customHeight="1" thickTop="1" thickBot="1" x14ac:dyDescent="0.3">
      <c r="A9" s="220"/>
      <c r="B9" s="221"/>
      <c r="C9" s="221"/>
      <c r="D9" s="226" t="s">
        <v>52</v>
      </c>
      <c r="E9" s="231" t="s">
        <v>36</v>
      </c>
      <c r="F9" s="227">
        <f t="shared" si="5"/>
        <v>0.14809384164222872</v>
      </c>
      <c r="G9" s="221"/>
      <c r="H9" s="228">
        <f>'Tabula data'!B25*'Tabula 2zone Ref 1'!C45</f>
        <v>5.05</v>
      </c>
      <c r="J9" s="81" t="s">
        <v>49</v>
      </c>
      <c r="K9" s="250">
        <v>0</v>
      </c>
      <c r="L9" s="251">
        <v>1</v>
      </c>
      <c r="M9" s="251" t="s">
        <v>25</v>
      </c>
      <c r="N9" s="252">
        <v>0</v>
      </c>
      <c r="O9" s="253" t="s">
        <v>50</v>
      </c>
      <c r="P9" s="30">
        <f t="shared" si="6"/>
        <v>0.36462385321100915</v>
      </c>
      <c r="Q9" s="30">
        <f t="shared" si="7"/>
        <v>0</v>
      </c>
      <c r="R9" s="30">
        <f t="shared" si="8"/>
        <v>0</v>
      </c>
      <c r="S9" s="30" t="e">
        <f t="shared" si="9"/>
        <v>#DIV/0!</v>
      </c>
      <c r="T9" s="30">
        <f t="shared" si="10"/>
        <v>0</v>
      </c>
      <c r="U9" s="31"/>
      <c r="V9" s="3"/>
      <c r="W9" s="220"/>
      <c r="X9" s="231" t="s">
        <v>267</v>
      </c>
      <c r="Y9" s="320">
        <v>0.12</v>
      </c>
      <c r="Z9" s="221">
        <v>3.5999999999999997E-2</v>
      </c>
      <c r="AA9" s="221">
        <v>80</v>
      </c>
      <c r="AB9" s="221">
        <v>1470</v>
      </c>
      <c r="AC9" s="268">
        <f>Y9/Z9</f>
        <v>3.3333333333333335</v>
      </c>
      <c r="AD9" s="222">
        <f>Y9*AA9*AB9</f>
        <v>14112</v>
      </c>
      <c r="AE9" s="14"/>
      <c r="AF9" s="14"/>
      <c r="AG9" s="14"/>
      <c r="AL9" s="154" t="s">
        <v>389</v>
      </c>
      <c r="AM9" s="81" t="s">
        <v>390</v>
      </c>
      <c r="AN9" s="81" t="s">
        <v>396</v>
      </c>
      <c r="AO9" s="204">
        <f>B34*1.04*1012*5</f>
        <v>1904462.5600000003</v>
      </c>
      <c r="AP9" s="81" t="s">
        <v>392</v>
      </c>
      <c r="AQ9" s="204">
        <v>2850000</v>
      </c>
      <c r="AU9" s="205" t="s">
        <v>389</v>
      </c>
      <c r="AV9" s="205" t="s">
        <v>390</v>
      </c>
      <c r="AW9" s="205" t="s">
        <v>396</v>
      </c>
      <c r="AX9" s="207" t="s">
        <v>434</v>
      </c>
      <c r="AY9" s="206">
        <f t="shared" si="3"/>
        <v>3460000</v>
      </c>
      <c r="AZ9" s="205" t="s">
        <v>392</v>
      </c>
      <c r="BE9" s="81" t="s">
        <v>285</v>
      </c>
      <c r="BF9" s="81">
        <f>AO21</f>
        <v>459.10169958658707</v>
      </c>
      <c r="BI9" s="81" t="s">
        <v>443</v>
      </c>
      <c r="BJ9" s="204">
        <f>BF5</f>
        <v>8856365.1000000015</v>
      </c>
      <c r="BP9" s="154" t="s">
        <v>389</v>
      </c>
      <c r="BQ9" s="81" t="s">
        <v>390</v>
      </c>
      <c r="BR9" s="81" t="s">
        <v>396</v>
      </c>
      <c r="BS9" s="204">
        <f>AQ9</f>
        <v>2850000</v>
      </c>
      <c r="BT9" s="81" t="s">
        <v>392</v>
      </c>
      <c r="BU9" s="204">
        <v>2850000</v>
      </c>
      <c r="BY9" s="211">
        <f>CB15</f>
        <v>3460000</v>
      </c>
      <c r="BZ9" s="211"/>
      <c r="CA9" s="81" t="s">
        <v>471</v>
      </c>
      <c r="CB9" s="204">
        <v>0.38800000000000001</v>
      </c>
      <c r="CC9" s="204">
        <v>1.15E-3</v>
      </c>
      <c r="CG9" s="81" t="s">
        <v>467</v>
      </c>
      <c r="CH9" s="204">
        <v>294</v>
      </c>
      <c r="CI9" s="204">
        <v>5.4199999999999998E-2</v>
      </c>
      <c r="CJ9" s="81">
        <v>5435.78</v>
      </c>
      <c r="CK9" s="81" t="s">
        <v>505</v>
      </c>
      <c r="CM9" s="81" t="s">
        <v>467</v>
      </c>
      <c r="CN9" s="204">
        <v>291</v>
      </c>
      <c r="CO9" s="204">
        <v>0.127</v>
      </c>
      <c r="CP9" s="81">
        <v>2291.35</v>
      </c>
      <c r="CQ9" s="81" t="s">
        <v>509</v>
      </c>
      <c r="CR9" s="204">
        <v>2E-16</v>
      </c>
      <c r="CS9" s="81" t="s">
        <v>510</v>
      </c>
      <c r="CU9" s="212" t="s">
        <v>506</v>
      </c>
      <c r="CV9" s="81" t="s">
        <v>522</v>
      </c>
      <c r="CW9" s="204">
        <v>294</v>
      </c>
      <c r="CX9" s="204">
        <v>3.8399999999999998E-5</v>
      </c>
      <c r="CY9" s="81">
        <v>7667965</v>
      </c>
      <c r="CZ9" s="81" t="s">
        <v>505</v>
      </c>
      <c r="DA9" s="81" t="s">
        <v>510</v>
      </c>
      <c r="DK9" s="81" t="s">
        <v>397</v>
      </c>
      <c r="DL9" s="288">
        <f t="shared" si="0"/>
        <v>8856365.1000000015</v>
      </c>
      <c r="DM9" s="288">
        <f t="shared" si="1"/>
        <v>19700000</v>
      </c>
      <c r="DN9" s="288">
        <f t="shared" si="2"/>
        <v>23000000</v>
      </c>
      <c r="DP9" s="290" t="s">
        <v>506</v>
      </c>
      <c r="DQ9" s="290" t="s">
        <v>467</v>
      </c>
      <c r="DR9" s="291">
        <v>295</v>
      </c>
      <c r="DS9" s="291">
        <v>2.4199999999999999E-2</v>
      </c>
      <c r="DT9" s="290">
        <v>12210.57</v>
      </c>
      <c r="DU9" s="290" t="s">
        <v>509</v>
      </c>
      <c r="DV9" s="291">
        <v>2E-16</v>
      </c>
      <c r="DW9" s="81" t="s">
        <v>510</v>
      </c>
      <c r="DX9" s="212" t="s">
        <v>568</v>
      </c>
      <c r="DY9" s="295" t="s">
        <v>573</v>
      </c>
      <c r="DZ9" s="292" t="s">
        <v>434</v>
      </c>
      <c r="EA9" s="293">
        <f t="shared" si="11"/>
        <v>0.39300000000000002</v>
      </c>
      <c r="EB9" s="212" t="s">
        <v>392</v>
      </c>
    </row>
    <row r="10" spans="1:132" ht="15" customHeight="1" thickTop="1" thickBot="1" x14ac:dyDescent="0.3">
      <c r="A10" s="220"/>
      <c r="B10" s="221"/>
      <c r="C10" s="221"/>
      <c r="D10" s="226" t="s">
        <v>35</v>
      </c>
      <c r="E10" s="231" t="s">
        <v>56</v>
      </c>
      <c r="F10" s="227">
        <f t="shared" si="5"/>
        <v>0.11876832844574779</v>
      </c>
      <c r="G10" s="221"/>
      <c r="H10" s="232">
        <f>'Tabula data'!B22*(1-C45)</f>
        <v>4.05</v>
      </c>
      <c r="J10" s="81" t="s">
        <v>53</v>
      </c>
      <c r="K10" s="250">
        <v>0</v>
      </c>
      <c r="L10" s="251">
        <v>1</v>
      </c>
      <c r="M10" s="251" t="s">
        <v>54</v>
      </c>
      <c r="N10" s="252">
        <f>H6</f>
        <v>4.05</v>
      </c>
      <c r="O10" s="253" t="s">
        <v>26</v>
      </c>
      <c r="P10" s="30">
        <f t="shared" si="6"/>
        <v>2</v>
      </c>
      <c r="Q10" s="30">
        <f t="shared" si="7"/>
        <v>8.1</v>
      </c>
      <c r="R10" s="30">
        <f t="shared" si="8"/>
        <v>0</v>
      </c>
      <c r="S10" s="30">
        <f t="shared" si="9"/>
        <v>0</v>
      </c>
      <c r="T10" s="30">
        <f t="shared" si="10"/>
        <v>0</v>
      </c>
      <c r="U10" s="31"/>
      <c r="V10" s="3"/>
      <c r="W10" s="237"/>
      <c r="X10" s="219" t="s">
        <v>58</v>
      </c>
      <c r="Y10" s="219">
        <v>0.02</v>
      </c>
      <c r="Z10" s="219">
        <v>0.6</v>
      </c>
      <c r="AA10" s="219">
        <v>975</v>
      </c>
      <c r="AB10" s="219">
        <v>840</v>
      </c>
      <c r="AC10" s="269">
        <f>Y10/Z10</f>
        <v>3.3333333333333333E-2</v>
      </c>
      <c r="AD10" s="242">
        <f>Y10*AA10*AB10</f>
        <v>16380</v>
      </c>
      <c r="AE10" s="14"/>
      <c r="AF10" s="14"/>
      <c r="AG10" s="14"/>
      <c r="AL10" s="154" t="s">
        <v>389</v>
      </c>
      <c r="AM10" s="81" t="s">
        <v>390</v>
      </c>
      <c r="AN10" s="81" t="s">
        <v>397</v>
      </c>
      <c r="AO10" s="204">
        <f>SUM(T6:T9)</f>
        <v>8856365.1000000015</v>
      </c>
      <c r="AP10" s="81" t="s">
        <v>392</v>
      </c>
      <c r="AQ10" s="204">
        <v>19700000</v>
      </c>
      <c r="AU10" s="205" t="s">
        <v>389</v>
      </c>
      <c r="AV10" s="205" t="s">
        <v>390</v>
      </c>
      <c r="AW10" s="205" t="s">
        <v>397</v>
      </c>
      <c r="AX10" s="207" t="s">
        <v>434</v>
      </c>
      <c r="AY10" s="206">
        <f t="shared" si="3"/>
        <v>23000000</v>
      </c>
      <c r="AZ10" s="205" t="s">
        <v>392</v>
      </c>
      <c r="BE10" s="81" t="s">
        <v>293</v>
      </c>
      <c r="BF10" s="204">
        <f>AO11</f>
        <v>13048563.000000004</v>
      </c>
      <c r="BI10" s="81" t="s">
        <v>444</v>
      </c>
      <c r="BJ10" s="204">
        <f>BF26</f>
        <v>28857069.900000006</v>
      </c>
      <c r="BP10" s="154" t="s">
        <v>389</v>
      </c>
      <c r="BQ10" s="81" t="s">
        <v>390</v>
      </c>
      <c r="BR10" s="81" t="s">
        <v>397</v>
      </c>
      <c r="BS10" s="204">
        <f t="shared" ref="BS10:BS12" si="12">AQ10</f>
        <v>19700000</v>
      </c>
      <c r="BT10" s="81" t="s">
        <v>392</v>
      </c>
      <c r="BU10" s="204">
        <v>19700000</v>
      </c>
      <c r="BY10" s="211">
        <f>CB16</f>
        <v>23000000</v>
      </c>
      <c r="BZ10" s="211"/>
      <c r="CA10" s="81" t="s">
        <v>472</v>
      </c>
      <c r="CB10" s="204">
        <v>6.13E-2</v>
      </c>
      <c r="CC10" s="204">
        <v>5.5399999999999998E-3</v>
      </c>
      <c r="CG10" s="81" t="s">
        <v>468</v>
      </c>
      <c r="CH10" s="204">
        <v>290</v>
      </c>
      <c r="CI10" s="204">
        <v>0.111</v>
      </c>
      <c r="CJ10" s="81">
        <v>2606.75</v>
      </c>
      <c r="CK10" s="81" t="s">
        <v>505</v>
      </c>
      <c r="CM10" s="81" t="s">
        <v>468</v>
      </c>
      <c r="CN10" s="204">
        <v>294</v>
      </c>
      <c r="CO10" s="204">
        <v>0.20300000000000001</v>
      </c>
      <c r="CP10" s="81">
        <v>1448.79</v>
      </c>
      <c r="CQ10" s="81" t="s">
        <v>509</v>
      </c>
      <c r="CR10" s="204">
        <v>2E-16</v>
      </c>
      <c r="CS10" s="81" t="s">
        <v>510</v>
      </c>
      <c r="CU10" s="212" t="s">
        <v>506</v>
      </c>
      <c r="CV10" s="81" t="s">
        <v>523</v>
      </c>
      <c r="CW10" s="204">
        <v>294</v>
      </c>
      <c r="CX10" s="204">
        <v>2.7399999999999999E-5</v>
      </c>
      <c r="CY10" s="81">
        <v>10703458</v>
      </c>
      <c r="CZ10" s="81" t="s">
        <v>505</v>
      </c>
      <c r="DA10" s="81" t="s">
        <v>510</v>
      </c>
      <c r="DE10" s="81" t="s">
        <v>389</v>
      </c>
      <c r="DF10" s="81" t="s">
        <v>390</v>
      </c>
      <c r="DG10" s="81" t="str">
        <f>CV17</f>
        <v>abs1D</v>
      </c>
      <c r="DH10" s="81" t="s">
        <v>434</v>
      </c>
      <c r="DI10" s="204">
        <f>CW17</f>
        <v>0.17</v>
      </c>
      <c r="DJ10" s="81" t="s">
        <v>392</v>
      </c>
      <c r="DK10" s="81" t="s">
        <v>398</v>
      </c>
      <c r="DL10" s="288">
        <f t="shared" si="0"/>
        <v>13048563.000000004</v>
      </c>
      <c r="DM10" s="288">
        <f t="shared" si="1"/>
        <v>33400000</v>
      </c>
      <c r="DN10" s="288">
        <f t="shared" si="2"/>
        <v>28700000</v>
      </c>
      <c r="DP10" s="290" t="s">
        <v>506</v>
      </c>
      <c r="DQ10" s="290" t="s">
        <v>468</v>
      </c>
      <c r="DR10" s="291">
        <v>290</v>
      </c>
      <c r="DS10" s="291">
        <v>4.58E-2</v>
      </c>
      <c r="DT10" s="290">
        <v>6334.18</v>
      </c>
      <c r="DU10" s="290" t="s">
        <v>509</v>
      </c>
      <c r="DV10" s="291">
        <v>2E-16</v>
      </c>
      <c r="DW10" s="81" t="s">
        <v>510</v>
      </c>
      <c r="DX10" s="212" t="s">
        <v>568</v>
      </c>
      <c r="DY10" s="295" t="s">
        <v>574</v>
      </c>
      <c r="DZ10" s="292" t="s">
        <v>434</v>
      </c>
      <c r="EA10" s="293">
        <f t="shared" si="11"/>
        <v>0.29799999999999999</v>
      </c>
      <c r="EB10" s="212" t="s">
        <v>392</v>
      </c>
    </row>
    <row r="11" spans="1:132" ht="15" customHeight="1" thickTop="1" thickBot="1" x14ac:dyDescent="0.3">
      <c r="A11" s="220"/>
      <c r="B11" s="221"/>
      <c r="C11" s="221"/>
      <c r="D11" s="226" t="s">
        <v>43</v>
      </c>
      <c r="E11" s="231" t="s">
        <v>56</v>
      </c>
      <c r="F11" s="227">
        <f t="shared" si="5"/>
        <v>0.10117302052785924</v>
      </c>
      <c r="G11" s="221"/>
      <c r="H11" s="232">
        <f>'Tabula data'!B23*(1-'Tabula 2zone Ref 1'!C45)</f>
        <v>3.45</v>
      </c>
      <c r="J11" s="81" t="s">
        <v>57</v>
      </c>
      <c r="K11" s="250">
        <v>0</v>
      </c>
      <c r="L11" s="251">
        <v>1</v>
      </c>
      <c r="M11" s="251" t="s">
        <v>54</v>
      </c>
      <c r="N11" s="252">
        <f>H7</f>
        <v>3.45</v>
      </c>
      <c r="O11" s="253" t="s">
        <v>39</v>
      </c>
      <c r="P11" s="30">
        <f t="shared" si="6"/>
        <v>2</v>
      </c>
      <c r="Q11" s="30">
        <f t="shared" si="7"/>
        <v>6.9</v>
      </c>
      <c r="R11" s="30">
        <f t="shared" si="8"/>
        <v>0</v>
      </c>
      <c r="S11" s="30">
        <f t="shared" si="9"/>
        <v>0</v>
      </c>
      <c r="T11" s="30">
        <f t="shared" si="10"/>
        <v>0</v>
      </c>
      <c r="U11" s="31"/>
      <c r="V11" s="3"/>
      <c r="W11" s="221"/>
      <c r="X11" s="221"/>
      <c r="Y11" s="270"/>
      <c r="Z11" s="270"/>
      <c r="AA11" s="270"/>
      <c r="AB11" s="221"/>
      <c r="AC11" s="268"/>
      <c r="AD11" s="221"/>
      <c r="AE11" s="14"/>
      <c r="AF11" s="14"/>
      <c r="AG11" s="14"/>
      <c r="AL11" s="154" t="s">
        <v>389</v>
      </c>
      <c r="AM11" s="81" t="s">
        <v>390</v>
      </c>
      <c r="AN11" s="81" t="s">
        <v>398</v>
      </c>
      <c r="AO11" s="204">
        <f>SUM(T27)</f>
        <v>13048563.000000004</v>
      </c>
      <c r="AP11" s="81" t="s">
        <v>392</v>
      </c>
      <c r="AQ11" s="204">
        <v>33400000</v>
      </c>
      <c r="AU11" s="205" t="s">
        <v>389</v>
      </c>
      <c r="AV11" s="205" t="s">
        <v>390</v>
      </c>
      <c r="AW11" s="205" t="s">
        <v>398</v>
      </c>
      <c r="AX11" s="207" t="s">
        <v>434</v>
      </c>
      <c r="AY11" s="206">
        <f t="shared" si="3"/>
        <v>28700000</v>
      </c>
      <c r="AZ11" s="205" t="s">
        <v>392</v>
      </c>
      <c r="BE11" s="81" t="s">
        <v>297</v>
      </c>
      <c r="BF11" s="81">
        <f>1/(1/AO48+1/AO49+1/AO50)</f>
        <v>129.92840646651271</v>
      </c>
      <c r="BI11" s="81" t="s">
        <v>445</v>
      </c>
      <c r="BJ11" s="204">
        <f>BF10</f>
        <v>13048563.000000004</v>
      </c>
      <c r="BP11" s="154" t="s">
        <v>389</v>
      </c>
      <c r="BQ11" s="81" t="s">
        <v>390</v>
      </c>
      <c r="BR11" s="81" t="s">
        <v>398</v>
      </c>
      <c r="BS11" s="204">
        <f t="shared" si="12"/>
        <v>33400000</v>
      </c>
      <c r="BT11" s="81" t="s">
        <v>392</v>
      </c>
      <c r="BU11" s="204">
        <v>33400000</v>
      </c>
      <c r="BY11" s="211">
        <f>CB17</f>
        <v>28700000</v>
      </c>
      <c r="BZ11" s="211"/>
      <c r="CA11" s="81" t="s">
        <v>473</v>
      </c>
      <c r="CB11" s="204">
        <v>0.17799999999999999</v>
      </c>
      <c r="CC11" s="204">
        <v>5.53E-4</v>
      </c>
      <c r="CG11" s="81" t="s">
        <v>469</v>
      </c>
      <c r="CH11" s="204">
        <v>292</v>
      </c>
      <c r="CI11" s="204">
        <v>6.6199999999999995E-2</v>
      </c>
      <c r="CJ11" s="81">
        <v>4411.26</v>
      </c>
      <c r="CK11" s="81" t="s">
        <v>505</v>
      </c>
      <c r="CM11" s="81" t="s">
        <v>470</v>
      </c>
      <c r="CN11" s="204">
        <v>0.44800000000000001</v>
      </c>
      <c r="CO11" s="204">
        <v>1.03E-2</v>
      </c>
      <c r="CP11" s="81">
        <v>43.34</v>
      </c>
      <c r="CQ11" s="81" t="s">
        <v>509</v>
      </c>
      <c r="CR11" s="204">
        <v>2E-16</v>
      </c>
      <c r="CS11" s="81" t="s">
        <v>510</v>
      </c>
      <c r="CU11" s="212" t="s">
        <v>506</v>
      </c>
      <c r="CV11" s="81" t="s">
        <v>524</v>
      </c>
      <c r="CW11" s="204">
        <v>296</v>
      </c>
      <c r="CX11" s="204">
        <v>2.55E-5</v>
      </c>
      <c r="CY11" s="81">
        <v>11580092</v>
      </c>
      <c r="CZ11" s="81" t="s">
        <v>505</v>
      </c>
      <c r="DA11" s="81" t="s">
        <v>510</v>
      </c>
      <c r="DE11" s="81" t="s">
        <v>389</v>
      </c>
      <c r="DF11" s="81" t="s">
        <v>390</v>
      </c>
      <c r="DG11" s="81" t="str">
        <f t="shared" ref="DG11:DG56" si="13">CV18</f>
        <v>abs1N</v>
      </c>
      <c r="DH11" s="81" t="s">
        <v>434</v>
      </c>
      <c r="DI11" s="204">
        <f t="shared" ref="DI11:DI56" si="14">CW18</f>
        <v>0.45</v>
      </c>
      <c r="DJ11" s="81" t="s">
        <v>392</v>
      </c>
      <c r="DK11" s="81" t="s">
        <v>399</v>
      </c>
      <c r="DL11" s="288">
        <f t="shared" si="0"/>
        <v>11473264</v>
      </c>
      <c r="DM11" s="288">
        <f t="shared" si="1"/>
        <v>14800000</v>
      </c>
      <c r="DN11" s="288">
        <f t="shared" si="2"/>
        <v>14600000</v>
      </c>
      <c r="DP11" s="290" t="s">
        <v>506</v>
      </c>
      <c r="DQ11" s="290" t="s">
        <v>469</v>
      </c>
      <c r="DR11" s="291">
        <v>294</v>
      </c>
      <c r="DS11" s="291">
        <v>2.75E-2</v>
      </c>
      <c r="DT11" s="290">
        <v>10694.56</v>
      </c>
      <c r="DU11" s="290" t="s">
        <v>509</v>
      </c>
      <c r="DV11" s="291">
        <v>2E-16</v>
      </c>
      <c r="DW11" s="81" t="s">
        <v>510</v>
      </c>
      <c r="DX11" s="212" t="s">
        <v>568</v>
      </c>
      <c r="DY11" s="295" t="s">
        <v>575</v>
      </c>
      <c r="DZ11" s="292" t="s">
        <v>434</v>
      </c>
      <c r="EA11" s="293">
        <f t="shared" si="11"/>
        <v>0.41599999999999998</v>
      </c>
      <c r="EB11" s="212" t="s">
        <v>392</v>
      </c>
    </row>
    <row r="12" spans="1:132" ht="15" customHeight="1" thickTop="1" thickBot="1" x14ac:dyDescent="0.3">
      <c r="A12" s="220"/>
      <c r="B12" s="221"/>
      <c r="C12" s="221"/>
      <c r="D12" s="226" t="s">
        <v>48</v>
      </c>
      <c r="E12" s="231" t="s">
        <v>56</v>
      </c>
      <c r="F12" s="227">
        <f t="shared" si="5"/>
        <v>0.13196480938416422</v>
      </c>
      <c r="G12" s="221"/>
      <c r="H12" s="232">
        <f>'Tabula data'!B24*(1-'Tabula 2zone Ref 1'!C45)</f>
        <v>4.5</v>
      </c>
      <c r="J12" s="81" t="s">
        <v>59</v>
      </c>
      <c r="K12" s="250">
        <v>0</v>
      </c>
      <c r="L12" s="251">
        <v>1</v>
      </c>
      <c r="M12" s="251" t="s">
        <v>54</v>
      </c>
      <c r="N12" s="252">
        <f>H8</f>
        <v>4.5</v>
      </c>
      <c r="O12" s="253" t="s">
        <v>45</v>
      </c>
      <c r="P12" s="30">
        <f t="shared" si="6"/>
        <v>2</v>
      </c>
      <c r="Q12" s="30">
        <f t="shared" si="7"/>
        <v>9</v>
      </c>
      <c r="R12" s="30">
        <f t="shared" si="8"/>
        <v>0</v>
      </c>
      <c r="S12" s="30">
        <f t="shared" si="9"/>
        <v>0</v>
      </c>
      <c r="T12" s="30">
        <f t="shared" si="10"/>
        <v>0</v>
      </c>
      <c r="U12" s="31"/>
      <c r="V12" s="3"/>
      <c r="W12" s="258"/>
      <c r="X12" s="258"/>
      <c r="Y12" s="259" t="s">
        <v>4</v>
      </c>
      <c r="Z12" s="259">
        <v>0.6</v>
      </c>
      <c r="AA12" s="259" t="s">
        <v>5</v>
      </c>
      <c r="AB12" s="258"/>
      <c r="AC12" s="258"/>
      <c r="AD12" s="258"/>
      <c r="AE12" s="14"/>
      <c r="AF12" s="14"/>
      <c r="AG12" s="14"/>
      <c r="AL12" s="154" t="s">
        <v>389</v>
      </c>
      <c r="AM12" s="81" t="s">
        <v>390</v>
      </c>
      <c r="AN12" s="81" t="s">
        <v>399</v>
      </c>
      <c r="AO12" s="204">
        <f>SUM(T14)</f>
        <v>11473264</v>
      </c>
      <c r="AP12" s="81" t="s">
        <v>392</v>
      </c>
      <c r="AQ12" s="204">
        <v>14800000</v>
      </c>
      <c r="AU12" s="205" t="s">
        <v>389</v>
      </c>
      <c r="AV12" s="205" t="s">
        <v>390</v>
      </c>
      <c r="AW12" s="205" t="s">
        <v>399</v>
      </c>
      <c r="AX12" s="207" t="s">
        <v>434</v>
      </c>
      <c r="AY12" s="206">
        <f t="shared" si="3"/>
        <v>14600000</v>
      </c>
      <c r="AZ12" s="205" t="s">
        <v>392</v>
      </c>
      <c r="BE12" s="81" t="s">
        <v>298</v>
      </c>
      <c r="BF12" s="81">
        <f>AO44+AO45</f>
        <v>41572722.000000007</v>
      </c>
      <c r="BI12" s="81" t="s">
        <v>446</v>
      </c>
      <c r="BJ12" s="204">
        <f>BF26</f>
        <v>28857069.900000006</v>
      </c>
      <c r="BP12" s="154" t="s">
        <v>389</v>
      </c>
      <c r="BQ12" s="81" t="s">
        <v>390</v>
      </c>
      <c r="BR12" s="81" t="s">
        <v>399</v>
      </c>
      <c r="BS12" s="204">
        <f t="shared" si="12"/>
        <v>14800000</v>
      </c>
      <c r="BT12" s="81" t="s">
        <v>392</v>
      </c>
      <c r="BU12" s="204">
        <v>14800000</v>
      </c>
      <c r="BY12" s="211">
        <f>CB14</f>
        <v>14600000</v>
      </c>
      <c r="BZ12" s="211"/>
      <c r="CA12" s="81" t="s">
        <v>474</v>
      </c>
      <c r="CB12" s="204">
        <v>0.14199999999999999</v>
      </c>
      <c r="CC12" s="204">
        <v>6.4000000000000005E-4</v>
      </c>
      <c r="CG12" s="81" t="s">
        <v>470</v>
      </c>
      <c r="CH12" s="204">
        <v>0.19500000000000001</v>
      </c>
      <c r="CI12" s="204">
        <v>1.0499999999999999E-3</v>
      </c>
      <c r="CJ12" s="81">
        <v>184.38</v>
      </c>
      <c r="CK12" s="81" t="s">
        <v>505</v>
      </c>
      <c r="CM12" s="81" t="s">
        <v>471</v>
      </c>
      <c r="CN12" s="204">
        <v>0.15</v>
      </c>
      <c r="CO12" s="204">
        <v>2E-3</v>
      </c>
      <c r="CP12" s="81">
        <v>75.25</v>
      </c>
      <c r="CQ12" s="81" t="s">
        <v>509</v>
      </c>
      <c r="CR12" s="204">
        <v>2E-16</v>
      </c>
      <c r="CS12" s="81" t="s">
        <v>510</v>
      </c>
      <c r="CU12" s="212" t="s">
        <v>506</v>
      </c>
      <c r="CV12" s="81" t="s">
        <v>513</v>
      </c>
      <c r="CW12" s="204">
        <v>295</v>
      </c>
      <c r="CX12" s="204">
        <v>2.5500000000000002E-4</v>
      </c>
      <c r="CY12" s="81">
        <v>1156688</v>
      </c>
      <c r="CZ12" s="81" t="s">
        <v>505</v>
      </c>
      <c r="DA12" s="81" t="s">
        <v>510</v>
      </c>
      <c r="DE12" s="81" t="s">
        <v>389</v>
      </c>
      <c r="DF12" s="81" t="s">
        <v>390</v>
      </c>
      <c r="DG12" s="81" t="str">
        <f t="shared" si="13"/>
        <v>abs2D</v>
      </c>
      <c r="DH12" s="81" t="s">
        <v>434</v>
      </c>
      <c r="DI12" s="204">
        <f t="shared" si="14"/>
        <v>0.42</v>
      </c>
      <c r="DJ12" s="81" t="s">
        <v>392</v>
      </c>
      <c r="DL12" s="287">
        <f t="shared" si="0"/>
        <v>0</v>
      </c>
      <c r="DM12" s="287">
        <f t="shared" si="1"/>
        <v>0</v>
      </c>
      <c r="DN12" s="287">
        <f t="shared" si="2"/>
        <v>0</v>
      </c>
      <c r="DP12" s="290" t="s">
        <v>506</v>
      </c>
      <c r="DQ12" s="290" t="s">
        <v>541</v>
      </c>
      <c r="DR12" s="291">
        <v>0.182</v>
      </c>
      <c r="DS12" s="291">
        <v>6.45E-3</v>
      </c>
      <c r="DT12" s="290">
        <v>28.25</v>
      </c>
      <c r="DU12" s="290" t="s">
        <v>509</v>
      </c>
      <c r="DV12" s="291">
        <v>2E-16</v>
      </c>
      <c r="DW12" s="81" t="s">
        <v>510</v>
      </c>
      <c r="DX12" s="212" t="s">
        <v>568</v>
      </c>
      <c r="DY12" s="294" t="s">
        <v>576</v>
      </c>
      <c r="DZ12" s="292" t="s">
        <v>434</v>
      </c>
      <c r="EA12" s="293">
        <f t="shared" si="11"/>
        <v>0.442</v>
      </c>
      <c r="EB12" s="212" t="s">
        <v>392</v>
      </c>
    </row>
    <row r="13" spans="1:132" ht="15" customHeight="1" thickTop="1" thickBot="1" x14ac:dyDescent="0.3">
      <c r="A13" s="220"/>
      <c r="B13" s="221"/>
      <c r="C13" s="221"/>
      <c r="D13" s="226" t="s">
        <v>52</v>
      </c>
      <c r="E13" s="231" t="s">
        <v>56</v>
      </c>
      <c r="F13" s="227">
        <f t="shared" si="5"/>
        <v>0.14809384164222872</v>
      </c>
      <c r="G13" s="221"/>
      <c r="H13" s="232">
        <f>'Tabula data'!B25*(1-'Tabula 2zone Ref 1'!C45)</f>
        <v>5.05</v>
      </c>
      <c r="J13" s="81" t="s">
        <v>60</v>
      </c>
      <c r="K13" s="250">
        <v>0</v>
      </c>
      <c r="L13" s="251">
        <v>1</v>
      </c>
      <c r="M13" s="251" t="s">
        <v>54</v>
      </c>
      <c r="N13" s="252">
        <f>H9</f>
        <v>5.05</v>
      </c>
      <c r="O13" s="253" t="s">
        <v>50</v>
      </c>
      <c r="P13" s="30">
        <f t="shared" si="6"/>
        <v>2</v>
      </c>
      <c r="Q13" s="30">
        <f t="shared" si="7"/>
        <v>10.1</v>
      </c>
      <c r="R13" s="30">
        <f t="shared" si="8"/>
        <v>0</v>
      </c>
      <c r="S13" s="30">
        <f t="shared" si="9"/>
        <v>0</v>
      </c>
      <c r="T13" s="30">
        <f t="shared" si="10"/>
        <v>0</v>
      </c>
      <c r="U13" s="31"/>
      <c r="V13" s="3"/>
      <c r="W13" s="260" t="s">
        <v>64</v>
      </c>
      <c r="X13" s="261"/>
      <c r="Y13" s="262" t="s">
        <v>21</v>
      </c>
      <c r="Z13" s="263">
        <f>1/(1/8+SUM(AC15:AC19)+1/23)</f>
        <v>0.36462385321100915</v>
      </c>
      <c r="AA13" s="261" t="s">
        <v>5</v>
      </c>
      <c r="AB13" s="261"/>
      <c r="AC13" s="261" t="s">
        <v>22</v>
      </c>
      <c r="AD13" s="264">
        <f>SUM(AD15:AD20)</f>
        <v>254637.6</v>
      </c>
      <c r="AE13" s="14" t="s">
        <v>23</v>
      </c>
      <c r="AF13" s="14">
        <f>SUM(AD18:AD19)</f>
        <v>133980</v>
      </c>
      <c r="AG13" s="14"/>
      <c r="AO13" s="204"/>
      <c r="AP13" s="81" t="s">
        <v>392</v>
      </c>
      <c r="AQ13" s="204"/>
      <c r="AU13" s="205"/>
      <c r="AV13" s="205"/>
      <c r="AW13" s="205"/>
      <c r="AX13" s="207"/>
      <c r="AZ13" s="205"/>
      <c r="BS13" s="204"/>
      <c r="BT13" s="81" t="s">
        <v>392</v>
      </c>
      <c r="BU13" s="204"/>
      <c r="CA13" s="81" t="s">
        <v>298</v>
      </c>
      <c r="CB13" s="204">
        <v>995000000</v>
      </c>
      <c r="CC13" s="204">
        <v>22500000</v>
      </c>
      <c r="CG13" s="81" t="s">
        <v>471</v>
      </c>
      <c r="CH13" s="204">
        <v>0.38800000000000001</v>
      </c>
      <c r="CI13" s="204">
        <v>1.15E-3</v>
      </c>
      <c r="CJ13" s="81">
        <v>338.41</v>
      </c>
      <c r="CK13" s="81" t="s">
        <v>505</v>
      </c>
      <c r="CM13" s="81" t="s">
        <v>472</v>
      </c>
      <c r="CN13" s="204">
        <v>4.4699999999999997E-2</v>
      </c>
      <c r="CO13" s="204">
        <v>0.02</v>
      </c>
      <c r="CP13" s="81">
        <v>2.23</v>
      </c>
      <c r="CQ13" s="81">
        <v>2.5999999999999999E-2</v>
      </c>
      <c r="CR13" s="81" t="s">
        <v>511</v>
      </c>
      <c r="CU13" s="212" t="s">
        <v>506</v>
      </c>
      <c r="CV13" s="81" t="s">
        <v>514</v>
      </c>
      <c r="CW13" s="204">
        <v>294</v>
      </c>
      <c r="CX13" s="204">
        <v>2.5700000000000001E-4</v>
      </c>
      <c r="CY13" s="81">
        <v>1144487</v>
      </c>
      <c r="CZ13" s="81" t="s">
        <v>505</v>
      </c>
      <c r="DA13" s="81" t="s">
        <v>510</v>
      </c>
      <c r="DE13" s="81" t="s">
        <v>389</v>
      </c>
      <c r="DF13" s="81" t="s">
        <v>390</v>
      </c>
      <c r="DG13" s="81" t="str">
        <f t="shared" si="13"/>
        <v>abs2N</v>
      </c>
      <c r="DH13" s="81" t="s">
        <v>434</v>
      </c>
      <c r="DI13" s="204">
        <f t="shared" si="14"/>
        <v>0.15</v>
      </c>
      <c r="DJ13" s="81" t="s">
        <v>392</v>
      </c>
      <c r="DK13" s="81" t="s">
        <v>400</v>
      </c>
      <c r="DL13" s="286">
        <f t="shared" si="0"/>
        <v>5.7992087497075628E-2</v>
      </c>
      <c r="DM13" s="286">
        <f t="shared" si="1"/>
        <v>0.112</v>
      </c>
      <c r="DN13" s="286">
        <f t="shared" si="2"/>
        <v>6.9400000000000003E-2</v>
      </c>
      <c r="DP13" s="290" t="s">
        <v>506</v>
      </c>
      <c r="DQ13" s="290" t="s">
        <v>410</v>
      </c>
      <c r="DR13" s="291">
        <v>0.17799999999999999</v>
      </c>
      <c r="DS13" s="291">
        <v>1.6E-2</v>
      </c>
      <c r="DT13" s="290">
        <v>11.13</v>
      </c>
      <c r="DU13" s="291" t="s">
        <v>509</v>
      </c>
      <c r="DV13" s="291">
        <v>2E-16</v>
      </c>
      <c r="DW13" s="81" t="s">
        <v>510</v>
      </c>
      <c r="DX13" s="212" t="s">
        <v>568</v>
      </c>
      <c r="DY13" s="296" t="s">
        <v>577</v>
      </c>
      <c r="DZ13" s="292" t="s">
        <v>434</v>
      </c>
      <c r="EA13" s="293">
        <f t="shared" si="11"/>
        <v>0.13900000000000001</v>
      </c>
      <c r="EB13" s="212" t="s">
        <v>392</v>
      </c>
    </row>
    <row r="14" spans="1:132" ht="15" customHeight="1" thickTop="1" thickBot="1" x14ac:dyDescent="0.3">
      <c r="A14" s="220"/>
      <c r="B14" s="221"/>
      <c r="C14" s="221"/>
      <c r="D14" s="233" t="s">
        <v>65</v>
      </c>
      <c r="E14" s="234"/>
      <c r="F14" s="234"/>
      <c r="G14" s="234"/>
      <c r="H14" s="235"/>
      <c r="J14" s="81" t="s">
        <v>61</v>
      </c>
      <c r="K14" s="250" t="s">
        <v>62</v>
      </c>
      <c r="L14" s="251">
        <v>1</v>
      </c>
      <c r="M14" s="251" t="s">
        <v>63</v>
      </c>
      <c r="N14" s="252">
        <f>B7</f>
        <v>103.4</v>
      </c>
      <c r="O14" s="253"/>
      <c r="P14" s="30">
        <f t="shared" si="6"/>
        <v>0.28445648493057907</v>
      </c>
      <c r="Q14" s="30">
        <f t="shared" si="7"/>
        <v>29.412800541821877</v>
      </c>
      <c r="R14" s="30">
        <f t="shared" si="8"/>
        <v>48249180.100000001</v>
      </c>
      <c r="S14" s="30">
        <f t="shared" si="9"/>
        <v>466626.5</v>
      </c>
      <c r="T14" s="30">
        <f t="shared" si="10"/>
        <v>11473264</v>
      </c>
      <c r="U14" s="31"/>
      <c r="V14" s="3"/>
      <c r="W14" s="265"/>
      <c r="X14" s="266" t="s">
        <v>27</v>
      </c>
      <c r="Y14" s="266" t="s">
        <v>28</v>
      </c>
      <c r="Z14" s="266" t="s">
        <v>29</v>
      </c>
      <c r="AA14" s="266" t="s">
        <v>30</v>
      </c>
      <c r="AB14" s="266" t="s">
        <v>31</v>
      </c>
      <c r="AC14" s="266" t="s">
        <v>32</v>
      </c>
      <c r="AD14" s="267" t="s">
        <v>33</v>
      </c>
      <c r="AE14" s="14"/>
      <c r="AF14" s="14"/>
      <c r="AG14" s="14"/>
      <c r="AL14" s="154" t="s">
        <v>389</v>
      </c>
      <c r="AM14" s="81" t="s">
        <v>390</v>
      </c>
      <c r="AN14" s="81" t="s">
        <v>400</v>
      </c>
      <c r="AO14" s="81">
        <f>AO4*0.3</f>
        <v>5.7992087497075628E-2</v>
      </c>
      <c r="AP14" s="81" t="s">
        <v>392</v>
      </c>
      <c r="AQ14" s="204">
        <v>0.112</v>
      </c>
      <c r="AU14" s="205" t="s">
        <v>389</v>
      </c>
      <c r="AV14" s="205" t="s">
        <v>390</v>
      </c>
      <c r="AW14" s="205" t="s">
        <v>400</v>
      </c>
      <c r="AX14" s="207" t="s">
        <v>434</v>
      </c>
      <c r="AY14" s="206">
        <f t="shared" si="3"/>
        <v>6.9400000000000003E-2</v>
      </c>
      <c r="AZ14" s="205" t="s">
        <v>392</v>
      </c>
      <c r="BE14" s="81" t="s">
        <v>286</v>
      </c>
      <c r="BF14" s="81">
        <f>1/(1/AO20+1/AO24)</f>
        <v>28.865403788634094</v>
      </c>
      <c r="BI14" s="81" t="s">
        <v>447</v>
      </c>
      <c r="BJ14" s="81">
        <f>BF9</f>
        <v>459.10169958658707</v>
      </c>
      <c r="BP14" s="154" t="s">
        <v>389</v>
      </c>
      <c r="BQ14" s="81" t="s">
        <v>390</v>
      </c>
      <c r="BR14" s="81" t="s">
        <v>400</v>
      </c>
      <c r="BS14" s="204">
        <f>AQ14</f>
        <v>0.112</v>
      </c>
      <c r="BT14" s="81" t="s">
        <v>392</v>
      </c>
      <c r="BU14" s="204">
        <v>0.112</v>
      </c>
      <c r="BY14" s="211">
        <f>CB23</f>
        <v>6.9400000000000003E-2</v>
      </c>
      <c r="BZ14" s="211"/>
      <c r="CA14" s="81" t="s">
        <v>294</v>
      </c>
      <c r="CB14" s="204">
        <v>14600000</v>
      </c>
      <c r="CC14" s="204">
        <v>300000</v>
      </c>
      <c r="CG14" s="81" t="s">
        <v>472</v>
      </c>
      <c r="CH14" s="204">
        <v>6.13E-2</v>
      </c>
      <c r="CI14" s="204">
        <v>5.5399999999999998E-3</v>
      </c>
      <c r="CJ14" s="81">
        <v>11.07</v>
      </c>
      <c r="CK14" s="81" t="s">
        <v>505</v>
      </c>
      <c r="CM14" s="81" t="s">
        <v>473</v>
      </c>
      <c r="CN14" s="204">
        <v>0.34599999999999997</v>
      </c>
      <c r="CO14" s="204">
        <v>6.0699999999999999E-3</v>
      </c>
      <c r="CP14" s="81">
        <v>57.03</v>
      </c>
      <c r="CQ14" s="81" t="s">
        <v>509</v>
      </c>
      <c r="CR14" s="204">
        <v>2E-16</v>
      </c>
      <c r="CS14" s="81" t="s">
        <v>510</v>
      </c>
      <c r="CU14" s="212" t="s">
        <v>506</v>
      </c>
      <c r="CV14" s="81" t="s">
        <v>525</v>
      </c>
      <c r="CW14" s="204">
        <v>293</v>
      </c>
      <c r="CX14" s="204">
        <v>1.5299999999999999E-5</v>
      </c>
      <c r="CY14" s="81">
        <v>19154623</v>
      </c>
      <c r="CZ14" s="81" t="s">
        <v>505</v>
      </c>
      <c r="DA14" s="81" t="s">
        <v>510</v>
      </c>
      <c r="DE14" s="81" t="s">
        <v>389</v>
      </c>
      <c r="DF14" s="81" t="s">
        <v>390</v>
      </c>
      <c r="DG14" s="81" t="str">
        <f t="shared" si="13"/>
        <v>abs3D</v>
      </c>
      <c r="DH14" s="81" t="s">
        <v>434</v>
      </c>
      <c r="DI14" s="204">
        <f t="shared" si="14"/>
        <v>0.14000000000000001</v>
      </c>
      <c r="DJ14" s="81" t="s">
        <v>392</v>
      </c>
      <c r="DK14" s="81" t="s">
        <v>401</v>
      </c>
      <c r="DL14" s="286">
        <f t="shared" si="0"/>
        <v>5.7992087497075628E-2</v>
      </c>
      <c r="DM14" s="286">
        <f t="shared" si="1"/>
        <v>0.216</v>
      </c>
      <c r="DN14" s="286">
        <f t="shared" si="2"/>
        <v>0.14099999999999999</v>
      </c>
      <c r="DP14" s="290" t="s">
        <v>506</v>
      </c>
      <c r="DQ14" s="290" t="s">
        <v>542</v>
      </c>
      <c r="DR14" s="291">
        <v>0.224</v>
      </c>
      <c r="DS14" s="291">
        <v>3.4299999999999999E-3</v>
      </c>
      <c r="DT14" s="290">
        <v>65.349999999999994</v>
      </c>
      <c r="DU14" s="290" t="s">
        <v>509</v>
      </c>
      <c r="DV14" s="291">
        <v>2E-16</v>
      </c>
      <c r="DW14" s="81" t="s">
        <v>510</v>
      </c>
      <c r="DX14" s="212" t="s">
        <v>568</v>
      </c>
      <c r="DY14" s="296" t="s">
        <v>578</v>
      </c>
      <c r="DZ14" s="292" t="s">
        <v>434</v>
      </c>
      <c r="EA14" s="293">
        <f t="shared" si="11"/>
        <v>0.79400000000000004</v>
      </c>
      <c r="EB14" s="212" t="s">
        <v>392</v>
      </c>
    </row>
    <row r="15" spans="1:132" ht="15" customHeight="1" thickTop="1" thickBot="1" x14ac:dyDescent="0.3">
      <c r="A15" s="220"/>
      <c r="B15" s="221"/>
      <c r="C15" s="221"/>
      <c r="D15" s="236"/>
      <c r="E15" s="221"/>
      <c r="F15" s="221"/>
      <c r="G15" s="221"/>
      <c r="H15" s="222"/>
      <c r="J15" s="81" t="s">
        <v>66</v>
      </c>
      <c r="K15" s="250">
        <v>0</v>
      </c>
      <c r="L15" s="251">
        <v>1</v>
      </c>
      <c r="M15" s="251" t="s">
        <v>20</v>
      </c>
      <c r="N15" s="254">
        <v>0</v>
      </c>
      <c r="O15" s="253"/>
      <c r="P15" s="30">
        <f t="shared" si="6"/>
        <v>0.27062537995411134</v>
      </c>
      <c r="Q15" s="30">
        <f t="shared" si="7"/>
        <v>0</v>
      </c>
      <c r="R15" s="30">
        <f>VLOOKUP(M15,$W$5:$AD$391,8,0)*N25</f>
        <v>7181832</v>
      </c>
      <c r="S15" s="30">
        <f>R15/N25</f>
        <v>66192</v>
      </c>
      <c r="T15" s="30">
        <f>VLOOKUP(M15,$W$5:$AF$391,10,0)*N25</f>
        <v>3308382</v>
      </c>
      <c r="U15" s="31"/>
      <c r="V15" s="3"/>
      <c r="W15" s="220"/>
      <c r="X15" s="221" t="s">
        <v>268</v>
      </c>
      <c r="Y15" s="221">
        <v>0.1</v>
      </c>
      <c r="Z15" s="221">
        <v>0.75</v>
      </c>
      <c r="AA15" s="221">
        <v>1400</v>
      </c>
      <c r="AB15" s="231">
        <v>840</v>
      </c>
      <c r="AC15" s="268">
        <f>Y15/Z15</f>
        <v>0.13333333333333333</v>
      </c>
      <c r="AD15" s="222">
        <f>AA15*AB15*Y15</f>
        <v>117600</v>
      </c>
      <c r="AE15" s="14"/>
      <c r="AF15" s="14"/>
      <c r="AG15" s="14"/>
      <c r="AL15" s="154" t="s">
        <v>389</v>
      </c>
      <c r="AM15" s="81" t="s">
        <v>390</v>
      </c>
      <c r="AN15" s="81" t="s">
        <v>401</v>
      </c>
      <c r="AO15" s="81">
        <f>AO5*0.3</f>
        <v>5.7992087497075628E-2</v>
      </c>
      <c r="AP15" s="81" t="s">
        <v>392</v>
      </c>
      <c r="AQ15" s="204">
        <v>0.216</v>
      </c>
      <c r="AU15" s="205" t="s">
        <v>389</v>
      </c>
      <c r="AV15" s="205" t="s">
        <v>390</v>
      </c>
      <c r="AW15" s="205" t="s">
        <v>401</v>
      </c>
      <c r="AX15" s="207" t="s">
        <v>434</v>
      </c>
      <c r="AY15" s="206">
        <f t="shared" si="3"/>
        <v>0.14099999999999999</v>
      </c>
      <c r="AZ15" s="205" t="s">
        <v>392</v>
      </c>
      <c r="BE15" s="81" t="s">
        <v>294</v>
      </c>
      <c r="BF15" s="204">
        <f>AO12</f>
        <v>11473264</v>
      </c>
      <c r="BI15" s="81" t="s">
        <v>448</v>
      </c>
      <c r="BJ15" s="81">
        <f>AO38</f>
        <v>535.47064768029406</v>
      </c>
      <c r="BP15" s="154" t="s">
        <v>389</v>
      </c>
      <c r="BQ15" s="81" t="s">
        <v>390</v>
      </c>
      <c r="BR15" s="81" t="s">
        <v>401</v>
      </c>
      <c r="BS15" s="204">
        <f t="shared" ref="BS15:BS17" si="15">AQ15</f>
        <v>0.216</v>
      </c>
      <c r="BT15" s="81" t="s">
        <v>392</v>
      </c>
      <c r="BU15" s="204">
        <v>0.216</v>
      </c>
      <c r="BY15" s="211">
        <f>CB24</f>
        <v>0.14099999999999999</v>
      </c>
      <c r="BZ15" s="211"/>
      <c r="CA15" s="81" t="s">
        <v>475</v>
      </c>
      <c r="CB15" s="204">
        <v>3460000</v>
      </c>
      <c r="CC15" s="204">
        <v>48400</v>
      </c>
      <c r="CG15" s="81" t="s">
        <v>473</v>
      </c>
      <c r="CH15" s="204">
        <v>0.17799999999999999</v>
      </c>
      <c r="CI15" s="204">
        <v>5.53E-4</v>
      </c>
      <c r="CJ15" s="81">
        <v>322.19</v>
      </c>
      <c r="CK15" s="81" t="s">
        <v>505</v>
      </c>
      <c r="CM15" s="81" t="s">
        <v>298</v>
      </c>
      <c r="CN15" s="204">
        <v>992000000</v>
      </c>
      <c r="CO15" s="204">
        <v>51400000</v>
      </c>
      <c r="CP15" s="81">
        <v>19.29</v>
      </c>
      <c r="CQ15" s="81" t="s">
        <v>509</v>
      </c>
      <c r="CR15" s="204">
        <v>2E-16</v>
      </c>
      <c r="CS15" s="81" t="s">
        <v>510</v>
      </c>
      <c r="CU15" s="212" t="s">
        <v>506</v>
      </c>
      <c r="CV15" s="81" t="s">
        <v>526</v>
      </c>
      <c r="CW15" s="204">
        <v>293</v>
      </c>
      <c r="CX15" s="204">
        <v>5.8999999999999998E-5</v>
      </c>
      <c r="CY15" s="81">
        <v>4966969</v>
      </c>
      <c r="CZ15" s="81" t="s">
        <v>505</v>
      </c>
      <c r="DA15" s="81" t="s">
        <v>510</v>
      </c>
      <c r="DE15" s="81" t="s">
        <v>389</v>
      </c>
      <c r="DF15" s="81" t="s">
        <v>390</v>
      </c>
      <c r="DG15" s="81" t="str">
        <f t="shared" si="13"/>
        <v>abs3N</v>
      </c>
      <c r="DH15" s="81" t="s">
        <v>434</v>
      </c>
      <c r="DI15" s="204">
        <f t="shared" si="14"/>
        <v>0.11</v>
      </c>
      <c r="DJ15" s="81" t="s">
        <v>392</v>
      </c>
      <c r="DK15" s="81" t="s">
        <v>402</v>
      </c>
      <c r="DL15" s="286">
        <f t="shared" si="0"/>
        <v>0.71495813976805578</v>
      </c>
      <c r="DM15" s="286">
        <f t="shared" si="1"/>
        <v>0.49</v>
      </c>
      <c r="DN15" s="286">
        <f t="shared" si="2"/>
        <v>0.76</v>
      </c>
      <c r="DP15" s="290" t="s">
        <v>506</v>
      </c>
      <c r="DQ15" s="290" t="s">
        <v>543</v>
      </c>
      <c r="DR15" s="291">
        <v>0.19600000000000001</v>
      </c>
      <c r="DS15" s="291">
        <v>4.1799999999999997E-3</v>
      </c>
      <c r="DT15" s="290">
        <v>46.78</v>
      </c>
      <c r="DU15" s="290" t="s">
        <v>509</v>
      </c>
      <c r="DV15" s="291">
        <v>2E-16</v>
      </c>
      <c r="DW15" s="81" t="s">
        <v>510</v>
      </c>
      <c r="DX15" s="212" t="s">
        <v>568</v>
      </c>
      <c r="DY15" s="296" t="s">
        <v>579</v>
      </c>
      <c r="DZ15" s="292" t="s">
        <v>434</v>
      </c>
      <c r="EA15" s="293">
        <f t="shared" si="11"/>
        <v>0.11600000000000001</v>
      </c>
      <c r="EB15" s="212" t="s">
        <v>392</v>
      </c>
    </row>
    <row r="16" spans="1:132" ht="15" customHeight="1" thickTop="1" thickBot="1" x14ac:dyDescent="0.3">
      <c r="A16" s="237"/>
      <c r="B16" s="219"/>
      <c r="C16" s="219"/>
      <c r="D16" s="226" t="s">
        <v>69</v>
      </c>
      <c r="E16" s="221"/>
      <c r="F16" s="238">
        <f>B4/B26</f>
        <v>1.5021951219512195</v>
      </c>
      <c r="G16" s="231" t="s">
        <v>70</v>
      </c>
      <c r="H16" s="222"/>
      <c r="J16" s="81" t="s">
        <v>67</v>
      </c>
      <c r="K16" s="250">
        <v>0</v>
      </c>
      <c r="L16" s="251">
        <v>1</v>
      </c>
      <c r="M16" s="251" t="s">
        <v>68</v>
      </c>
      <c r="N16" s="252">
        <f>'[1]Tabula data'!B21</f>
        <v>9.5</v>
      </c>
      <c r="O16" s="253"/>
      <c r="P16" s="30">
        <f t="shared" si="6"/>
        <v>3.5</v>
      </c>
      <c r="Q16" s="30">
        <f t="shared" si="7"/>
        <v>33.25</v>
      </c>
      <c r="R16" s="30">
        <f t="shared" ref="R16:R28" si="16">VLOOKUP(M16,$W$5:$AD$391,8,0)*N16</f>
        <v>346940</v>
      </c>
      <c r="S16" s="30">
        <f t="shared" ref="S16:S28" si="17">R16/N16</f>
        <v>36520</v>
      </c>
      <c r="T16" s="30">
        <f t="shared" ref="T16:T28" si="18">VLOOKUP(M16,$W$5:$AF$391,10,0)*N16</f>
        <v>1719690.0000000002</v>
      </c>
      <c r="U16" s="31"/>
      <c r="V16" s="3"/>
      <c r="W16" s="220"/>
      <c r="X16" s="221" t="s">
        <v>46</v>
      </c>
      <c r="Y16" s="221">
        <v>0</v>
      </c>
      <c r="Z16" s="221"/>
      <c r="AA16" s="221"/>
      <c r="AB16" s="221"/>
      <c r="AC16" s="268"/>
      <c r="AD16" s="222"/>
      <c r="AE16" s="14"/>
      <c r="AF16" s="14"/>
      <c r="AG16" s="14"/>
      <c r="AL16" s="154" t="s">
        <v>389</v>
      </c>
      <c r="AM16" s="81" t="s">
        <v>390</v>
      </c>
      <c r="AN16" s="81" t="s">
        <v>402</v>
      </c>
      <c r="AO16" s="81">
        <f>AO6*0.3+0.7</f>
        <v>0.71495813976805578</v>
      </c>
      <c r="AP16" s="81" t="s">
        <v>392</v>
      </c>
      <c r="AQ16" s="204">
        <v>0.49</v>
      </c>
      <c r="AU16" s="205" t="s">
        <v>389</v>
      </c>
      <c r="AV16" s="205" t="s">
        <v>390</v>
      </c>
      <c r="AW16" s="205" t="s">
        <v>402</v>
      </c>
      <c r="AX16" s="207" t="s">
        <v>434</v>
      </c>
      <c r="AY16" s="206">
        <f t="shared" si="3"/>
        <v>0.76</v>
      </c>
      <c r="AZ16" s="205" t="s">
        <v>392</v>
      </c>
      <c r="BP16" s="154" t="s">
        <v>389</v>
      </c>
      <c r="BQ16" s="81" t="s">
        <v>390</v>
      </c>
      <c r="BR16" s="81" t="s">
        <v>402</v>
      </c>
      <c r="BS16" s="204">
        <f t="shared" si="15"/>
        <v>0.49</v>
      </c>
      <c r="BT16" s="81" t="s">
        <v>392</v>
      </c>
      <c r="BU16" s="204">
        <v>0.49</v>
      </c>
      <c r="BY16" s="211">
        <f>CB25</f>
        <v>0.76</v>
      </c>
      <c r="BZ16" s="211"/>
      <c r="CA16" s="81" t="s">
        <v>291</v>
      </c>
      <c r="CB16" s="204">
        <v>23000000</v>
      </c>
      <c r="CC16" s="204">
        <v>709000</v>
      </c>
      <c r="CG16" s="81" t="s">
        <v>474</v>
      </c>
      <c r="CH16" s="204">
        <v>0.14199999999999999</v>
      </c>
      <c r="CI16" s="204">
        <v>6.4000000000000005E-4</v>
      </c>
      <c r="CJ16" s="81">
        <v>221.71</v>
      </c>
      <c r="CK16" s="81" t="s">
        <v>505</v>
      </c>
      <c r="CM16" s="81" t="s">
        <v>475</v>
      </c>
      <c r="CN16" s="204">
        <v>1130000</v>
      </c>
      <c r="CO16" s="204">
        <v>29900</v>
      </c>
      <c r="CP16" s="81">
        <v>37.909999999999997</v>
      </c>
      <c r="CQ16" s="81" t="s">
        <v>509</v>
      </c>
      <c r="CR16" s="204">
        <v>2E-16</v>
      </c>
      <c r="CS16" s="81" t="s">
        <v>510</v>
      </c>
      <c r="CU16" s="212" t="s">
        <v>506</v>
      </c>
      <c r="CV16" s="81" t="s">
        <v>527</v>
      </c>
      <c r="CW16" s="204">
        <v>294</v>
      </c>
      <c r="CX16" s="204">
        <v>5.7000000000000003E-5</v>
      </c>
      <c r="CY16" s="81">
        <v>5160670</v>
      </c>
      <c r="CZ16" s="81" t="s">
        <v>505</v>
      </c>
      <c r="DA16" s="81" t="s">
        <v>510</v>
      </c>
      <c r="DI16" s="204"/>
      <c r="DK16" s="81" t="s">
        <v>403</v>
      </c>
      <c r="DL16" s="286">
        <f t="shared" si="0"/>
        <v>9.0713879883693713E-2</v>
      </c>
      <c r="DM16" s="286">
        <f t="shared" si="1"/>
        <v>9.01E-2</v>
      </c>
      <c r="DN16" s="286">
        <f t="shared" si="2"/>
        <v>6.4100000000000004E-2</v>
      </c>
      <c r="DP16" s="290" t="s">
        <v>506</v>
      </c>
      <c r="DQ16" s="290" t="s">
        <v>544</v>
      </c>
      <c r="DR16" s="291">
        <v>0.39300000000000002</v>
      </c>
      <c r="DS16" s="291">
        <v>1.2200000000000001E-2</v>
      </c>
      <c r="DT16" s="290">
        <v>32.18</v>
      </c>
      <c r="DU16" s="290" t="s">
        <v>509</v>
      </c>
      <c r="DV16" s="291">
        <v>2E-16</v>
      </c>
      <c r="DW16" s="81" t="s">
        <v>510</v>
      </c>
      <c r="DX16" s="212" t="s">
        <v>568</v>
      </c>
      <c r="DY16" s="296" t="s">
        <v>580</v>
      </c>
      <c r="DZ16" s="292" t="s">
        <v>434</v>
      </c>
      <c r="EA16" s="293">
        <f t="shared" si="11"/>
        <v>0.32100000000000001</v>
      </c>
      <c r="EB16" s="212" t="s">
        <v>392</v>
      </c>
    </row>
    <row r="17" spans="1:132" ht="15" customHeight="1" thickTop="1" thickBot="1" x14ac:dyDescent="0.3">
      <c r="A17" s="223" t="s">
        <v>73</v>
      </c>
      <c r="B17" s="224">
        <v>0</v>
      </c>
      <c r="C17" s="234" t="s">
        <v>9</v>
      </c>
      <c r="D17" s="226" t="s">
        <v>74</v>
      </c>
      <c r="E17" s="221"/>
      <c r="F17" s="238">
        <f>B26/B23</f>
        <v>1.8303571428571428</v>
      </c>
      <c r="G17" s="231"/>
      <c r="H17" s="222"/>
      <c r="J17" s="81" t="s">
        <v>71</v>
      </c>
      <c r="K17" s="250">
        <v>0</v>
      </c>
      <c r="L17" s="251">
        <v>2</v>
      </c>
      <c r="M17" s="251" t="s">
        <v>25</v>
      </c>
      <c r="N17" s="252">
        <f>'[1]Tabula data'!B19*(1-C43)</f>
        <v>20.516529727733833</v>
      </c>
      <c r="O17" s="253" t="s">
        <v>26</v>
      </c>
      <c r="P17" s="30">
        <f t="shared" si="6"/>
        <v>0.36462385321100915</v>
      </c>
      <c r="Q17" s="30">
        <f t="shared" si="7"/>
        <v>7.4808161238445265</v>
      </c>
      <c r="R17" s="30">
        <f t="shared" si="16"/>
        <v>5224279.890198797</v>
      </c>
      <c r="S17" s="30">
        <f t="shared" si="17"/>
        <v>254637.60000000003</v>
      </c>
      <c r="T17" s="30">
        <f t="shared" si="18"/>
        <v>2748804.6529217791</v>
      </c>
      <c r="U17" s="31"/>
      <c r="V17" s="3"/>
      <c r="W17" s="220"/>
      <c r="X17" s="221" t="s">
        <v>269</v>
      </c>
      <c r="Y17" s="302">
        <v>0.08</v>
      </c>
      <c r="Z17" s="302">
        <v>3.5999999999999997E-2</v>
      </c>
      <c r="AA17" s="221">
        <v>26</v>
      </c>
      <c r="AB17" s="221">
        <v>1470</v>
      </c>
      <c r="AC17" s="268">
        <f>Y17/Z17</f>
        <v>2.2222222222222223</v>
      </c>
      <c r="AD17" s="222">
        <f>Y17*AA17*AB17</f>
        <v>3057.6</v>
      </c>
      <c r="AE17" s="14"/>
      <c r="AF17" s="14"/>
      <c r="AG17" s="14"/>
      <c r="AL17" s="154" t="s">
        <v>389</v>
      </c>
      <c r="AM17" s="81" t="s">
        <v>390</v>
      </c>
      <c r="AN17" s="81" t="s">
        <v>403</v>
      </c>
      <c r="AO17" s="81">
        <f>AO7*0.3</f>
        <v>9.0713879883693713E-2</v>
      </c>
      <c r="AP17" s="81" t="s">
        <v>392</v>
      </c>
      <c r="AQ17" s="204">
        <v>9.01E-2</v>
      </c>
      <c r="AU17" s="205" t="s">
        <v>389</v>
      </c>
      <c r="AV17" s="205" t="s">
        <v>390</v>
      </c>
      <c r="AW17" s="205" t="s">
        <v>403</v>
      </c>
      <c r="AX17" s="207" t="s">
        <v>434</v>
      </c>
      <c r="AY17" s="206">
        <f t="shared" si="3"/>
        <v>6.4100000000000004E-2</v>
      </c>
      <c r="AZ17" s="205" t="s">
        <v>392</v>
      </c>
      <c r="BE17" s="81" t="s">
        <v>295</v>
      </c>
      <c r="BF17" s="204">
        <f>SUM(BF12+BF5+BF10)</f>
        <v>63477650.100000009</v>
      </c>
      <c r="BI17" s="81" t="s">
        <v>297</v>
      </c>
      <c r="BJ17" s="81">
        <f>BF11</f>
        <v>129.92840646651271</v>
      </c>
      <c r="BP17" s="154" t="s">
        <v>389</v>
      </c>
      <c r="BQ17" s="81" t="s">
        <v>390</v>
      </c>
      <c r="BR17" s="81" t="s">
        <v>403</v>
      </c>
      <c r="BS17" s="204">
        <f t="shared" si="15"/>
        <v>9.01E-2</v>
      </c>
      <c r="BT17" s="81" t="s">
        <v>392</v>
      </c>
      <c r="BU17" s="204">
        <v>9.01E-2</v>
      </c>
      <c r="BY17" s="211">
        <f>CB26</f>
        <v>6.4100000000000004E-2</v>
      </c>
      <c r="BZ17" s="211"/>
      <c r="CA17" s="81" t="s">
        <v>293</v>
      </c>
      <c r="CB17" s="204">
        <v>28700000</v>
      </c>
      <c r="CC17" s="204">
        <v>324000</v>
      </c>
      <c r="CG17" s="81" t="s">
        <v>298</v>
      </c>
      <c r="CH17" s="204">
        <v>995000000</v>
      </c>
      <c r="CI17" s="204">
        <v>22500000</v>
      </c>
      <c r="CJ17" s="81">
        <v>44.3</v>
      </c>
      <c r="CK17" s="81" t="s">
        <v>505</v>
      </c>
      <c r="CM17" s="81" t="s">
        <v>291</v>
      </c>
      <c r="CN17" s="204">
        <v>6980000</v>
      </c>
      <c r="CO17" s="204">
        <v>679000</v>
      </c>
      <c r="CP17" s="81">
        <v>10.29</v>
      </c>
      <c r="CQ17" s="81" t="s">
        <v>509</v>
      </c>
      <c r="CR17" s="204">
        <v>2E-16</v>
      </c>
      <c r="CS17" s="81" t="s">
        <v>510</v>
      </c>
      <c r="CU17" s="212" t="s">
        <v>506</v>
      </c>
      <c r="CV17" s="81" t="s">
        <v>391</v>
      </c>
      <c r="CW17" s="204">
        <v>0.17</v>
      </c>
      <c r="CX17" s="204">
        <v>2.6400000000000001E-6</v>
      </c>
      <c r="CY17" s="81">
        <v>64508</v>
      </c>
      <c r="CZ17" s="81" t="s">
        <v>505</v>
      </c>
      <c r="DA17" s="81" t="s">
        <v>510</v>
      </c>
      <c r="DE17" s="81" t="s">
        <v>389</v>
      </c>
      <c r="DF17" s="81" t="s">
        <v>390</v>
      </c>
      <c r="DG17" s="81" t="str">
        <f t="shared" si="13"/>
        <v>abs5D</v>
      </c>
      <c r="DH17" s="81" t="s">
        <v>434</v>
      </c>
      <c r="DI17" s="204">
        <f t="shared" si="14"/>
        <v>0.17</v>
      </c>
      <c r="DJ17" s="81" t="s">
        <v>392</v>
      </c>
      <c r="DL17" s="287">
        <f t="shared" si="0"/>
        <v>0</v>
      </c>
      <c r="DM17" s="287">
        <f t="shared" si="1"/>
        <v>0</v>
      </c>
      <c r="DN17" s="287">
        <f t="shared" si="2"/>
        <v>0</v>
      </c>
      <c r="DP17" s="290" t="s">
        <v>506</v>
      </c>
      <c r="DQ17" s="290" t="s">
        <v>411</v>
      </c>
      <c r="DR17" s="291">
        <v>0.29799999999999999</v>
      </c>
      <c r="DS17" s="291">
        <v>2.81E-2</v>
      </c>
      <c r="DT17" s="290">
        <v>10.6</v>
      </c>
      <c r="DU17" s="290" t="s">
        <v>509</v>
      </c>
      <c r="DV17" s="291">
        <v>2E-16</v>
      </c>
      <c r="DW17" s="81" t="s">
        <v>510</v>
      </c>
      <c r="DX17" s="212" t="s">
        <v>568</v>
      </c>
      <c r="DY17" s="296" t="s">
        <v>581</v>
      </c>
      <c r="DZ17" s="292" t="s">
        <v>434</v>
      </c>
      <c r="EA17" s="293">
        <f t="shared" si="11"/>
        <v>0.35599999999999998</v>
      </c>
      <c r="EB17" s="212" t="s">
        <v>392</v>
      </c>
    </row>
    <row r="18" spans="1:132" ht="15" customHeight="1" thickTop="1" thickBot="1" x14ac:dyDescent="0.3">
      <c r="A18" s="220" t="s">
        <v>77</v>
      </c>
      <c r="B18" s="221">
        <v>0</v>
      </c>
      <c r="C18" s="221"/>
      <c r="D18" s="226" t="s">
        <v>78</v>
      </c>
      <c r="E18" s="221"/>
      <c r="F18" s="238">
        <f>B26/B6</f>
        <v>1.8303571428571428</v>
      </c>
      <c r="G18" s="231"/>
      <c r="H18" s="222"/>
      <c r="J18" s="81" t="s">
        <v>75</v>
      </c>
      <c r="K18" s="250">
        <v>0</v>
      </c>
      <c r="L18" s="251">
        <v>2</v>
      </c>
      <c r="M18" s="251" t="s">
        <v>25</v>
      </c>
      <c r="N18" s="252">
        <f>'[1]Tabula data'!B20*(1-C43)</f>
        <v>36.064797687389479</v>
      </c>
      <c r="O18" s="253" t="s">
        <v>39</v>
      </c>
      <c r="P18" s="30">
        <f t="shared" si="6"/>
        <v>0.36462385321100915</v>
      </c>
      <c r="Q18" s="30">
        <f t="shared" si="7"/>
        <v>13.150085498051444</v>
      </c>
      <c r="R18" s="30">
        <f t="shared" si="16"/>
        <v>9183453.5276024081</v>
      </c>
      <c r="S18" s="30">
        <f t="shared" si="17"/>
        <v>254637.60000000003</v>
      </c>
      <c r="T18" s="30">
        <f t="shared" si="18"/>
        <v>4831961.5941564422</v>
      </c>
      <c r="U18" s="31"/>
      <c r="V18" s="3"/>
      <c r="W18" s="220"/>
      <c r="X18" s="231" t="s">
        <v>270</v>
      </c>
      <c r="Y18" s="221">
        <v>0.1</v>
      </c>
      <c r="Z18" s="221">
        <v>0.54</v>
      </c>
      <c r="AA18" s="221">
        <v>1400</v>
      </c>
      <c r="AB18" s="231">
        <v>840</v>
      </c>
      <c r="AC18" s="268">
        <f>Y18/Z18</f>
        <v>0.18518518518518517</v>
      </c>
      <c r="AD18" s="222">
        <f>Y18*AA18*AB18</f>
        <v>117600</v>
      </c>
      <c r="AE18" s="14"/>
      <c r="AF18" s="14"/>
      <c r="AG18" s="14"/>
      <c r="AP18" s="81" t="s">
        <v>392</v>
      </c>
      <c r="AQ18" s="204"/>
      <c r="AU18" s="205"/>
      <c r="AV18" s="205"/>
      <c r="AW18" s="205"/>
      <c r="AX18" s="207"/>
      <c r="AZ18" s="205"/>
      <c r="BE18" s="81" t="s">
        <v>449</v>
      </c>
      <c r="BF18" s="204">
        <f>BF17+BF7</f>
        <v>65382112.660000011</v>
      </c>
      <c r="BI18" s="81" t="s">
        <v>298</v>
      </c>
      <c r="BJ18" s="81">
        <f>BF12</f>
        <v>41572722.000000007</v>
      </c>
      <c r="BS18" s="204"/>
      <c r="BT18" s="81" t="s">
        <v>392</v>
      </c>
      <c r="BU18" s="204"/>
      <c r="CA18" s="81" t="s">
        <v>476</v>
      </c>
      <c r="CB18" s="204">
        <v>-6.33</v>
      </c>
      <c r="CC18" s="204">
        <v>8.6699999999999999E-2</v>
      </c>
      <c r="CG18" s="81" t="s">
        <v>294</v>
      </c>
      <c r="CH18" s="204">
        <v>14600000</v>
      </c>
      <c r="CI18" s="204">
        <v>300000</v>
      </c>
      <c r="CJ18" s="81">
        <v>48.77</v>
      </c>
      <c r="CK18" s="81" t="s">
        <v>505</v>
      </c>
      <c r="CM18" s="81" t="s">
        <v>293</v>
      </c>
      <c r="CN18" s="204">
        <v>11000000</v>
      </c>
      <c r="CO18" s="204">
        <v>1930000</v>
      </c>
      <c r="CP18" s="81">
        <v>5.67</v>
      </c>
      <c r="CQ18" s="204">
        <v>1.4999999999999999E-8</v>
      </c>
      <c r="CR18" s="81" t="s">
        <v>510</v>
      </c>
      <c r="CU18" s="212" t="s">
        <v>506</v>
      </c>
      <c r="CV18" s="81" t="s">
        <v>410</v>
      </c>
      <c r="CW18" s="204">
        <v>0.45</v>
      </c>
      <c r="CX18" s="204">
        <v>6.7800000000000003E-6</v>
      </c>
      <c r="CY18" s="81">
        <v>66399</v>
      </c>
      <c r="CZ18" s="81" t="s">
        <v>505</v>
      </c>
      <c r="DA18" s="81" t="s">
        <v>510</v>
      </c>
      <c r="DE18" s="81" t="s">
        <v>389</v>
      </c>
      <c r="DF18" s="81" t="s">
        <v>390</v>
      </c>
      <c r="DG18" s="81" t="str">
        <f t="shared" si="13"/>
        <v>abs5N</v>
      </c>
      <c r="DH18" s="81" t="s">
        <v>434</v>
      </c>
      <c r="DI18" s="204">
        <f t="shared" si="14"/>
        <v>0.34</v>
      </c>
      <c r="DJ18" s="81" t="s">
        <v>392</v>
      </c>
      <c r="DK18" s="81" t="s">
        <v>404</v>
      </c>
      <c r="DL18" s="289">
        <f t="shared" si="0"/>
        <v>282.17515527950314</v>
      </c>
      <c r="DM18" s="289">
        <f t="shared" si="1"/>
        <v>654</v>
      </c>
      <c r="DN18" s="289">
        <f t="shared" si="2"/>
        <v>259</v>
      </c>
      <c r="DP18" s="290" t="s">
        <v>506</v>
      </c>
      <c r="DQ18" s="290" t="s">
        <v>545</v>
      </c>
      <c r="DR18" s="291">
        <v>0.41599999999999998</v>
      </c>
      <c r="DS18" s="291">
        <v>6.2199999999999998E-3</v>
      </c>
      <c r="DT18" s="290">
        <v>66.790000000000006</v>
      </c>
      <c r="DU18" s="290" t="s">
        <v>509</v>
      </c>
      <c r="DV18" s="291">
        <v>2E-16</v>
      </c>
      <c r="DW18" s="81" t="s">
        <v>510</v>
      </c>
      <c r="DX18" s="212" t="s">
        <v>568</v>
      </c>
      <c r="DY18" s="296" t="s">
        <v>582</v>
      </c>
      <c r="DZ18" s="292" t="s">
        <v>434</v>
      </c>
      <c r="EA18" s="293">
        <f t="shared" si="11"/>
        <v>0.38900000000000001</v>
      </c>
      <c r="EB18" s="212" t="s">
        <v>392</v>
      </c>
    </row>
    <row r="19" spans="1:132" ht="15" customHeight="1" thickTop="1" thickBot="1" x14ac:dyDescent="0.3">
      <c r="A19" s="220" t="s">
        <v>81</v>
      </c>
      <c r="B19" s="229">
        <f>B17-B18</f>
        <v>0</v>
      </c>
      <c r="C19" s="221"/>
      <c r="D19" s="236"/>
      <c r="E19" s="231"/>
      <c r="F19" s="231"/>
      <c r="G19" s="231"/>
      <c r="H19" s="230"/>
      <c r="J19" s="81" t="s">
        <v>79</v>
      </c>
      <c r="K19" s="250">
        <v>0</v>
      </c>
      <c r="L19" s="251">
        <v>2</v>
      </c>
      <c r="M19" s="251" t="s">
        <v>25</v>
      </c>
      <c r="N19" s="252">
        <f>N17</f>
        <v>20.516529727733833</v>
      </c>
      <c r="O19" s="253" t="s">
        <v>45</v>
      </c>
      <c r="P19" s="30">
        <f t="shared" si="6"/>
        <v>0.36462385321100915</v>
      </c>
      <c r="Q19" s="30">
        <f t="shared" si="7"/>
        <v>7.4808161238445265</v>
      </c>
      <c r="R19" s="30">
        <f t="shared" si="16"/>
        <v>5224279.890198797</v>
      </c>
      <c r="S19" s="30">
        <f t="shared" si="17"/>
        <v>254637.60000000003</v>
      </c>
      <c r="T19" s="30">
        <f t="shared" si="18"/>
        <v>2748804.6529217791</v>
      </c>
      <c r="U19" s="31"/>
      <c r="V19" s="3"/>
      <c r="W19" s="237"/>
      <c r="X19" s="219" t="s">
        <v>80</v>
      </c>
      <c r="Y19" s="219">
        <v>0.02</v>
      </c>
      <c r="Z19" s="219">
        <v>0.6</v>
      </c>
      <c r="AA19" s="219">
        <v>975</v>
      </c>
      <c r="AB19" s="219">
        <v>840</v>
      </c>
      <c r="AC19" s="269">
        <f>Y19/Z19</f>
        <v>3.3333333333333333E-2</v>
      </c>
      <c r="AD19" s="242">
        <f>Y19*AA19*AB19</f>
        <v>16380</v>
      </c>
      <c r="AE19" s="14"/>
      <c r="AF19" s="14"/>
      <c r="AG19" s="14"/>
      <c r="AL19" s="154" t="s">
        <v>389</v>
      </c>
      <c r="AM19" s="81" t="s">
        <v>390</v>
      </c>
      <c r="AN19" s="81" t="s">
        <v>404</v>
      </c>
      <c r="AO19" s="81">
        <f>SUM(N6:N9)*(1/(SUM(AC18:AC19)*0.5+1/8))</f>
        <v>282.17515527950314</v>
      </c>
      <c r="AP19" s="81" t="s">
        <v>392</v>
      </c>
      <c r="AQ19" s="204">
        <v>654</v>
      </c>
      <c r="AU19" s="205" t="s">
        <v>389</v>
      </c>
      <c r="AV19" s="205" t="s">
        <v>390</v>
      </c>
      <c r="AW19" s="205" t="s">
        <v>404</v>
      </c>
      <c r="AX19" s="207" t="s">
        <v>434</v>
      </c>
      <c r="AY19" s="206">
        <f t="shared" si="3"/>
        <v>259</v>
      </c>
      <c r="AZ19" s="205" t="s">
        <v>392</v>
      </c>
      <c r="BE19" s="81" t="s">
        <v>450</v>
      </c>
      <c r="BF19" s="3">
        <f>BF4+BF6</f>
        <v>107.34889635847932</v>
      </c>
      <c r="BP19" s="154" t="s">
        <v>389</v>
      </c>
      <c r="BQ19" s="81" t="s">
        <v>390</v>
      </c>
      <c r="BR19" s="81" t="s">
        <v>404</v>
      </c>
      <c r="BS19" s="204">
        <f>SUM(N6:N9)*(1/(SUM(AC18:AC19)*0.5+1/3.5))</f>
        <v>167.35840589417282</v>
      </c>
      <c r="BT19" s="81" t="s">
        <v>392</v>
      </c>
      <c r="BU19" s="204">
        <v>654</v>
      </c>
      <c r="BW19" s="81" t="s">
        <v>459</v>
      </c>
      <c r="BX19" s="81">
        <f>AVERAGE(SUM(N6:N9),2*N27)*(1/(1/8+SUM(AC18:AC19)/2+SUM(AC23:AC25)/4))</f>
        <v>314.03364055299545</v>
      </c>
      <c r="BY19" s="211">
        <f>CB28</f>
        <v>259</v>
      </c>
      <c r="BZ19" s="211"/>
      <c r="CA19" s="81" t="s">
        <v>477</v>
      </c>
      <c r="CB19" s="204">
        <v>-24.6</v>
      </c>
      <c r="CC19" s="204">
        <v>1360</v>
      </c>
      <c r="CG19" s="81" t="s">
        <v>475</v>
      </c>
      <c r="CH19" s="204">
        <v>3460000</v>
      </c>
      <c r="CI19" s="204">
        <v>48400</v>
      </c>
      <c r="CJ19" s="81">
        <v>71.56</v>
      </c>
      <c r="CK19" s="81" t="s">
        <v>505</v>
      </c>
      <c r="CM19" s="81" t="s">
        <v>476</v>
      </c>
      <c r="CN19" s="204">
        <v>-6.06</v>
      </c>
      <c r="CO19" s="204">
        <v>0.14799999999999999</v>
      </c>
      <c r="CP19" s="81">
        <v>-40.880000000000003</v>
      </c>
      <c r="CQ19" s="81" t="s">
        <v>509</v>
      </c>
      <c r="CR19" s="204">
        <v>2E-16</v>
      </c>
      <c r="CS19" s="81" t="s">
        <v>510</v>
      </c>
      <c r="CU19" s="212" t="s">
        <v>506</v>
      </c>
      <c r="CV19" s="81" t="s">
        <v>393</v>
      </c>
      <c r="CW19" s="204">
        <v>0.42</v>
      </c>
      <c r="CX19" s="204">
        <v>6.3500000000000002E-6</v>
      </c>
      <c r="CY19" s="81">
        <v>66191</v>
      </c>
      <c r="CZ19" s="81" t="s">
        <v>505</v>
      </c>
      <c r="DA19" s="81" t="s">
        <v>510</v>
      </c>
      <c r="DE19" s="81" t="s">
        <v>389</v>
      </c>
      <c r="DF19" s="81" t="s">
        <v>390</v>
      </c>
      <c r="DG19" s="81" t="str">
        <f t="shared" si="13"/>
        <v>CfiD</v>
      </c>
      <c r="DH19" s="81" t="s">
        <v>434</v>
      </c>
      <c r="DI19" s="204">
        <f t="shared" si="14"/>
        <v>31500000</v>
      </c>
      <c r="DJ19" s="81" t="s">
        <v>392</v>
      </c>
      <c r="DK19" s="81" t="s">
        <v>405</v>
      </c>
      <c r="DL19" s="289">
        <f t="shared" si="0"/>
        <v>429.98019801980206</v>
      </c>
      <c r="DM19" s="289">
        <f t="shared" si="1"/>
        <v>701</v>
      </c>
      <c r="DN19" s="289">
        <f t="shared" si="2"/>
        <v>197</v>
      </c>
      <c r="DP19" s="290" t="s">
        <v>506</v>
      </c>
      <c r="DQ19" s="290" t="s">
        <v>546</v>
      </c>
      <c r="DR19" s="291">
        <v>0.442</v>
      </c>
      <c r="DS19" s="291">
        <v>7.45E-3</v>
      </c>
      <c r="DT19" s="290">
        <v>59.3</v>
      </c>
      <c r="DU19" s="290" t="s">
        <v>509</v>
      </c>
      <c r="DV19" s="291">
        <v>2E-16</v>
      </c>
      <c r="DW19" s="81" t="s">
        <v>510</v>
      </c>
      <c r="DX19" s="212" t="s">
        <v>568</v>
      </c>
      <c r="DY19" s="294" t="s">
        <v>583</v>
      </c>
      <c r="DZ19" s="292" t="s">
        <v>434</v>
      </c>
      <c r="EA19" s="293">
        <f t="shared" si="11"/>
        <v>0.42</v>
      </c>
      <c r="EB19" s="212" t="s">
        <v>392</v>
      </c>
    </row>
    <row r="20" spans="1:132" ht="15" customHeight="1" thickTop="1" thickBot="1" x14ac:dyDescent="0.3">
      <c r="A20" s="220"/>
      <c r="B20" s="221"/>
      <c r="C20" s="221"/>
      <c r="D20" s="226" t="s">
        <v>83</v>
      </c>
      <c r="E20" s="231"/>
      <c r="F20" s="239">
        <f>G4/B23</f>
        <v>0.15223214285714287</v>
      </c>
      <c r="G20" s="231"/>
      <c r="H20" s="222"/>
      <c r="J20" s="81" t="s">
        <v>82</v>
      </c>
      <c r="K20" s="250">
        <v>0</v>
      </c>
      <c r="L20" s="251">
        <v>2</v>
      </c>
      <c r="M20" s="251" t="s">
        <v>25</v>
      </c>
      <c r="N20" s="252">
        <v>0</v>
      </c>
      <c r="O20" s="253" t="s">
        <v>50</v>
      </c>
      <c r="P20" s="30">
        <f t="shared" si="6"/>
        <v>0.36462385321100915</v>
      </c>
      <c r="Q20" s="30">
        <f t="shared" si="7"/>
        <v>0</v>
      </c>
      <c r="R20" s="30">
        <f t="shared" si="16"/>
        <v>0</v>
      </c>
      <c r="S20" s="30" t="e">
        <f t="shared" si="17"/>
        <v>#DIV/0!</v>
      </c>
      <c r="T20" s="30">
        <f t="shared" si="18"/>
        <v>0</v>
      </c>
      <c r="U20" s="31"/>
      <c r="V20" s="3"/>
      <c r="W20" s="258"/>
      <c r="X20" s="258"/>
      <c r="Y20" s="258"/>
      <c r="Z20" s="258"/>
      <c r="AA20" s="258"/>
      <c r="AB20" s="258"/>
      <c r="AC20" s="258"/>
      <c r="AD20" s="258"/>
      <c r="AE20" s="14"/>
      <c r="AF20" s="14"/>
      <c r="AG20" s="14"/>
      <c r="AL20" s="154" t="s">
        <v>389</v>
      </c>
      <c r="AM20" s="81" t="s">
        <v>390</v>
      </c>
      <c r="AN20" s="81" t="s">
        <v>405</v>
      </c>
      <c r="AO20" s="81">
        <f>SUM(N14)*1/(0.5*SUM(AC42:AC43)+1/6)</f>
        <v>429.98019801980206</v>
      </c>
      <c r="AP20" s="81" t="s">
        <v>392</v>
      </c>
      <c r="AQ20" s="204">
        <v>701</v>
      </c>
      <c r="AU20" s="205" t="s">
        <v>389</v>
      </c>
      <c r="AV20" s="205" t="s">
        <v>390</v>
      </c>
      <c r="AW20" s="205" t="s">
        <v>405</v>
      </c>
      <c r="AX20" s="207" t="s">
        <v>434</v>
      </c>
      <c r="AY20" s="206">
        <f t="shared" si="3"/>
        <v>197</v>
      </c>
      <c r="AZ20" s="205" t="s">
        <v>392</v>
      </c>
      <c r="BI20" s="81" t="s">
        <v>451</v>
      </c>
      <c r="BJ20" s="204">
        <f>BF7</f>
        <v>1904462.5600000003</v>
      </c>
      <c r="BP20" s="154" t="s">
        <v>389</v>
      </c>
      <c r="BQ20" s="81" t="s">
        <v>390</v>
      </c>
      <c r="BR20" s="81" t="s">
        <v>405</v>
      </c>
      <c r="BS20" s="204">
        <f>SUM(N14)*1/(0.5*SUM(AC42:AC43)+1/3.5)</f>
        <v>287.60264900662253</v>
      </c>
      <c r="BT20" s="81" t="s">
        <v>392</v>
      </c>
      <c r="BU20" s="204">
        <v>701</v>
      </c>
      <c r="BW20" s="81" t="s">
        <v>460</v>
      </c>
      <c r="BX20" s="81">
        <f>AVERAGE(SUM(N6:N9),N26)*(1/(1/8+SUM(AC31:AC32)/2+SUM(AC18:AC19)/2))</f>
        <v>241.04230611407471</v>
      </c>
      <c r="BY20" s="211">
        <f>CB29</f>
        <v>197</v>
      </c>
      <c r="BZ20" s="211"/>
      <c r="CA20" s="81" t="s">
        <v>478</v>
      </c>
      <c r="CB20" s="204">
        <v>-13.1</v>
      </c>
      <c r="CC20" s="204">
        <v>157</v>
      </c>
      <c r="CG20" s="81" t="s">
        <v>291</v>
      </c>
      <c r="CH20" s="204">
        <v>23000000</v>
      </c>
      <c r="CI20" s="204">
        <v>709000</v>
      </c>
      <c r="CJ20" s="81">
        <v>32.450000000000003</v>
      </c>
      <c r="CK20" s="81" t="s">
        <v>505</v>
      </c>
      <c r="CM20" s="81" t="s">
        <v>477</v>
      </c>
      <c r="CN20" s="204">
        <v>-11.2</v>
      </c>
      <c r="CO20" s="204">
        <v>112</v>
      </c>
      <c r="CP20" s="81">
        <v>-0.1</v>
      </c>
      <c r="CQ20" s="81">
        <v>0.92</v>
      </c>
      <c r="CU20" s="212" t="s">
        <v>506</v>
      </c>
      <c r="CV20" s="81" t="s">
        <v>411</v>
      </c>
      <c r="CW20" s="204">
        <v>0.15</v>
      </c>
      <c r="CX20" s="204">
        <v>2.3300000000000001E-6</v>
      </c>
      <c r="CY20" s="81">
        <v>64377</v>
      </c>
      <c r="CZ20" s="81" t="s">
        <v>505</v>
      </c>
      <c r="DA20" s="81" t="s">
        <v>510</v>
      </c>
      <c r="DE20" s="81" t="s">
        <v>389</v>
      </c>
      <c r="DF20" s="81" t="s">
        <v>390</v>
      </c>
      <c r="DG20" s="81" t="str">
        <f t="shared" si="13"/>
        <v>CfiN</v>
      </c>
      <c r="DH20" s="81" t="s">
        <v>434</v>
      </c>
      <c r="DI20" s="204">
        <f t="shared" si="14"/>
        <v>67000000</v>
      </c>
      <c r="DJ20" s="81" t="s">
        <v>392</v>
      </c>
      <c r="DK20" s="81" t="s">
        <v>406</v>
      </c>
      <c r="DL20" s="289">
        <f t="shared" si="0"/>
        <v>459.10169958658707</v>
      </c>
      <c r="DM20" s="289">
        <f t="shared" si="1"/>
        <v>1380</v>
      </c>
      <c r="DN20" s="289">
        <f t="shared" si="2"/>
        <v>487</v>
      </c>
      <c r="DP20" s="290" t="s">
        <v>506</v>
      </c>
      <c r="DQ20" s="290" t="s">
        <v>547</v>
      </c>
      <c r="DR20" s="291">
        <v>0.13900000000000001</v>
      </c>
      <c r="DS20" s="291">
        <v>6.93E-2</v>
      </c>
      <c r="DT20" s="290">
        <v>2.0099999999999998</v>
      </c>
      <c r="DU20" s="291">
        <v>4.3999999999999997E-2</v>
      </c>
      <c r="DV20" s="290" t="s">
        <v>511</v>
      </c>
      <c r="DX20" s="212" t="s">
        <v>568</v>
      </c>
      <c r="DY20" s="295" t="s">
        <v>584</v>
      </c>
      <c r="DZ20" s="292" t="s">
        <v>434</v>
      </c>
      <c r="EA20" s="293">
        <f t="shared" si="11"/>
        <v>0.42299999999999999</v>
      </c>
      <c r="EB20" s="212" t="s">
        <v>392</v>
      </c>
    </row>
    <row r="21" spans="1:132" ht="15" customHeight="1" thickTop="1" thickBot="1" x14ac:dyDescent="0.3">
      <c r="A21" s="220"/>
      <c r="B21" s="221"/>
      <c r="C21" s="221"/>
      <c r="D21" s="226" t="s">
        <v>86</v>
      </c>
      <c r="E21" s="231"/>
      <c r="F21" s="239">
        <f>G4/B6</f>
        <v>0.15223214285714287</v>
      </c>
      <c r="G21" s="231"/>
      <c r="H21" s="222"/>
      <c r="J21" s="81" t="s">
        <v>84</v>
      </c>
      <c r="K21" s="250">
        <v>0</v>
      </c>
      <c r="L21" s="251">
        <v>2</v>
      </c>
      <c r="M21" s="251" t="s">
        <v>54</v>
      </c>
      <c r="N21" s="252">
        <f>H10</f>
        <v>4.05</v>
      </c>
      <c r="O21" s="253" t="s">
        <v>26</v>
      </c>
      <c r="P21" s="30">
        <f t="shared" si="6"/>
        <v>2</v>
      </c>
      <c r="Q21" s="30">
        <f t="shared" si="7"/>
        <v>8.1</v>
      </c>
      <c r="R21" s="30">
        <f t="shared" si="16"/>
        <v>0</v>
      </c>
      <c r="S21" s="30">
        <f t="shared" si="17"/>
        <v>0</v>
      </c>
      <c r="T21" s="30">
        <f t="shared" si="18"/>
        <v>0</v>
      </c>
      <c r="U21" s="31"/>
      <c r="V21" s="3"/>
      <c r="W21" s="260" t="s">
        <v>85</v>
      </c>
      <c r="X21" s="261"/>
      <c r="Y21" s="262" t="s">
        <v>21</v>
      </c>
      <c r="Z21" s="263">
        <f>(1/(1/8+SUM(AC23:AC25)+1/8))</f>
        <v>1.7363344051446945</v>
      </c>
      <c r="AA21" s="261" t="s">
        <v>5</v>
      </c>
      <c r="AB21" s="261"/>
      <c r="AC21" s="261" t="s">
        <v>22</v>
      </c>
      <c r="AD21" s="264">
        <f>SUM(AD23:AD26)</f>
        <v>197400.00000000003</v>
      </c>
      <c r="AE21" s="14" t="s">
        <v>23</v>
      </c>
      <c r="AF21" s="14">
        <f>SUM(AD23:AD25)</f>
        <v>197400.00000000003</v>
      </c>
      <c r="AG21" s="14"/>
      <c r="AL21" s="154" t="s">
        <v>389</v>
      </c>
      <c r="AM21" s="81" t="s">
        <v>390</v>
      </c>
      <c r="AN21" s="81" t="s">
        <v>406</v>
      </c>
      <c r="AO21" s="81">
        <f>4*Z21*N27</f>
        <v>459.10169958658707</v>
      </c>
      <c r="AP21" s="81" t="s">
        <v>392</v>
      </c>
      <c r="AQ21" s="204">
        <v>1380</v>
      </c>
      <c r="AU21" s="205" t="s">
        <v>389</v>
      </c>
      <c r="AV21" s="205" t="s">
        <v>390</v>
      </c>
      <c r="AW21" s="205" t="s">
        <v>406</v>
      </c>
      <c r="AX21" s="207" t="s">
        <v>434</v>
      </c>
      <c r="AY21" s="206">
        <f t="shared" si="3"/>
        <v>487</v>
      </c>
      <c r="AZ21" s="205" t="s">
        <v>392</v>
      </c>
      <c r="BI21" s="81" t="s">
        <v>452</v>
      </c>
      <c r="BJ21" s="204">
        <f>BF27</f>
        <v>1336649.5999999999</v>
      </c>
      <c r="BP21" s="154" t="s">
        <v>389</v>
      </c>
      <c r="BQ21" s="81" t="s">
        <v>390</v>
      </c>
      <c r="BR21" s="81" t="s">
        <v>406</v>
      </c>
      <c r="BS21" s="204">
        <f>2*N27*1/(1/3.5+SUM(AC23:AC25)/2)</f>
        <v>294.65341981132082</v>
      </c>
      <c r="BT21" s="81" t="s">
        <v>392</v>
      </c>
      <c r="BU21" s="204">
        <v>1380</v>
      </c>
      <c r="BW21" s="81" t="s">
        <v>461</v>
      </c>
      <c r="BX21" s="81">
        <f>AVERAGE(SUM(N6:N9),N14)*(1/(1/8+SUM(AC42:AC43)/2+SUM(AC18:AC19)/2))</f>
        <v>275.10437956204385</v>
      </c>
      <c r="BY21" s="211">
        <f>CB30</f>
        <v>487</v>
      </c>
      <c r="BZ21" s="211"/>
      <c r="CA21" s="81" t="s">
        <v>479</v>
      </c>
      <c r="CB21" s="204">
        <v>-14.4</v>
      </c>
      <c r="CC21" s="204">
        <v>199</v>
      </c>
      <c r="CG21" s="81" t="s">
        <v>293</v>
      </c>
      <c r="CH21" s="204">
        <v>28700000</v>
      </c>
      <c r="CI21" s="204">
        <v>324000</v>
      </c>
      <c r="CJ21" s="81">
        <v>88.56</v>
      </c>
      <c r="CK21" s="81" t="s">
        <v>505</v>
      </c>
      <c r="CM21" s="81" t="s">
        <v>478</v>
      </c>
      <c r="CN21" s="204">
        <v>-15.5</v>
      </c>
      <c r="CO21" s="204">
        <v>201</v>
      </c>
      <c r="CP21" s="81">
        <v>-0.08</v>
      </c>
      <c r="CQ21" s="81">
        <v>0.93799999999999994</v>
      </c>
      <c r="CU21" s="212" t="s">
        <v>506</v>
      </c>
      <c r="CV21" s="81" t="s">
        <v>394</v>
      </c>
      <c r="CW21" s="204">
        <v>0.14000000000000001</v>
      </c>
      <c r="CX21" s="204">
        <v>2.1799999999999999E-6</v>
      </c>
      <c r="CY21" s="81">
        <v>64312</v>
      </c>
      <c r="CZ21" s="81" t="s">
        <v>505</v>
      </c>
      <c r="DA21" s="81" t="s">
        <v>510</v>
      </c>
      <c r="DE21" s="81" t="s">
        <v>389</v>
      </c>
      <c r="DF21" s="81" t="s">
        <v>390</v>
      </c>
      <c r="DG21" s="81" t="str">
        <f t="shared" si="13"/>
        <v>CiD</v>
      </c>
      <c r="DH21" s="81" t="s">
        <v>434</v>
      </c>
      <c r="DI21" s="204">
        <f t="shared" si="14"/>
        <v>2700000</v>
      </c>
      <c r="DJ21" s="81" t="s">
        <v>392</v>
      </c>
      <c r="DK21" s="81" t="s">
        <v>407</v>
      </c>
      <c r="DL21" s="289">
        <f t="shared" si="0"/>
        <v>83.246478324403313</v>
      </c>
      <c r="DM21" s="289">
        <f t="shared" si="1"/>
        <v>259</v>
      </c>
      <c r="DN21" s="289">
        <f t="shared" si="2"/>
        <v>274</v>
      </c>
      <c r="DP21" s="290" t="s">
        <v>506</v>
      </c>
      <c r="DQ21" s="290" t="s">
        <v>412</v>
      </c>
      <c r="DR21" s="291">
        <v>0.79400000000000004</v>
      </c>
      <c r="DS21" s="291">
        <v>0.112</v>
      </c>
      <c r="DT21" s="290">
        <v>7.1</v>
      </c>
      <c r="DU21" s="291">
        <v>1.2999999999999999E-12</v>
      </c>
      <c r="DV21" s="290" t="s">
        <v>510</v>
      </c>
      <c r="DX21" s="212" t="s">
        <v>568</v>
      </c>
      <c r="DY21" s="295" t="s">
        <v>585</v>
      </c>
      <c r="DZ21" s="292" t="s">
        <v>434</v>
      </c>
      <c r="EA21" s="293">
        <f t="shared" si="11"/>
        <v>0.108</v>
      </c>
      <c r="EB21" s="212" t="s">
        <v>392</v>
      </c>
    </row>
    <row r="22" spans="1:132" ht="15" customHeight="1" thickTop="1" thickBot="1" x14ac:dyDescent="0.3">
      <c r="A22" s="237"/>
      <c r="B22" s="219"/>
      <c r="C22" s="219"/>
      <c r="D22" s="220" t="s">
        <v>88</v>
      </c>
      <c r="E22" s="221"/>
      <c r="F22" s="227">
        <f>G4/B26</f>
        <v>8.3170731707317078E-2</v>
      </c>
      <c r="G22" s="221"/>
      <c r="H22" s="222"/>
      <c r="J22" s="81" t="s">
        <v>87</v>
      </c>
      <c r="K22" s="250">
        <v>0</v>
      </c>
      <c r="L22" s="251">
        <v>2</v>
      </c>
      <c r="M22" s="251" t="s">
        <v>54</v>
      </c>
      <c r="N22" s="252">
        <f>H11</f>
        <v>3.45</v>
      </c>
      <c r="O22" s="253" t="s">
        <v>39</v>
      </c>
      <c r="P22" s="30">
        <f t="shared" si="6"/>
        <v>2</v>
      </c>
      <c r="Q22" s="30">
        <f t="shared" si="7"/>
        <v>6.9</v>
      </c>
      <c r="R22" s="30">
        <f t="shared" si="16"/>
        <v>0</v>
      </c>
      <c r="S22" s="30">
        <f t="shared" si="17"/>
        <v>0</v>
      </c>
      <c r="T22" s="30">
        <f t="shared" si="18"/>
        <v>0</v>
      </c>
      <c r="U22" s="31"/>
      <c r="V22" s="3"/>
      <c r="W22" s="265"/>
      <c r="X22" s="266" t="s">
        <v>27</v>
      </c>
      <c r="Y22" s="266" t="s">
        <v>28</v>
      </c>
      <c r="Z22" s="266" t="s">
        <v>29</v>
      </c>
      <c r="AA22" s="266" t="s">
        <v>30</v>
      </c>
      <c r="AB22" s="266" t="s">
        <v>31</v>
      </c>
      <c r="AC22" s="266" t="s">
        <v>32</v>
      </c>
      <c r="AD22" s="267" t="s">
        <v>33</v>
      </c>
      <c r="AE22" s="14"/>
      <c r="AF22" s="14"/>
      <c r="AG22" s="14"/>
      <c r="AL22" s="154" t="s">
        <v>389</v>
      </c>
      <c r="AM22" s="81" t="s">
        <v>390</v>
      </c>
      <c r="AN22" s="81" t="s">
        <v>407</v>
      </c>
      <c r="AO22" s="3">
        <f>'Verwarming Tabula 2zone'!B60+SUM(Q10:Q13)</f>
        <v>83.246478324403313</v>
      </c>
      <c r="AP22" s="81" t="s">
        <v>392</v>
      </c>
      <c r="AQ22" s="204">
        <v>259</v>
      </c>
      <c r="AU22" s="205" t="s">
        <v>389</v>
      </c>
      <c r="AV22" s="205" t="s">
        <v>390</v>
      </c>
      <c r="AW22" s="205" t="s">
        <v>407</v>
      </c>
      <c r="AX22" s="207" t="s">
        <v>434</v>
      </c>
      <c r="AY22" s="206">
        <f t="shared" si="3"/>
        <v>274</v>
      </c>
      <c r="AZ22" s="205" t="s">
        <v>392</v>
      </c>
      <c r="BP22" s="154" t="s">
        <v>389</v>
      </c>
      <c r="BQ22" s="81" t="s">
        <v>390</v>
      </c>
      <c r="BR22" s="81" t="s">
        <v>407</v>
      </c>
      <c r="BS22" s="204">
        <f t="shared" ref="BS22" si="19">AQ22</f>
        <v>259</v>
      </c>
      <c r="BT22" s="81" t="s">
        <v>392</v>
      </c>
      <c r="BU22" s="204">
        <v>259</v>
      </c>
      <c r="BW22" s="81" t="s">
        <v>462</v>
      </c>
      <c r="BX22" s="81">
        <f>AVERAGE(SUM(N27),N26)*(1/(1/8+SUM(AC31:AC32)/2+SUM(AC23:AC25)/4))</f>
        <v>263.77193533902113</v>
      </c>
      <c r="BY22" s="211">
        <f>CB31</f>
        <v>274</v>
      </c>
      <c r="BZ22" s="211"/>
      <c r="CA22" s="81" t="s">
        <v>480</v>
      </c>
      <c r="CB22" s="204">
        <v>-14.1</v>
      </c>
      <c r="CC22" s="204">
        <v>189</v>
      </c>
      <c r="CG22" s="81" t="s">
        <v>476</v>
      </c>
      <c r="CH22" s="204">
        <v>-6.33</v>
      </c>
      <c r="CI22" s="204">
        <v>8.6699999999999999E-2</v>
      </c>
      <c r="CJ22" s="81">
        <v>-73.040000000000006</v>
      </c>
      <c r="CK22" s="81" t="s">
        <v>505</v>
      </c>
      <c r="CM22" s="81" t="s">
        <v>479</v>
      </c>
      <c r="CN22" s="204">
        <v>-12.1</v>
      </c>
      <c r="CO22" s="204">
        <v>79.7</v>
      </c>
      <c r="CP22" s="81">
        <v>-0.15</v>
      </c>
      <c r="CQ22" s="81">
        <v>0.879</v>
      </c>
      <c r="CU22" s="212" t="s">
        <v>506</v>
      </c>
      <c r="CV22" s="81" t="s">
        <v>412</v>
      </c>
      <c r="CW22" s="204">
        <v>0.11</v>
      </c>
      <c r="CX22" s="204">
        <v>1.72E-6</v>
      </c>
      <c r="CY22" s="81">
        <v>64117</v>
      </c>
      <c r="CZ22" s="81" t="s">
        <v>505</v>
      </c>
      <c r="DA22" s="81" t="s">
        <v>510</v>
      </c>
      <c r="DE22" s="81" t="s">
        <v>389</v>
      </c>
      <c r="DF22" s="81" t="s">
        <v>390</v>
      </c>
      <c r="DG22" s="81" t="str">
        <f t="shared" si="13"/>
        <v>CiN</v>
      </c>
      <c r="DH22" s="81" t="s">
        <v>434</v>
      </c>
      <c r="DI22" s="204">
        <f t="shared" si="14"/>
        <v>1700000</v>
      </c>
      <c r="DJ22" s="81" t="s">
        <v>392</v>
      </c>
      <c r="DK22" s="81" t="s">
        <v>408</v>
      </c>
      <c r="DL22" s="289">
        <f t="shared" si="0"/>
        <v>26.35343672473644</v>
      </c>
      <c r="DM22" s="289">
        <f t="shared" si="1"/>
        <v>123.91573729863691</v>
      </c>
      <c r="DN22" s="289">
        <f t="shared" si="2"/>
        <v>155.27950310559004</v>
      </c>
      <c r="DP22" s="290" t="s">
        <v>506</v>
      </c>
      <c r="DQ22" s="290" t="s">
        <v>548</v>
      </c>
      <c r="DR22" s="291">
        <v>0.11600000000000001</v>
      </c>
      <c r="DS22" s="291">
        <v>2.5000000000000001E-2</v>
      </c>
      <c r="DT22" s="290">
        <v>4.6399999999999997</v>
      </c>
      <c r="DU22" s="291">
        <v>3.4999999999999999E-6</v>
      </c>
      <c r="DV22" s="290" t="s">
        <v>510</v>
      </c>
      <c r="DX22" s="212" t="s">
        <v>568</v>
      </c>
      <c r="DY22" s="295" t="s">
        <v>586</v>
      </c>
      <c r="DZ22" s="292" t="s">
        <v>434</v>
      </c>
      <c r="EA22" s="293">
        <f t="shared" si="11"/>
        <v>5.6000000000000001E-2</v>
      </c>
      <c r="EB22" s="212" t="s">
        <v>392</v>
      </c>
    </row>
    <row r="23" spans="1:132" ht="15" customHeight="1" thickTop="1" thickBot="1" x14ac:dyDescent="0.3">
      <c r="A23" s="223" t="s">
        <v>91</v>
      </c>
      <c r="B23" s="224">
        <f>B17+B6</f>
        <v>224</v>
      </c>
      <c r="C23" s="234" t="s">
        <v>9</v>
      </c>
      <c r="D23" s="220"/>
      <c r="E23" s="221"/>
      <c r="F23" s="221"/>
      <c r="G23" s="221"/>
      <c r="H23" s="222"/>
      <c r="J23" s="81" t="s">
        <v>89</v>
      </c>
      <c r="K23" s="250">
        <v>0</v>
      </c>
      <c r="L23" s="251">
        <v>2</v>
      </c>
      <c r="M23" s="251" t="s">
        <v>54</v>
      </c>
      <c r="N23" s="252">
        <f>H12</f>
        <v>4.5</v>
      </c>
      <c r="O23" s="253" t="s">
        <v>45</v>
      </c>
      <c r="P23" s="30">
        <f t="shared" si="6"/>
        <v>2</v>
      </c>
      <c r="Q23" s="30">
        <f t="shared" si="7"/>
        <v>9</v>
      </c>
      <c r="R23" s="30">
        <f t="shared" si="16"/>
        <v>0</v>
      </c>
      <c r="S23" s="30">
        <f t="shared" si="17"/>
        <v>0</v>
      </c>
      <c r="T23" s="30">
        <f t="shared" si="18"/>
        <v>0</v>
      </c>
      <c r="U23" s="31"/>
      <c r="V23" s="3"/>
      <c r="W23" s="220"/>
      <c r="X23" s="221" t="s">
        <v>90</v>
      </c>
      <c r="Y23" s="221">
        <v>0.02</v>
      </c>
      <c r="Z23" s="221">
        <v>0.6</v>
      </c>
      <c r="AA23" s="221">
        <v>975</v>
      </c>
      <c r="AB23" s="221">
        <v>840</v>
      </c>
      <c r="AC23" s="268">
        <f>Y23/Z23</f>
        <v>3.3333333333333333E-2</v>
      </c>
      <c r="AD23" s="222">
        <f>Y23*AA23*AB23</f>
        <v>16380</v>
      </c>
      <c r="AE23" s="14"/>
      <c r="AF23" s="14"/>
      <c r="AG23" s="14"/>
      <c r="AL23" s="154" t="s">
        <v>389</v>
      </c>
      <c r="AM23" s="81" t="s">
        <v>390</v>
      </c>
      <c r="AN23" s="81" t="s">
        <v>408</v>
      </c>
      <c r="AO23" s="81">
        <f>SUM(N6:N9)*1/(SUM(AC15:AC17)+0.5*SUM(AC18:AC19)+1/23)</f>
        <v>26.35343672473644</v>
      </c>
      <c r="AP23" s="81" t="s">
        <v>392</v>
      </c>
      <c r="AQ23" s="81">
        <f>1/(0.00807)</f>
        <v>123.91573729863691</v>
      </c>
      <c r="AU23" s="205" t="s">
        <v>389</v>
      </c>
      <c r="AV23" s="205" t="s">
        <v>390</v>
      </c>
      <c r="AW23" s="205" t="s">
        <v>408</v>
      </c>
      <c r="AX23" s="207" t="s">
        <v>434</v>
      </c>
      <c r="AY23" s="206">
        <f t="shared" si="3"/>
        <v>155.27950310559004</v>
      </c>
      <c r="AZ23" s="205" t="s">
        <v>392</v>
      </c>
      <c r="BD23" s="208"/>
      <c r="BE23" s="208" t="s">
        <v>453</v>
      </c>
      <c r="BI23" s="81" t="s">
        <v>295</v>
      </c>
      <c r="BJ23" s="204">
        <f>BJ9+BJ10+BJ11+BJ12+BJ18</f>
        <v>121191789.90000004</v>
      </c>
      <c r="BP23" s="154" t="s">
        <v>389</v>
      </c>
      <c r="BQ23" s="81" t="s">
        <v>390</v>
      </c>
      <c r="BR23" s="81" t="s">
        <v>408</v>
      </c>
      <c r="BS23" s="204">
        <f>AQ23</f>
        <v>123.91573729863691</v>
      </c>
      <c r="BT23" s="81" t="s">
        <v>392</v>
      </c>
      <c r="BU23" s="81">
        <f>1/(0.00807)</f>
        <v>123.91573729863691</v>
      </c>
      <c r="BW23" s="81" t="s">
        <v>463</v>
      </c>
      <c r="BX23" s="81">
        <f>AVERAGE(SUM(N27),N14)*(1/(1/8+SUM(AC42:AC43)/2+SUM(AC23:AC25)/4))</f>
        <v>302.36814535158095</v>
      </c>
      <c r="BY23" s="211">
        <f>1/CB37</f>
        <v>155.27950310559004</v>
      </c>
      <c r="BZ23" s="211"/>
      <c r="CA23" s="81" t="s">
        <v>481</v>
      </c>
      <c r="CB23" s="204">
        <v>6.9400000000000003E-2</v>
      </c>
      <c r="CC23" s="204">
        <v>7.76E-4</v>
      </c>
      <c r="CG23" s="81" t="s">
        <v>477</v>
      </c>
      <c r="CH23" s="204">
        <v>-24.6</v>
      </c>
      <c r="CI23" s="204">
        <v>1360</v>
      </c>
      <c r="CJ23" s="81">
        <v>-0.02</v>
      </c>
      <c r="CK23" s="81">
        <v>0.99</v>
      </c>
      <c r="CM23" s="81" t="s">
        <v>481</v>
      </c>
      <c r="CN23" s="204">
        <v>0.19700000000000001</v>
      </c>
      <c r="CO23" s="204">
        <v>1.81E-3</v>
      </c>
      <c r="CP23" s="81">
        <v>108.63</v>
      </c>
      <c r="CQ23" s="81" t="s">
        <v>509</v>
      </c>
      <c r="CR23" s="204">
        <v>2E-16</v>
      </c>
      <c r="CS23" s="81" t="s">
        <v>510</v>
      </c>
      <c r="CU23" s="212">
        <v>16</v>
      </c>
      <c r="DE23" s="81" t="s">
        <v>389</v>
      </c>
      <c r="DF23" s="81" t="s">
        <v>390</v>
      </c>
      <c r="DG23" s="81" t="str">
        <f t="shared" si="13"/>
        <v>CwD</v>
      </c>
      <c r="DH23" s="81" t="s">
        <v>434</v>
      </c>
      <c r="DI23" s="204">
        <f t="shared" si="14"/>
        <v>16300000</v>
      </c>
      <c r="DJ23" s="81" t="s">
        <v>392</v>
      </c>
      <c r="DK23" s="81" t="s">
        <v>409</v>
      </c>
      <c r="DL23" s="289">
        <f t="shared" si="0"/>
        <v>30.942643391521198</v>
      </c>
      <c r="DM23" s="289">
        <f t="shared" si="1"/>
        <v>63.9</v>
      </c>
      <c r="DN23" s="289">
        <f t="shared" si="2"/>
        <v>58.3</v>
      </c>
      <c r="DP23" s="290" t="s">
        <v>506</v>
      </c>
      <c r="DQ23" s="290" t="s">
        <v>549</v>
      </c>
      <c r="DR23" s="291">
        <v>0.32100000000000001</v>
      </c>
      <c r="DS23" s="291">
        <v>3.1800000000000002E-2</v>
      </c>
      <c r="DT23" s="290">
        <v>10.1</v>
      </c>
      <c r="DU23" s="290" t="s">
        <v>509</v>
      </c>
      <c r="DV23" s="291">
        <v>2E-16</v>
      </c>
      <c r="DW23" s="81" t="s">
        <v>510</v>
      </c>
      <c r="DX23" s="212" t="s">
        <v>568</v>
      </c>
      <c r="DY23" s="294" t="s">
        <v>587</v>
      </c>
      <c r="DZ23" s="292" t="s">
        <v>434</v>
      </c>
      <c r="EA23" s="293">
        <f t="shared" si="11"/>
        <v>0.111</v>
      </c>
      <c r="EB23" s="212" t="s">
        <v>392</v>
      </c>
    </row>
    <row r="24" spans="1:132" ht="15" customHeight="1" thickTop="1" thickBot="1" x14ac:dyDescent="0.3">
      <c r="A24" s="220" t="s">
        <v>94</v>
      </c>
      <c r="B24" s="240">
        <f>B23/B6</f>
        <v>1</v>
      </c>
      <c r="C24" s="221"/>
      <c r="D24" s="220" t="s">
        <v>95</v>
      </c>
      <c r="E24" s="221"/>
      <c r="F24" s="240">
        <f>B8/B6</f>
        <v>0.53839285714285712</v>
      </c>
      <c r="G24" s="221"/>
      <c r="H24" s="222"/>
      <c r="J24" s="81" t="s">
        <v>92</v>
      </c>
      <c r="K24" s="250">
        <v>0</v>
      </c>
      <c r="L24" s="251">
        <v>2</v>
      </c>
      <c r="M24" s="251" t="s">
        <v>54</v>
      </c>
      <c r="N24" s="252">
        <f>H13</f>
        <v>5.05</v>
      </c>
      <c r="O24" s="253" t="s">
        <v>50</v>
      </c>
      <c r="P24" s="30">
        <f t="shared" si="6"/>
        <v>2</v>
      </c>
      <c r="Q24" s="30">
        <f t="shared" si="7"/>
        <v>10.1</v>
      </c>
      <c r="R24" s="30">
        <f t="shared" si="16"/>
        <v>0</v>
      </c>
      <c r="S24" s="30">
        <f t="shared" si="17"/>
        <v>0</v>
      </c>
      <c r="T24" s="30">
        <f t="shared" si="18"/>
        <v>0</v>
      </c>
      <c r="U24" s="31"/>
      <c r="V24" s="3"/>
      <c r="W24" s="220"/>
      <c r="X24" s="221" t="s">
        <v>93</v>
      </c>
      <c r="Y24" s="221">
        <v>0.14000000000000001</v>
      </c>
      <c r="Z24" s="221">
        <v>0.54</v>
      </c>
      <c r="AA24" s="221">
        <v>1400</v>
      </c>
      <c r="AB24" s="221">
        <v>840</v>
      </c>
      <c r="AC24" s="268">
        <f>Y24/Z24</f>
        <v>0.25925925925925924</v>
      </c>
      <c r="AD24" s="222">
        <f>Y24*AA24*AB24</f>
        <v>164640.00000000003</v>
      </c>
      <c r="AE24" s="14"/>
      <c r="AF24" s="14"/>
      <c r="AG24" s="14"/>
      <c r="AL24" s="154" t="s">
        <v>389</v>
      </c>
      <c r="AM24" s="81" t="s">
        <v>390</v>
      </c>
      <c r="AN24" s="81" t="s">
        <v>409</v>
      </c>
      <c r="AO24" s="81">
        <f>SUM(N14)*1/(SUM(AC44:AC46)+0.5*SUM(AC42:AC43))</f>
        <v>30.942643391521198</v>
      </c>
      <c r="AP24" s="81" t="s">
        <v>392</v>
      </c>
      <c r="AQ24" s="204">
        <f>63.9</f>
        <v>63.9</v>
      </c>
      <c r="AU24" s="205" t="s">
        <v>389</v>
      </c>
      <c r="AV24" s="205" t="s">
        <v>390</v>
      </c>
      <c r="AW24" s="205" t="s">
        <v>409</v>
      </c>
      <c r="AX24" s="207" t="s">
        <v>434</v>
      </c>
      <c r="AY24" s="206">
        <f t="shared" si="3"/>
        <v>58.3</v>
      </c>
      <c r="AZ24" s="205" t="s">
        <v>392</v>
      </c>
      <c r="BE24" s="81" t="s">
        <v>281</v>
      </c>
      <c r="BF24" s="81">
        <f>1/(1/AO37+1/AO40)</f>
        <v>52.776033509561948</v>
      </c>
      <c r="BI24" s="81" t="s">
        <v>122</v>
      </c>
      <c r="BJ24" s="204">
        <f>BJ20+BJ21</f>
        <v>3241112.16</v>
      </c>
      <c r="BP24" s="154" t="s">
        <v>389</v>
      </c>
      <c r="BQ24" s="81" t="s">
        <v>390</v>
      </c>
      <c r="BR24" s="81" t="s">
        <v>409</v>
      </c>
      <c r="BS24" s="204">
        <f>AQ24</f>
        <v>63.9</v>
      </c>
      <c r="BT24" s="81" t="s">
        <v>392</v>
      </c>
      <c r="BU24" s="204">
        <f>63.9</f>
        <v>63.9</v>
      </c>
      <c r="BW24" s="81" t="s">
        <v>464</v>
      </c>
      <c r="BX24" s="81">
        <f>AVERAGE(SUM(N26),N14)*(1/(1/8+SUM(AC42:AC43)/2+SUM(AC31:AC32)/4))</f>
        <v>396.73529411764707</v>
      </c>
      <c r="BY24" s="211">
        <f>CB40</f>
        <v>58.3</v>
      </c>
      <c r="BZ24" s="211"/>
      <c r="CA24" s="81" t="s">
        <v>482</v>
      </c>
      <c r="CB24" s="204">
        <v>0.14099999999999999</v>
      </c>
      <c r="CC24" s="204">
        <v>9.4499999999999998E-4</v>
      </c>
      <c r="CG24" s="81" t="s">
        <v>478</v>
      </c>
      <c r="CH24" s="204">
        <v>-13.1</v>
      </c>
      <c r="CI24" s="204">
        <v>157</v>
      </c>
      <c r="CJ24" s="81">
        <v>-0.08</v>
      </c>
      <c r="CK24" s="81">
        <v>0.93</v>
      </c>
      <c r="CM24" s="81" t="s">
        <v>482</v>
      </c>
      <c r="CN24" s="204">
        <v>4.9399999999999999E-2</v>
      </c>
      <c r="CO24" s="204">
        <v>3.4299999999999999E-4</v>
      </c>
      <c r="CP24" s="81">
        <v>144.25</v>
      </c>
      <c r="CQ24" s="81" t="s">
        <v>509</v>
      </c>
      <c r="CR24" s="204">
        <v>2E-16</v>
      </c>
      <c r="CS24" s="81" t="s">
        <v>510</v>
      </c>
      <c r="CU24" s="212" t="s">
        <v>506</v>
      </c>
      <c r="CV24" s="81" t="s">
        <v>423</v>
      </c>
      <c r="CW24" s="204">
        <v>0.17</v>
      </c>
      <c r="CX24" s="204">
        <v>2.6400000000000001E-6</v>
      </c>
      <c r="CY24" s="81">
        <v>64508</v>
      </c>
      <c r="CZ24" s="81" t="s">
        <v>505</v>
      </c>
      <c r="DA24" s="81" t="s">
        <v>510</v>
      </c>
      <c r="DE24" s="81" t="s">
        <v>389</v>
      </c>
      <c r="DF24" s="81" t="s">
        <v>390</v>
      </c>
      <c r="DG24" s="81" t="str">
        <f t="shared" si="13"/>
        <v>CwiD</v>
      </c>
      <c r="DH24" s="81" t="s">
        <v>434</v>
      </c>
      <c r="DI24" s="204">
        <f t="shared" si="14"/>
        <v>26200000</v>
      </c>
      <c r="DJ24" s="81" t="s">
        <v>392</v>
      </c>
      <c r="DL24" s="287">
        <f t="shared" si="0"/>
        <v>0</v>
      </c>
      <c r="DM24" s="287">
        <f t="shared" si="1"/>
        <v>0</v>
      </c>
      <c r="DN24" s="287">
        <f t="shared" si="2"/>
        <v>0</v>
      </c>
      <c r="DP24" s="290" t="s">
        <v>506</v>
      </c>
      <c r="DQ24" s="290" t="s">
        <v>550</v>
      </c>
      <c r="DR24" s="291">
        <v>0.35599999999999998</v>
      </c>
      <c r="DS24" s="291">
        <v>9.1800000000000007E-3</v>
      </c>
      <c r="DT24" s="290">
        <v>38.85</v>
      </c>
      <c r="DU24" s="290" t="s">
        <v>509</v>
      </c>
      <c r="DV24" s="291">
        <v>2E-16</v>
      </c>
      <c r="DW24" s="81" t="s">
        <v>510</v>
      </c>
      <c r="DX24" s="212" t="s">
        <v>568</v>
      </c>
      <c r="DY24" s="292" t="s">
        <v>588</v>
      </c>
      <c r="DZ24" s="292" t="s">
        <v>434</v>
      </c>
      <c r="EA24" s="293">
        <f t="shared" si="11"/>
        <v>5.7299999999999997E-2</v>
      </c>
      <c r="EB24" s="212" t="s">
        <v>392</v>
      </c>
    </row>
    <row r="25" spans="1:132" ht="15" customHeight="1" thickTop="1" thickBot="1" x14ac:dyDescent="0.3">
      <c r="A25" s="237"/>
      <c r="B25" s="219"/>
      <c r="C25" s="219"/>
      <c r="D25" s="220"/>
      <c r="E25" s="221"/>
      <c r="F25" s="221"/>
      <c r="G25" s="221"/>
      <c r="H25" s="222"/>
      <c r="J25" s="81" t="s">
        <v>96</v>
      </c>
      <c r="K25" s="250">
        <v>0</v>
      </c>
      <c r="L25" s="251">
        <v>2</v>
      </c>
      <c r="M25" s="251" t="s">
        <v>20</v>
      </c>
      <c r="N25" s="252">
        <f>'[1]Tabula data'!B7</f>
        <v>108.5</v>
      </c>
      <c r="O25" s="253" t="s">
        <v>97</v>
      </c>
      <c r="P25" s="30">
        <f t="shared" si="6"/>
        <v>0.27062537995411134</v>
      </c>
      <c r="Q25" s="30">
        <f t="shared" si="7"/>
        <v>29.362853725021083</v>
      </c>
      <c r="R25" s="30">
        <f t="shared" si="16"/>
        <v>7181832</v>
      </c>
      <c r="S25" s="30">
        <f t="shared" si="17"/>
        <v>66192</v>
      </c>
      <c r="T25" s="30">
        <f t="shared" si="18"/>
        <v>3308382</v>
      </c>
      <c r="U25" s="31"/>
      <c r="V25" s="3"/>
      <c r="W25" s="237"/>
      <c r="X25" s="219" t="s">
        <v>90</v>
      </c>
      <c r="Y25" s="219">
        <v>0.02</v>
      </c>
      <c r="Z25" s="219">
        <v>0.6</v>
      </c>
      <c r="AA25" s="219">
        <v>975</v>
      </c>
      <c r="AB25" s="219">
        <v>840</v>
      </c>
      <c r="AC25" s="269">
        <f>Y25/Z25</f>
        <v>3.3333333333333333E-2</v>
      </c>
      <c r="AD25" s="242">
        <f>Y25*AA25*AB25</f>
        <v>16380</v>
      </c>
      <c r="AE25" s="14"/>
      <c r="AF25" s="14"/>
      <c r="AG25" s="14"/>
      <c r="AP25" s="81" t="s">
        <v>392</v>
      </c>
      <c r="AU25" s="205"/>
      <c r="AV25" s="205"/>
      <c r="AW25" s="205"/>
      <c r="AX25" s="207"/>
      <c r="AZ25" s="205"/>
      <c r="BE25" s="81" t="s">
        <v>282</v>
      </c>
      <c r="BF25" s="3">
        <f>AO39</f>
        <v>68.593521675596691</v>
      </c>
      <c r="BI25" s="81" t="s">
        <v>454</v>
      </c>
      <c r="BJ25" s="204">
        <f>BJ23+BJ24</f>
        <v>124432902.06000003</v>
      </c>
      <c r="BS25" s="204"/>
      <c r="BT25" s="81" t="s">
        <v>392</v>
      </c>
      <c r="CA25" s="81" t="s">
        <v>483</v>
      </c>
      <c r="CB25" s="204">
        <v>0.76</v>
      </c>
      <c r="CC25" s="204">
        <v>3.9399999999999999E-3</v>
      </c>
      <c r="CG25" s="81" t="s">
        <v>479</v>
      </c>
      <c r="CH25" s="204">
        <v>-14.4</v>
      </c>
      <c r="CI25" s="204">
        <v>199</v>
      </c>
      <c r="CJ25" s="81">
        <v>-7.0000000000000007E-2</v>
      </c>
      <c r="CK25" s="81">
        <v>0.94</v>
      </c>
      <c r="CM25" s="81" t="s">
        <v>483</v>
      </c>
      <c r="CN25" s="204">
        <v>0.59799999999999998</v>
      </c>
      <c r="CO25" s="204">
        <v>1.04E-2</v>
      </c>
      <c r="CP25" s="81">
        <v>57.36</v>
      </c>
      <c r="CQ25" s="81" t="s">
        <v>509</v>
      </c>
      <c r="CR25" s="204">
        <v>2E-16</v>
      </c>
      <c r="CS25" s="81" t="s">
        <v>510</v>
      </c>
      <c r="CU25" s="212" t="s">
        <v>506</v>
      </c>
      <c r="CV25" s="81" t="s">
        <v>424</v>
      </c>
      <c r="CW25" s="204">
        <v>0.34</v>
      </c>
      <c r="CX25" s="204">
        <v>5.1800000000000004E-6</v>
      </c>
      <c r="CY25" s="81">
        <v>65643</v>
      </c>
      <c r="CZ25" s="81" t="s">
        <v>505</v>
      </c>
      <c r="DA25" s="81" t="s">
        <v>510</v>
      </c>
      <c r="DE25" s="81" t="s">
        <v>389</v>
      </c>
      <c r="DF25" s="81" t="s">
        <v>390</v>
      </c>
      <c r="DG25" s="81" t="str">
        <f t="shared" si="13"/>
        <v>CwiN</v>
      </c>
      <c r="DH25" s="81" t="s">
        <v>434</v>
      </c>
      <c r="DI25" s="204">
        <f t="shared" si="14"/>
        <v>5730000</v>
      </c>
      <c r="DJ25" s="81" t="s">
        <v>392</v>
      </c>
      <c r="DK25" s="81" t="s">
        <v>410</v>
      </c>
      <c r="DL25" s="286">
        <f t="shared" si="0"/>
        <v>0.50291291826022322</v>
      </c>
      <c r="DM25" s="286">
        <f t="shared" si="1"/>
        <v>0.41399999999999998</v>
      </c>
      <c r="DN25" s="286">
        <f t="shared" si="2"/>
        <v>0.44800000000000001</v>
      </c>
      <c r="DP25" s="290" t="s">
        <v>506</v>
      </c>
      <c r="DQ25" s="290" t="s">
        <v>551</v>
      </c>
      <c r="DR25" s="291">
        <v>0.38900000000000001</v>
      </c>
      <c r="DS25" s="291">
        <v>2.0299999999999999E-2</v>
      </c>
      <c r="DT25" s="290">
        <v>19.18</v>
      </c>
      <c r="DU25" s="290" t="s">
        <v>509</v>
      </c>
      <c r="DV25" s="291">
        <v>2E-16</v>
      </c>
      <c r="DW25" s="81" t="s">
        <v>510</v>
      </c>
      <c r="DZ25" s="292"/>
    </row>
    <row r="26" spans="1:132" ht="15" customHeight="1" thickTop="1" thickBot="1" x14ac:dyDescent="0.3">
      <c r="A26" s="223" t="s">
        <v>100</v>
      </c>
      <c r="B26" s="241">
        <f>'Tabula data'!B6</f>
        <v>410</v>
      </c>
      <c r="C26" s="235" t="s">
        <v>9</v>
      </c>
      <c r="D26" s="220"/>
      <c r="E26" s="221"/>
      <c r="F26" s="221"/>
      <c r="G26" s="221"/>
      <c r="H26" s="222"/>
      <c r="J26" s="81" t="s">
        <v>98</v>
      </c>
      <c r="K26" s="250">
        <v>1</v>
      </c>
      <c r="L26" s="251">
        <v>2</v>
      </c>
      <c r="M26" s="251" t="s">
        <v>99</v>
      </c>
      <c r="N26" s="252">
        <f>'[1]Tabula data'!B4-'[1]Tabula data'!B14</f>
        <v>89.300000000000011</v>
      </c>
      <c r="O26" s="253"/>
      <c r="P26" s="30">
        <f t="shared" si="6"/>
        <v>1.4549653579676673</v>
      </c>
      <c r="Q26" s="30">
        <f t="shared" si="7"/>
        <v>129.92840646651271</v>
      </c>
      <c r="R26" s="30">
        <f t="shared" si="16"/>
        <v>41572722.000000007</v>
      </c>
      <c r="S26" s="30">
        <f t="shared" si="17"/>
        <v>465540</v>
      </c>
      <c r="T26" s="30">
        <f t="shared" si="18"/>
        <v>41572722.000000007</v>
      </c>
      <c r="U26" s="31"/>
      <c r="V26" s="3"/>
      <c r="W26" s="258"/>
      <c r="X26" s="258"/>
      <c r="Y26" s="258"/>
      <c r="Z26" s="258"/>
      <c r="AA26" s="258"/>
      <c r="AB26" s="258"/>
      <c r="AC26" s="258"/>
      <c r="AD26" s="258"/>
      <c r="AE26" s="14"/>
      <c r="AF26" s="14"/>
      <c r="AG26" s="14"/>
      <c r="AL26" s="154" t="s">
        <v>389</v>
      </c>
      <c r="AM26" s="81" t="s">
        <v>390</v>
      </c>
      <c r="AN26" s="81" t="s">
        <v>410</v>
      </c>
      <c r="AO26" s="81">
        <f>SUM(N17:N20,N25)/SUM(N$17:N$25,N$28,N$26)</f>
        <v>0.50291291826022322</v>
      </c>
      <c r="AP26" s="81" t="s">
        <v>392</v>
      </c>
      <c r="AQ26" s="204">
        <v>0.41399999999999998</v>
      </c>
      <c r="AU26" s="205" t="s">
        <v>389</v>
      </c>
      <c r="AV26" s="205" t="s">
        <v>390</v>
      </c>
      <c r="AW26" s="205" t="s">
        <v>410</v>
      </c>
      <c r="AX26" s="207" t="s">
        <v>434</v>
      </c>
      <c r="AY26" s="206">
        <f t="shared" si="3"/>
        <v>0.44800000000000001</v>
      </c>
      <c r="AZ26" s="205" t="s">
        <v>392</v>
      </c>
      <c r="BE26" s="81" t="s">
        <v>295</v>
      </c>
      <c r="BF26" s="204">
        <f>AO31+AO32</f>
        <v>28857069.900000006</v>
      </c>
      <c r="BP26" s="154" t="s">
        <v>389</v>
      </c>
      <c r="BQ26" s="81" t="s">
        <v>390</v>
      </c>
      <c r="BR26" s="81" t="s">
        <v>410</v>
      </c>
      <c r="BS26" s="204">
        <f t="shared" ref="BS26:BS50" si="20">AQ26</f>
        <v>0.41399999999999998</v>
      </c>
      <c r="BT26" s="81" t="s">
        <v>392</v>
      </c>
      <c r="BU26" s="204">
        <v>0.41399999999999998</v>
      </c>
      <c r="BY26" s="211">
        <f>CN11</f>
        <v>0.44800000000000001</v>
      </c>
      <c r="BZ26" s="211"/>
      <c r="CA26" s="81" t="s">
        <v>484</v>
      </c>
      <c r="CB26" s="204">
        <v>6.4100000000000004E-2</v>
      </c>
      <c r="CC26" s="204">
        <v>4.3300000000000001E-4</v>
      </c>
      <c r="CG26" s="81" t="s">
        <v>480</v>
      </c>
      <c r="CH26" s="204">
        <v>-14.1</v>
      </c>
      <c r="CI26" s="204">
        <v>189</v>
      </c>
      <c r="CJ26" s="81">
        <v>-7.0000000000000007E-2</v>
      </c>
      <c r="CK26" s="81">
        <v>0.94</v>
      </c>
      <c r="CM26" s="81" t="s">
        <v>484</v>
      </c>
      <c r="CN26" s="204">
        <v>9.5100000000000004E-2</v>
      </c>
      <c r="CO26" s="204">
        <v>9.5799999999999998E-4</v>
      </c>
      <c r="CP26" s="81">
        <v>99.29</v>
      </c>
      <c r="CQ26" s="81" t="s">
        <v>509</v>
      </c>
      <c r="CR26" s="204">
        <v>2E-16</v>
      </c>
      <c r="CS26" s="81" t="s">
        <v>510</v>
      </c>
      <c r="CU26" s="212" t="s">
        <v>506</v>
      </c>
      <c r="CV26" s="81" t="s">
        <v>515</v>
      </c>
      <c r="CW26" s="204">
        <v>31500000</v>
      </c>
      <c r="CX26" s="204">
        <v>157</v>
      </c>
      <c r="CY26" s="81">
        <v>200875</v>
      </c>
      <c r="CZ26" s="81" t="s">
        <v>505</v>
      </c>
      <c r="DA26" s="81" t="s">
        <v>510</v>
      </c>
      <c r="DE26" s="81" t="s">
        <v>389</v>
      </c>
      <c r="DF26" s="81" t="s">
        <v>390</v>
      </c>
      <c r="DG26" s="81" t="str">
        <f t="shared" si="13"/>
        <v>CwN</v>
      </c>
      <c r="DH26" s="81" t="s">
        <v>434</v>
      </c>
      <c r="DI26" s="204">
        <f t="shared" si="14"/>
        <v>5800000</v>
      </c>
      <c r="DJ26" s="81" t="s">
        <v>392</v>
      </c>
      <c r="DK26" s="81" t="s">
        <v>411</v>
      </c>
      <c r="DL26" s="286">
        <f t="shared" si="0"/>
        <v>0.20891140083303655</v>
      </c>
      <c r="DM26" s="286">
        <f t="shared" si="1"/>
        <v>0.111</v>
      </c>
      <c r="DN26" s="286">
        <f t="shared" si="2"/>
        <v>0.15</v>
      </c>
      <c r="DP26" s="290" t="s">
        <v>506</v>
      </c>
      <c r="DQ26" s="290" t="s">
        <v>552</v>
      </c>
      <c r="DR26" s="291">
        <v>0.42</v>
      </c>
      <c r="DS26" s="291">
        <v>4.7200000000000002E-3</v>
      </c>
      <c r="DT26" s="290">
        <v>88.98</v>
      </c>
      <c r="DU26" s="290" t="s">
        <v>509</v>
      </c>
      <c r="DV26" s="291">
        <v>2E-16</v>
      </c>
      <c r="DW26" s="81" t="s">
        <v>510</v>
      </c>
      <c r="DY26" s="292"/>
      <c r="DZ26" s="292"/>
      <c r="EA26" s="293"/>
    </row>
    <row r="27" spans="1:132" ht="15" customHeight="1" thickTop="1" thickBot="1" x14ac:dyDescent="0.3">
      <c r="A27" s="220"/>
      <c r="B27" s="240">
        <f>SUM(N6:N25)</f>
        <v>398.70000000000005</v>
      </c>
      <c r="C27" s="222"/>
      <c r="D27" s="220"/>
      <c r="E27" s="221"/>
      <c r="F27" s="221"/>
      <c r="G27" s="221"/>
      <c r="H27" s="222"/>
      <c r="J27" s="81" t="s">
        <v>101</v>
      </c>
      <c r="K27" s="250">
        <v>1</v>
      </c>
      <c r="L27" s="251">
        <v>1</v>
      </c>
      <c r="M27" s="251" t="s">
        <v>85</v>
      </c>
      <c r="N27" s="252">
        <f>SUM(N6:N9)</f>
        <v>66.102142857142866</v>
      </c>
      <c r="O27" s="253"/>
      <c r="P27" s="30">
        <f t="shared" si="6"/>
        <v>1.7363344051446945</v>
      </c>
      <c r="Q27" s="30">
        <f t="shared" si="7"/>
        <v>114.77542489664677</v>
      </c>
      <c r="R27" s="30">
        <f t="shared" si="16"/>
        <v>13048563.000000004</v>
      </c>
      <c r="S27" s="30">
        <f t="shared" si="17"/>
        <v>197400.00000000003</v>
      </c>
      <c r="T27" s="30">
        <f t="shared" si="18"/>
        <v>13048563.000000004</v>
      </c>
      <c r="U27" s="31"/>
      <c r="V27" s="3"/>
      <c r="W27" s="260" t="s">
        <v>99</v>
      </c>
      <c r="X27" s="261"/>
      <c r="Y27" s="262" t="s">
        <v>21</v>
      </c>
      <c r="Z27" s="263">
        <f>1/(1/10+SUM(AC29:AC32)+1/6)</f>
        <v>1.4549653579676673</v>
      </c>
      <c r="AA27" s="261" t="s">
        <v>5</v>
      </c>
      <c r="AB27" s="261"/>
      <c r="AC27" s="261" t="s">
        <v>22</v>
      </c>
      <c r="AD27" s="264">
        <f>SUM(AD29:AD33)</f>
        <v>465540</v>
      </c>
      <c r="AE27" s="14" t="s">
        <v>23</v>
      </c>
      <c r="AF27" s="14">
        <f>SUM(AD29:AD32)</f>
        <v>465540</v>
      </c>
      <c r="AG27" s="14"/>
      <c r="AL27" s="154" t="s">
        <v>389</v>
      </c>
      <c r="AM27" s="81" t="s">
        <v>390</v>
      </c>
      <c r="AN27" s="81" t="s">
        <v>411</v>
      </c>
      <c r="AO27" s="81">
        <f>SUM(N28)/SUM(N$17:N$25,N$28,N$26)</f>
        <v>0.20891140083303655</v>
      </c>
      <c r="AP27" s="81" t="s">
        <v>392</v>
      </c>
      <c r="AQ27" s="204">
        <v>0.111</v>
      </c>
      <c r="AU27" s="205" t="s">
        <v>389</v>
      </c>
      <c r="AV27" s="205" t="s">
        <v>390</v>
      </c>
      <c r="AW27" s="205" t="s">
        <v>411</v>
      </c>
      <c r="AX27" s="207" t="s">
        <v>434</v>
      </c>
      <c r="AY27" s="206">
        <f t="shared" si="3"/>
        <v>0.15</v>
      </c>
      <c r="AZ27" s="205" t="s">
        <v>392</v>
      </c>
      <c r="BE27" s="81" t="s">
        <v>122</v>
      </c>
      <c r="BF27" s="204">
        <f>AO30</f>
        <v>1336649.5999999999</v>
      </c>
      <c r="BI27" s="81" t="s">
        <v>455</v>
      </c>
      <c r="BJ27" s="204">
        <v>-1000000</v>
      </c>
      <c r="BP27" s="154" t="s">
        <v>389</v>
      </c>
      <c r="BQ27" s="81" t="s">
        <v>390</v>
      </c>
      <c r="BR27" s="81" t="s">
        <v>411</v>
      </c>
      <c r="BS27" s="204">
        <f t="shared" si="20"/>
        <v>0.111</v>
      </c>
      <c r="BT27" s="81" t="s">
        <v>392</v>
      </c>
      <c r="BU27" s="204">
        <v>0.111</v>
      </c>
      <c r="BY27" s="211">
        <f t="shared" ref="BY27:BY28" si="21">CN12</f>
        <v>0.15</v>
      </c>
      <c r="BZ27" s="211"/>
      <c r="CA27" s="81" t="s">
        <v>485</v>
      </c>
      <c r="CB27" s="204">
        <v>5.4300000000000001E-2</v>
      </c>
      <c r="CC27" s="204">
        <v>4.44E-4</v>
      </c>
      <c r="CG27" s="81" t="s">
        <v>481</v>
      </c>
      <c r="CH27" s="204">
        <v>6.9400000000000003E-2</v>
      </c>
      <c r="CI27" s="204">
        <v>7.76E-4</v>
      </c>
      <c r="CJ27" s="81">
        <v>89.38</v>
      </c>
      <c r="CK27" s="81" t="s">
        <v>505</v>
      </c>
      <c r="CM27" s="81" t="s">
        <v>486</v>
      </c>
      <c r="CN27" s="204">
        <v>194</v>
      </c>
      <c r="CO27" s="204">
        <v>5.16</v>
      </c>
      <c r="CP27" s="81">
        <v>37.520000000000003</v>
      </c>
      <c r="CQ27" s="81" t="s">
        <v>509</v>
      </c>
      <c r="CR27" s="204">
        <v>2E-16</v>
      </c>
      <c r="CS27" s="81" t="s">
        <v>510</v>
      </c>
      <c r="CU27" s="212" t="s">
        <v>506</v>
      </c>
      <c r="CV27" s="81" t="s">
        <v>426</v>
      </c>
      <c r="CW27" s="204">
        <v>67000000</v>
      </c>
      <c r="CX27" s="204">
        <v>330</v>
      </c>
      <c r="CY27" s="81">
        <v>203280</v>
      </c>
      <c r="CZ27" s="81" t="s">
        <v>505</v>
      </c>
      <c r="DA27" s="81" t="s">
        <v>510</v>
      </c>
      <c r="DI27" s="204"/>
      <c r="DK27" s="81" t="s">
        <v>412</v>
      </c>
      <c r="DL27" s="286">
        <f t="shared" si="0"/>
        <v>4.6200238452843621E-2</v>
      </c>
      <c r="DM27" s="286">
        <f t="shared" si="1"/>
        <v>0.251</v>
      </c>
      <c r="DN27" s="286">
        <f t="shared" si="2"/>
        <v>4.4699999999999997E-2</v>
      </c>
      <c r="DP27" s="290" t="s">
        <v>506</v>
      </c>
      <c r="DQ27" s="290" t="s">
        <v>553</v>
      </c>
      <c r="DR27" s="291">
        <v>0.42299999999999999</v>
      </c>
      <c r="DS27" s="291">
        <v>5.4200000000000003E-3</v>
      </c>
      <c r="DT27" s="290">
        <v>78.06</v>
      </c>
      <c r="DU27" s="290" t="s">
        <v>509</v>
      </c>
      <c r="DV27" s="291">
        <v>2E-16</v>
      </c>
      <c r="DW27" s="81" t="s">
        <v>510</v>
      </c>
      <c r="DX27" s="212" t="s">
        <v>568</v>
      </c>
      <c r="DY27" s="292" t="s">
        <v>399</v>
      </c>
      <c r="DZ27" s="292" t="s">
        <v>434</v>
      </c>
      <c r="EA27" s="293">
        <f>DR33</f>
        <v>8580000</v>
      </c>
      <c r="EB27" s="212" t="s">
        <v>392</v>
      </c>
    </row>
    <row r="28" spans="1:132" ht="15" customHeight="1" thickTop="1" thickBot="1" x14ac:dyDescent="0.3">
      <c r="A28" s="220"/>
      <c r="B28" s="221"/>
      <c r="C28" s="222"/>
      <c r="D28" s="220"/>
      <c r="E28" s="221"/>
      <c r="F28" s="221"/>
      <c r="G28" s="221"/>
      <c r="H28" s="222"/>
      <c r="J28" s="81" t="s">
        <v>102</v>
      </c>
      <c r="K28" s="250">
        <v>2</v>
      </c>
      <c r="L28" s="251">
        <v>2</v>
      </c>
      <c r="M28" s="251" t="s">
        <v>85</v>
      </c>
      <c r="N28" s="252">
        <f>SUM(N17:N20)</f>
        <v>77.097857142857151</v>
      </c>
      <c r="O28" s="253"/>
      <c r="P28" s="30">
        <f t="shared" si="6"/>
        <v>1.7363344051446945</v>
      </c>
      <c r="Q28" s="30">
        <f t="shared" si="7"/>
        <v>133.86766192007352</v>
      </c>
      <c r="R28" s="30">
        <f t="shared" si="16"/>
        <v>15219117.000000004</v>
      </c>
      <c r="S28" s="30">
        <f t="shared" si="17"/>
        <v>197400.00000000003</v>
      </c>
      <c r="T28" s="30">
        <f t="shared" si="18"/>
        <v>15219117.000000004</v>
      </c>
      <c r="U28" s="31"/>
      <c r="V28" s="3"/>
      <c r="W28" s="265"/>
      <c r="X28" s="266" t="s">
        <v>27</v>
      </c>
      <c r="Y28" s="266" t="s">
        <v>28</v>
      </c>
      <c r="Z28" s="266" t="s">
        <v>29</v>
      </c>
      <c r="AA28" s="266" t="s">
        <v>30</v>
      </c>
      <c r="AB28" s="266" t="s">
        <v>31</v>
      </c>
      <c r="AC28" s="266" t="s">
        <v>32</v>
      </c>
      <c r="AD28" s="267" t="s">
        <v>33</v>
      </c>
      <c r="AE28" s="14"/>
      <c r="AF28" s="14"/>
      <c r="AG28" s="14"/>
      <c r="AL28" s="154" t="s">
        <v>389</v>
      </c>
      <c r="AM28" s="81" t="s">
        <v>390</v>
      </c>
      <c r="AN28" s="81" t="s">
        <v>412</v>
      </c>
      <c r="AO28" s="81">
        <f>SUM(N21:N24)/SUM(N$17:N$25,N$28,N$26)</f>
        <v>4.6200238452843621E-2</v>
      </c>
      <c r="AP28" s="81" t="s">
        <v>392</v>
      </c>
      <c r="AQ28" s="204">
        <v>0.251</v>
      </c>
      <c r="AU28" s="205" t="s">
        <v>389</v>
      </c>
      <c r="AV28" s="205" t="s">
        <v>390</v>
      </c>
      <c r="AW28" s="205" t="s">
        <v>412</v>
      </c>
      <c r="AX28" s="207" t="s">
        <v>434</v>
      </c>
      <c r="AY28" s="206">
        <f t="shared" si="3"/>
        <v>4.4699999999999997E-2</v>
      </c>
      <c r="AZ28" s="205" t="s">
        <v>392</v>
      </c>
      <c r="BE28" s="81" t="s">
        <v>449</v>
      </c>
      <c r="BF28" s="204">
        <f>BF26+BF27</f>
        <v>30193719.500000007</v>
      </c>
      <c r="BI28" s="81" t="s">
        <v>456</v>
      </c>
      <c r="BJ28" s="204">
        <v>-1000000</v>
      </c>
      <c r="BP28" s="154" t="s">
        <v>389</v>
      </c>
      <c r="BQ28" s="81" t="s">
        <v>390</v>
      </c>
      <c r="BR28" s="81" t="s">
        <v>412</v>
      </c>
      <c r="BS28" s="204">
        <f t="shared" si="20"/>
        <v>0.251</v>
      </c>
      <c r="BT28" s="81" t="s">
        <v>392</v>
      </c>
      <c r="BU28" s="204">
        <v>0.251</v>
      </c>
      <c r="BY28" s="211">
        <f t="shared" si="21"/>
        <v>4.4699999999999997E-2</v>
      </c>
      <c r="BZ28" s="211"/>
      <c r="CA28" s="81" t="s">
        <v>486</v>
      </c>
      <c r="CB28" s="204">
        <v>259</v>
      </c>
      <c r="CC28" s="204">
        <v>2.63</v>
      </c>
      <c r="CG28" s="81" t="s">
        <v>482</v>
      </c>
      <c r="CH28" s="204">
        <v>0.14099999999999999</v>
      </c>
      <c r="CI28" s="204">
        <v>9.4499999999999998E-4</v>
      </c>
      <c r="CJ28" s="81">
        <v>148.78</v>
      </c>
      <c r="CK28" s="81" t="s">
        <v>505</v>
      </c>
      <c r="CM28" s="81" t="s">
        <v>285</v>
      </c>
      <c r="CN28" s="204">
        <v>83.2</v>
      </c>
      <c r="CO28" s="204">
        <v>0.88100000000000001</v>
      </c>
      <c r="CP28" s="81">
        <v>94.5</v>
      </c>
      <c r="CQ28" s="81" t="s">
        <v>509</v>
      </c>
      <c r="CR28" s="204">
        <v>2E-16</v>
      </c>
      <c r="CS28" s="81" t="s">
        <v>510</v>
      </c>
      <c r="CU28" s="212" t="s">
        <v>506</v>
      </c>
      <c r="CV28" s="81" t="s">
        <v>396</v>
      </c>
      <c r="CW28" s="204">
        <v>2700000</v>
      </c>
      <c r="CX28" s="204">
        <v>8.4600000000000009</v>
      </c>
      <c r="CY28" s="81">
        <v>319026</v>
      </c>
      <c r="CZ28" s="81" t="s">
        <v>505</v>
      </c>
      <c r="DA28" s="81" t="s">
        <v>510</v>
      </c>
      <c r="DI28" s="204"/>
      <c r="DL28" s="287">
        <f t="shared" si="0"/>
        <v>0</v>
      </c>
      <c r="DM28" s="287">
        <f t="shared" si="1"/>
        <v>0</v>
      </c>
      <c r="DN28" s="287">
        <f t="shared" si="2"/>
        <v>0</v>
      </c>
      <c r="DP28" s="290" t="s">
        <v>506</v>
      </c>
      <c r="DQ28" s="290" t="s">
        <v>554</v>
      </c>
      <c r="DR28" s="291">
        <v>0.108</v>
      </c>
      <c r="DS28" s="291">
        <v>8.6400000000000001E-3</v>
      </c>
      <c r="DT28" s="290">
        <v>12.47</v>
      </c>
      <c r="DU28" s="290" t="s">
        <v>509</v>
      </c>
      <c r="DV28" s="291">
        <v>2E-16</v>
      </c>
      <c r="DW28" s="81" t="s">
        <v>510</v>
      </c>
      <c r="DX28" s="212" t="s">
        <v>568</v>
      </c>
      <c r="DY28" s="295" t="s">
        <v>396</v>
      </c>
      <c r="DZ28" s="292" t="s">
        <v>434</v>
      </c>
      <c r="EA28" s="293">
        <f t="shared" ref="EA28:EA30" si="22">DR34</f>
        <v>1770000</v>
      </c>
      <c r="EB28" s="212" t="s">
        <v>392</v>
      </c>
    </row>
    <row r="29" spans="1:132" ht="15" customHeight="1" thickTop="1" thickBot="1" x14ac:dyDescent="0.3">
      <c r="A29" s="220"/>
      <c r="B29" s="221"/>
      <c r="C29" s="222"/>
      <c r="D29" s="220"/>
      <c r="E29" s="221"/>
      <c r="F29" s="221"/>
      <c r="G29" s="221"/>
      <c r="H29" s="222"/>
      <c r="K29" s="250">
        <v>2</v>
      </c>
      <c r="L29" s="251">
        <v>2</v>
      </c>
      <c r="M29" s="251" t="s">
        <v>99</v>
      </c>
      <c r="N29" s="319">
        <f>B8-N26</f>
        <v>31.299999999999983</v>
      </c>
      <c r="O29" s="257"/>
      <c r="P29" s="30">
        <f t="shared" ref="P29:P31" si="23">VLOOKUP(M29,$W$5:$Z$391,4,0)</f>
        <v>1.4549653579676673</v>
      </c>
      <c r="Q29" s="30">
        <f t="shared" ref="Q29:Q31" si="24">P29*N29</f>
        <v>45.540415704387961</v>
      </c>
      <c r="R29" s="30">
        <f t="shared" ref="R29:R31" si="25">VLOOKUP(M29,$W$5:$AD$391,8,0)*N29</f>
        <v>14571401.999999993</v>
      </c>
      <c r="S29" s="30">
        <f t="shared" ref="S29:S31" si="26">R29/N29</f>
        <v>465540</v>
      </c>
      <c r="T29" s="30">
        <f t="shared" ref="T29:T31" si="27">VLOOKUP(M29,$W$5:$AF$391,10,0)*N29</f>
        <v>14571401.999999993</v>
      </c>
      <c r="W29" s="271"/>
      <c r="X29" s="272" t="s">
        <v>103</v>
      </c>
      <c r="Y29" s="272">
        <v>0.02</v>
      </c>
      <c r="Z29" s="272">
        <v>0.18</v>
      </c>
      <c r="AA29" s="272">
        <v>550</v>
      </c>
      <c r="AB29" s="272">
        <v>1880</v>
      </c>
      <c r="AC29" s="273">
        <f>Y29/Z29</f>
        <v>0.11111111111111112</v>
      </c>
      <c r="AD29" s="274">
        <f>Y29*AA29*AB29</f>
        <v>20680</v>
      </c>
      <c r="AE29" s="14" t="s">
        <v>104</v>
      </c>
      <c r="AF29" s="14"/>
      <c r="AG29" s="14"/>
      <c r="AP29" s="81" t="s">
        <v>392</v>
      </c>
      <c r="AU29" s="205"/>
      <c r="AV29" s="205"/>
      <c r="AW29" s="205"/>
      <c r="AX29" s="207"/>
      <c r="AZ29" s="205"/>
      <c r="BE29" s="81" t="s">
        <v>450</v>
      </c>
      <c r="BF29" s="3">
        <f>BF24+BF25</f>
        <v>121.36955518515865</v>
      </c>
      <c r="BI29" s="81" t="s">
        <v>294</v>
      </c>
      <c r="BJ29" s="204">
        <v>-1000000</v>
      </c>
      <c r="BS29" s="204"/>
      <c r="BT29" s="81" t="s">
        <v>392</v>
      </c>
      <c r="BY29" s="211"/>
      <c r="BZ29" s="211"/>
      <c r="CA29" s="81" t="s">
        <v>487</v>
      </c>
      <c r="CB29" s="204">
        <v>197</v>
      </c>
      <c r="CC29" s="204">
        <v>1.44</v>
      </c>
      <c r="CG29" s="81" t="s">
        <v>483</v>
      </c>
      <c r="CH29" s="204">
        <v>0.76</v>
      </c>
      <c r="CI29" s="204">
        <v>3.9399999999999999E-3</v>
      </c>
      <c r="CJ29" s="81">
        <v>192.86</v>
      </c>
      <c r="CK29" s="81" t="s">
        <v>505</v>
      </c>
      <c r="CM29" s="81" t="s">
        <v>120</v>
      </c>
      <c r="CN29" s="204">
        <v>64.400000000000006</v>
      </c>
      <c r="CO29" s="204">
        <v>1.8</v>
      </c>
      <c r="CP29" s="81">
        <v>35.869999999999997</v>
      </c>
      <c r="CQ29" s="81" t="s">
        <v>509</v>
      </c>
      <c r="CR29" s="204">
        <v>2E-16</v>
      </c>
      <c r="CS29" s="81" t="s">
        <v>510</v>
      </c>
      <c r="CU29" s="212" t="s">
        <v>506</v>
      </c>
      <c r="CV29" s="81" t="s">
        <v>413</v>
      </c>
      <c r="CW29" s="204">
        <v>1700000</v>
      </c>
      <c r="CX29" s="204">
        <v>7.17</v>
      </c>
      <c r="CY29" s="81">
        <v>236943</v>
      </c>
      <c r="CZ29" s="81" t="s">
        <v>505</v>
      </c>
      <c r="DA29" s="81" t="s">
        <v>510</v>
      </c>
      <c r="DI29" s="204"/>
      <c r="DK29" s="81" t="s">
        <v>413</v>
      </c>
      <c r="DL29" s="288">
        <f t="shared" si="0"/>
        <v>1336649.5999999999</v>
      </c>
      <c r="DM29" s="288">
        <f t="shared" si="1"/>
        <v>1340000</v>
      </c>
      <c r="DN29" s="288">
        <f t="shared" si="2"/>
        <v>1130000</v>
      </c>
      <c r="DP29" s="290" t="s">
        <v>506</v>
      </c>
      <c r="DQ29" s="290" t="s">
        <v>424</v>
      </c>
      <c r="DR29" s="291">
        <v>5.6000000000000001E-2</v>
      </c>
      <c r="DS29" s="291">
        <v>2.18E-2</v>
      </c>
      <c r="DT29" s="290">
        <v>2.57</v>
      </c>
      <c r="DU29" s="290">
        <v>0.01</v>
      </c>
      <c r="DV29" s="290" t="s">
        <v>511</v>
      </c>
      <c r="DX29" s="212" t="s">
        <v>568</v>
      </c>
      <c r="DY29" s="295" t="s">
        <v>397</v>
      </c>
      <c r="DZ29" s="292" t="s">
        <v>434</v>
      </c>
      <c r="EA29" s="293">
        <f t="shared" si="22"/>
        <v>7340000</v>
      </c>
      <c r="EB29" s="212" t="s">
        <v>392</v>
      </c>
    </row>
    <row r="30" spans="1:132" ht="15" customHeight="1" thickTop="1" thickBot="1" x14ac:dyDescent="0.3">
      <c r="A30" s="237"/>
      <c r="B30" s="219"/>
      <c r="C30" s="242"/>
      <c r="D30" s="237"/>
      <c r="E30" s="219"/>
      <c r="F30" s="219"/>
      <c r="G30" s="219"/>
      <c r="H30" s="242"/>
      <c r="K30" s="250" t="s">
        <v>618</v>
      </c>
      <c r="L30" s="251">
        <v>1</v>
      </c>
      <c r="M30" s="251" t="s">
        <v>610</v>
      </c>
      <c r="N30" s="252">
        <f>N7</f>
        <v>30.921227867960802</v>
      </c>
      <c r="O30" s="253"/>
      <c r="P30" s="30">
        <f t="shared" si="23"/>
        <v>1.8430034129692836</v>
      </c>
      <c r="Q30" s="30">
        <f t="shared" si="24"/>
        <v>56.987928493852685</v>
      </c>
      <c r="R30" s="30">
        <f t="shared" si="25"/>
        <v>5597360.6686582649</v>
      </c>
      <c r="S30" s="30">
        <f t="shared" si="26"/>
        <v>181020.00000000003</v>
      </c>
      <c r="T30" s="30">
        <f t="shared" si="27"/>
        <v>0</v>
      </c>
      <c r="W30" s="220"/>
      <c r="X30" s="221" t="s">
        <v>129</v>
      </c>
      <c r="Y30" s="221">
        <v>0.08</v>
      </c>
      <c r="Z30" s="221">
        <v>0.6</v>
      </c>
      <c r="AA30" s="221">
        <v>1100</v>
      </c>
      <c r="AB30" s="221">
        <v>860</v>
      </c>
      <c r="AC30" s="268">
        <f>Y30/Z30</f>
        <v>0.13333333333333333</v>
      </c>
      <c r="AD30" s="222">
        <f>Y30*AA30*AB30</f>
        <v>75680</v>
      </c>
      <c r="AE30" s="14"/>
      <c r="AF30" s="14"/>
      <c r="AG30" s="14"/>
      <c r="AL30" s="154" t="s">
        <v>389</v>
      </c>
      <c r="AM30" s="81" t="s">
        <v>390</v>
      </c>
      <c r="AN30" s="81" t="s">
        <v>413</v>
      </c>
      <c r="AO30" s="204">
        <f>B35*1.04*1012*5</f>
        <v>1336649.5999999999</v>
      </c>
      <c r="AP30" s="81" t="s">
        <v>392</v>
      </c>
      <c r="AQ30" s="204">
        <v>1340000</v>
      </c>
      <c r="AU30" s="205" t="s">
        <v>389</v>
      </c>
      <c r="AV30" s="205" t="s">
        <v>390</v>
      </c>
      <c r="AW30" s="205" t="s">
        <v>413</v>
      </c>
      <c r="AX30" s="207" t="s">
        <v>434</v>
      </c>
      <c r="AY30" s="206">
        <f t="shared" si="3"/>
        <v>1130000</v>
      </c>
      <c r="AZ30" s="205" t="s">
        <v>392</v>
      </c>
      <c r="BI30" s="81" t="s">
        <v>301</v>
      </c>
      <c r="BJ30" s="204">
        <v>-1000000</v>
      </c>
      <c r="BP30" s="154" t="s">
        <v>389</v>
      </c>
      <c r="BQ30" s="81" t="s">
        <v>390</v>
      </c>
      <c r="BR30" s="81" t="s">
        <v>413</v>
      </c>
      <c r="BS30" s="204">
        <f t="shared" si="20"/>
        <v>1340000</v>
      </c>
      <c r="BT30" s="81" t="s">
        <v>392</v>
      </c>
      <c r="BU30" s="204">
        <v>1340000</v>
      </c>
      <c r="BY30" s="211">
        <f>CN16</f>
        <v>1130000</v>
      </c>
      <c r="BZ30" s="211"/>
      <c r="CA30" s="81" t="s">
        <v>285</v>
      </c>
      <c r="CB30" s="204">
        <v>487</v>
      </c>
      <c r="CC30" s="204">
        <v>2.62</v>
      </c>
      <c r="CG30" s="81" t="s">
        <v>484</v>
      </c>
      <c r="CH30" s="204">
        <v>6.4100000000000004E-2</v>
      </c>
      <c r="CI30" s="204">
        <v>4.3300000000000001E-4</v>
      </c>
      <c r="CJ30" s="81">
        <v>148.13</v>
      </c>
      <c r="CK30" s="81" t="s">
        <v>505</v>
      </c>
      <c r="CM30" s="81" t="s">
        <v>488</v>
      </c>
      <c r="CN30" s="204">
        <v>-4.93</v>
      </c>
      <c r="CO30" s="204">
        <v>2.1999999999999999E-2</v>
      </c>
      <c r="CP30" s="81">
        <v>-223.73</v>
      </c>
      <c r="CQ30" s="81" t="s">
        <v>509</v>
      </c>
      <c r="CR30" s="204">
        <v>2E-16</v>
      </c>
      <c r="CS30" s="81" t="s">
        <v>510</v>
      </c>
      <c r="CU30" s="212" t="s">
        <v>506</v>
      </c>
      <c r="CV30" s="81" t="s">
        <v>397</v>
      </c>
      <c r="CW30" s="204">
        <v>16300000</v>
      </c>
      <c r="CX30" s="204">
        <v>47.4</v>
      </c>
      <c r="CY30" s="81">
        <v>343884</v>
      </c>
      <c r="CZ30" s="81" t="s">
        <v>505</v>
      </c>
      <c r="DA30" s="81" t="s">
        <v>510</v>
      </c>
      <c r="DI30" s="204"/>
      <c r="DK30" s="81" t="s">
        <v>414</v>
      </c>
      <c r="DL30" s="288">
        <f t="shared" si="0"/>
        <v>13637952.9</v>
      </c>
      <c r="DM30" s="288">
        <f t="shared" si="1"/>
        <v>2810000</v>
      </c>
      <c r="DN30" s="288">
        <f t="shared" si="2"/>
        <v>6980000</v>
      </c>
      <c r="DP30" s="290" t="s">
        <v>506</v>
      </c>
      <c r="DQ30" s="290" t="s">
        <v>555</v>
      </c>
      <c r="DR30" s="291">
        <v>0.111</v>
      </c>
      <c r="DS30" s="291">
        <v>4.5300000000000002E-3</v>
      </c>
      <c r="DT30" s="290">
        <v>24.59</v>
      </c>
      <c r="DU30" s="290" t="s">
        <v>509</v>
      </c>
      <c r="DV30" s="291">
        <v>2E-16</v>
      </c>
      <c r="DW30" s="81" t="s">
        <v>510</v>
      </c>
      <c r="DX30" s="212" t="s">
        <v>568</v>
      </c>
      <c r="DY30" s="295" t="s">
        <v>398</v>
      </c>
      <c r="DZ30" s="292" t="s">
        <v>434</v>
      </c>
      <c r="EA30" s="293">
        <f t="shared" si="22"/>
        <v>9650000</v>
      </c>
      <c r="EB30" s="212" t="s">
        <v>392</v>
      </c>
    </row>
    <row r="31" spans="1:132" ht="15" customHeight="1" thickTop="1" thickBot="1" x14ac:dyDescent="0.3">
      <c r="K31" s="255" t="s">
        <v>618</v>
      </c>
      <c r="L31" s="256">
        <v>2</v>
      </c>
      <c r="M31" s="256" t="s">
        <v>610</v>
      </c>
      <c r="N31" s="252">
        <f>N18</f>
        <v>36.064797687389479</v>
      </c>
      <c r="O31" s="257"/>
      <c r="P31" s="30">
        <f t="shared" si="23"/>
        <v>1.8430034129692836</v>
      </c>
      <c r="Q31" s="30">
        <f t="shared" si="24"/>
        <v>66.467545225905539</v>
      </c>
      <c r="R31" s="30">
        <f t="shared" si="25"/>
        <v>6528449.6773712449</v>
      </c>
      <c r="S31" s="30">
        <f t="shared" si="26"/>
        <v>181020.00000000003</v>
      </c>
      <c r="T31" s="30">
        <f t="shared" si="27"/>
        <v>0</v>
      </c>
      <c r="W31" s="220"/>
      <c r="X31" s="221" t="s">
        <v>131</v>
      </c>
      <c r="Y31" s="221">
        <v>0.2</v>
      </c>
      <c r="Z31" s="221">
        <v>1.4</v>
      </c>
      <c r="AA31" s="221">
        <v>2100</v>
      </c>
      <c r="AB31" s="221">
        <v>840</v>
      </c>
      <c r="AC31" s="268">
        <f>Y31/Z31</f>
        <v>0.14285714285714288</v>
      </c>
      <c r="AD31" s="222">
        <f>Y31*AA31*AB31</f>
        <v>352800</v>
      </c>
      <c r="AE31" s="14"/>
      <c r="AF31" s="14"/>
      <c r="AG31" s="14"/>
      <c r="AL31" s="154" t="s">
        <v>389</v>
      </c>
      <c r="AM31" s="81" t="s">
        <v>390</v>
      </c>
      <c r="AN31" s="81" t="s">
        <v>414</v>
      </c>
      <c r="AO31" s="204">
        <f>T25+SUM(T17:T20)</f>
        <v>13637952.9</v>
      </c>
      <c r="AP31" s="81" t="s">
        <v>392</v>
      </c>
      <c r="AQ31" s="204">
        <v>2810000</v>
      </c>
      <c r="AU31" s="205" t="s">
        <v>389</v>
      </c>
      <c r="AV31" s="205" t="s">
        <v>390</v>
      </c>
      <c r="AW31" s="205" t="s">
        <v>414</v>
      </c>
      <c r="AX31" s="207" t="s">
        <v>434</v>
      </c>
      <c r="AY31" s="206">
        <f t="shared" si="3"/>
        <v>6980000</v>
      </c>
      <c r="AZ31" s="205" t="s">
        <v>392</v>
      </c>
      <c r="BP31" s="154" t="s">
        <v>389</v>
      </c>
      <c r="BQ31" s="81" t="s">
        <v>390</v>
      </c>
      <c r="BR31" s="81" t="s">
        <v>414</v>
      </c>
      <c r="BS31" s="204">
        <f t="shared" si="20"/>
        <v>2810000</v>
      </c>
      <c r="BT31" s="81" t="s">
        <v>392</v>
      </c>
      <c r="BU31" s="204">
        <v>2810000</v>
      </c>
      <c r="BY31" s="211">
        <f>CN17</f>
        <v>6980000</v>
      </c>
      <c r="BZ31" s="211"/>
      <c r="CA31" s="81" t="s">
        <v>120</v>
      </c>
      <c r="CB31" s="204">
        <v>274</v>
      </c>
      <c r="CC31" s="204">
        <v>1.37</v>
      </c>
      <c r="CG31" s="81" t="s">
        <v>485</v>
      </c>
      <c r="CH31" s="204">
        <v>5.4300000000000001E-2</v>
      </c>
      <c r="CI31" s="204">
        <v>4.44E-4</v>
      </c>
      <c r="CJ31" s="81">
        <v>122.4</v>
      </c>
      <c r="CK31" s="81" t="s">
        <v>505</v>
      </c>
      <c r="CM31" s="81" t="s">
        <v>489</v>
      </c>
      <c r="CN31" s="204">
        <v>-4.84</v>
      </c>
      <c r="CO31" s="204">
        <v>2.86E-2</v>
      </c>
      <c r="CP31" s="81">
        <v>-169.23</v>
      </c>
      <c r="CQ31" s="81" t="s">
        <v>509</v>
      </c>
      <c r="CR31" s="204">
        <v>2E-16</v>
      </c>
      <c r="CS31" s="81" t="s">
        <v>510</v>
      </c>
      <c r="CU31" s="212" t="s">
        <v>506</v>
      </c>
      <c r="CV31" s="81" t="s">
        <v>398</v>
      </c>
      <c r="CW31" s="204">
        <v>26200000</v>
      </c>
      <c r="CX31" s="204">
        <v>77.599999999999994</v>
      </c>
      <c r="CY31" s="81">
        <v>337769</v>
      </c>
      <c r="CZ31" s="81" t="s">
        <v>505</v>
      </c>
      <c r="DA31" s="81" t="s">
        <v>510</v>
      </c>
      <c r="DE31" s="81" t="s">
        <v>389</v>
      </c>
      <c r="DF31" s="81" t="s">
        <v>390</v>
      </c>
      <c r="DG31" s="81" t="str">
        <f t="shared" si="13"/>
        <v>f1D</v>
      </c>
      <c r="DH31" s="81" t="s">
        <v>434</v>
      </c>
      <c r="DI31" s="204">
        <f t="shared" si="14"/>
        <v>0.06</v>
      </c>
      <c r="DJ31" s="81" t="s">
        <v>392</v>
      </c>
      <c r="DK31" s="81" t="s">
        <v>415</v>
      </c>
      <c r="DL31" s="288">
        <f t="shared" si="0"/>
        <v>15219117.000000004</v>
      </c>
      <c r="DM31" s="288">
        <f t="shared" si="1"/>
        <v>5640000</v>
      </c>
      <c r="DN31" s="288">
        <f t="shared" si="2"/>
        <v>11000000</v>
      </c>
      <c r="DP31" s="290" t="s">
        <v>506</v>
      </c>
      <c r="DQ31" s="290" t="s">
        <v>556</v>
      </c>
      <c r="DR31" s="291">
        <v>5.7299999999999997E-2</v>
      </c>
      <c r="DS31" s="291">
        <v>4.5799999999999999E-3</v>
      </c>
      <c r="DT31" s="290">
        <v>12.51</v>
      </c>
      <c r="DU31" s="290" t="s">
        <v>509</v>
      </c>
      <c r="DV31" s="291">
        <v>2E-16</v>
      </c>
      <c r="DW31" s="81" t="s">
        <v>510</v>
      </c>
      <c r="DZ31" s="292"/>
    </row>
    <row r="32" spans="1:132" ht="15" customHeight="1" thickTop="1" thickBot="1" x14ac:dyDescent="0.3">
      <c r="K32" s="81"/>
      <c r="L32" s="81"/>
      <c r="M32" s="81"/>
      <c r="P32" s="69" t="s">
        <v>106</v>
      </c>
      <c r="Q32" s="70">
        <f>SUM(Q6:Q9)+SUM(Q10:Q13)+0.5*Q14+Q16+SUM(Q17:Q24)+Q25</f>
        <v>197.73338977574855</v>
      </c>
      <c r="R32" s="69" t="s">
        <v>107</v>
      </c>
      <c r="W32" s="237"/>
      <c r="X32" s="219" t="s">
        <v>80</v>
      </c>
      <c r="Y32" s="219">
        <v>0.02</v>
      </c>
      <c r="Z32" s="219">
        <v>0.6</v>
      </c>
      <c r="AA32" s="219">
        <v>975</v>
      </c>
      <c r="AB32" s="219">
        <v>840</v>
      </c>
      <c r="AC32" s="269">
        <f>Y32/Z32</f>
        <v>3.3333333333333333E-2</v>
      </c>
      <c r="AD32" s="242">
        <f>Y32*AA32*AB32</f>
        <v>16380</v>
      </c>
      <c r="AE32" s="14"/>
      <c r="AF32" s="14"/>
      <c r="AG32" s="14"/>
      <c r="AL32" s="154" t="s">
        <v>389</v>
      </c>
      <c r="AM32" s="81" t="s">
        <v>390</v>
      </c>
      <c r="AN32" s="81" t="s">
        <v>415</v>
      </c>
      <c r="AO32" s="204">
        <f>SUM(T28)</f>
        <v>15219117.000000004</v>
      </c>
      <c r="AP32" s="81" t="s">
        <v>392</v>
      </c>
      <c r="AQ32" s="204">
        <v>5640000</v>
      </c>
      <c r="AU32" s="205" t="s">
        <v>389</v>
      </c>
      <c r="AV32" s="205" t="s">
        <v>390</v>
      </c>
      <c r="AW32" s="205" t="s">
        <v>415</v>
      </c>
      <c r="AX32" s="207" t="s">
        <v>434</v>
      </c>
      <c r="AY32" s="206">
        <f t="shared" si="3"/>
        <v>11000000</v>
      </c>
      <c r="AZ32" s="205" t="s">
        <v>392</v>
      </c>
      <c r="BI32" s="81" t="s">
        <v>281</v>
      </c>
      <c r="BJ32" s="81">
        <f>BJ4+BJ5</f>
        <v>76.878451543637965</v>
      </c>
      <c r="BP32" s="154" t="s">
        <v>389</v>
      </c>
      <c r="BQ32" s="81" t="s">
        <v>390</v>
      </c>
      <c r="BR32" s="81" t="s">
        <v>415</v>
      </c>
      <c r="BS32" s="204">
        <f t="shared" si="20"/>
        <v>5640000</v>
      </c>
      <c r="BT32" s="81" t="s">
        <v>392</v>
      </c>
      <c r="BU32" s="204">
        <v>5640000</v>
      </c>
      <c r="BY32" s="211">
        <f>CN18</f>
        <v>11000000</v>
      </c>
      <c r="BZ32" s="211"/>
      <c r="CA32" s="81" t="s">
        <v>488</v>
      </c>
      <c r="CB32" s="204">
        <v>-5.75</v>
      </c>
      <c r="CC32" s="204">
        <v>2.35E-2</v>
      </c>
      <c r="CG32" s="81" t="s">
        <v>486</v>
      </c>
      <c r="CH32" s="204">
        <v>259</v>
      </c>
      <c r="CI32" s="204">
        <v>2.63</v>
      </c>
      <c r="CJ32" s="81">
        <v>98.59</v>
      </c>
      <c r="CK32" s="81" t="s">
        <v>505</v>
      </c>
      <c r="CU32" s="212" t="s">
        <v>506</v>
      </c>
      <c r="CV32" s="81" t="s">
        <v>415</v>
      </c>
      <c r="CW32" s="204">
        <v>5730000</v>
      </c>
      <c r="CX32" s="204">
        <v>26.3</v>
      </c>
      <c r="CY32" s="81">
        <v>218218</v>
      </c>
      <c r="CZ32" s="81" t="s">
        <v>505</v>
      </c>
      <c r="DA32" s="81" t="s">
        <v>510</v>
      </c>
      <c r="DE32" s="81" t="s">
        <v>389</v>
      </c>
      <c r="DF32" s="81" t="s">
        <v>390</v>
      </c>
      <c r="DG32" s="81" t="str">
        <f t="shared" si="13"/>
        <v>f1N</v>
      </c>
      <c r="DH32" s="81" t="s">
        <v>434</v>
      </c>
      <c r="DI32" s="204">
        <f t="shared" si="14"/>
        <v>0.16</v>
      </c>
      <c r="DJ32" s="81" t="s">
        <v>392</v>
      </c>
      <c r="DK32" s="81" t="s">
        <v>416</v>
      </c>
      <c r="DL32" s="286">
        <f t="shared" si="0"/>
        <v>0.15087387547806697</v>
      </c>
      <c r="DM32" s="286">
        <f t="shared" si="1"/>
        <v>0.33200000000000002</v>
      </c>
      <c r="DN32" s="286">
        <f t="shared" si="2"/>
        <v>0.19700000000000001</v>
      </c>
      <c r="DP32" s="290" t="s">
        <v>506</v>
      </c>
      <c r="DQ32" s="290" t="s">
        <v>298</v>
      </c>
      <c r="DR32" s="291">
        <v>350000000</v>
      </c>
      <c r="DS32" s="291">
        <v>11400000</v>
      </c>
      <c r="DT32" s="290">
        <v>30.66</v>
      </c>
      <c r="DU32" s="290" t="s">
        <v>509</v>
      </c>
      <c r="DV32" s="291">
        <v>2E-16</v>
      </c>
      <c r="DW32" s="81" t="s">
        <v>510</v>
      </c>
      <c r="DX32" s="212" t="s">
        <v>568</v>
      </c>
      <c r="DY32" s="295" t="s">
        <v>589</v>
      </c>
      <c r="DZ32" s="292" t="s">
        <v>434</v>
      </c>
      <c r="EA32" s="293">
        <f>DR47</f>
        <v>99.8</v>
      </c>
      <c r="EB32" s="212" t="s">
        <v>392</v>
      </c>
    </row>
    <row r="33" spans="1:132" ht="15" customHeight="1" thickTop="1" thickBot="1" x14ac:dyDescent="0.3">
      <c r="A33" s="72" t="s">
        <v>109</v>
      </c>
      <c r="B33" s="72" t="s">
        <v>110</v>
      </c>
      <c r="C33" s="72"/>
      <c r="D33" s="72" t="s">
        <v>111</v>
      </c>
      <c r="E33" s="344" t="s">
        <v>112</v>
      </c>
      <c r="F33" s="345"/>
      <c r="G33" s="72" t="s">
        <v>113</v>
      </c>
      <c r="K33" s="81"/>
      <c r="L33" s="81"/>
      <c r="M33" s="81"/>
      <c r="P33" s="81"/>
      <c r="Q33" s="81"/>
      <c r="W33" s="221"/>
      <c r="X33" s="221"/>
      <c r="Y33" s="221"/>
      <c r="Z33" s="221"/>
      <c r="AA33" s="221"/>
      <c r="AB33" s="221"/>
      <c r="AC33" s="268"/>
      <c r="AD33" s="221"/>
      <c r="AE33" s="14"/>
      <c r="AF33" s="14"/>
      <c r="AG33" s="14"/>
      <c r="AL33" s="154" t="s">
        <v>389</v>
      </c>
      <c r="AM33" s="81" t="s">
        <v>390</v>
      </c>
      <c r="AN33" s="81" t="s">
        <v>416</v>
      </c>
      <c r="AO33" s="81">
        <f>AO26*0.3</f>
        <v>0.15087387547806697</v>
      </c>
      <c r="AP33" s="81" t="s">
        <v>392</v>
      </c>
      <c r="AQ33" s="204">
        <v>0.33200000000000002</v>
      </c>
      <c r="AU33" s="205" t="s">
        <v>389</v>
      </c>
      <c r="AV33" s="205" t="s">
        <v>390</v>
      </c>
      <c r="AW33" s="205" t="s">
        <v>416</v>
      </c>
      <c r="AX33" s="207" t="s">
        <v>434</v>
      </c>
      <c r="AY33" s="206">
        <f t="shared" si="3"/>
        <v>0.19700000000000001</v>
      </c>
      <c r="AZ33" s="205" t="s">
        <v>392</v>
      </c>
      <c r="BI33" s="81" t="s">
        <v>282</v>
      </c>
      <c r="BJ33" s="3">
        <f>BJ6+BJ7</f>
        <v>151.84</v>
      </c>
      <c r="BP33" s="154" t="s">
        <v>389</v>
      </c>
      <c r="BQ33" s="81" t="s">
        <v>390</v>
      </c>
      <c r="BR33" s="81" t="s">
        <v>416</v>
      </c>
      <c r="BS33" s="204">
        <f t="shared" si="20"/>
        <v>0.33200000000000002</v>
      </c>
      <c r="BT33" s="81" t="s">
        <v>392</v>
      </c>
      <c r="BU33" s="204">
        <v>0.33200000000000002</v>
      </c>
      <c r="BY33" s="211">
        <f>CN23</f>
        <v>0.19700000000000001</v>
      </c>
      <c r="BZ33" s="211"/>
      <c r="CA33" s="81" t="s">
        <v>489</v>
      </c>
      <c r="CB33" s="204">
        <v>-6.06</v>
      </c>
      <c r="CC33" s="204">
        <v>2.58E-2</v>
      </c>
      <c r="CG33" s="81" t="s">
        <v>487</v>
      </c>
      <c r="CH33" s="204">
        <v>197</v>
      </c>
      <c r="CI33" s="204">
        <v>1.44</v>
      </c>
      <c r="CJ33" s="81">
        <v>136.51</v>
      </c>
      <c r="CK33" s="81" t="s">
        <v>505</v>
      </c>
      <c r="CM33" s="81" t="s">
        <v>490</v>
      </c>
      <c r="CN33" s="204">
        <v>-5.83</v>
      </c>
      <c r="CO33" s="204">
        <v>2.98E-2</v>
      </c>
      <c r="CP33" s="81">
        <v>-195.34</v>
      </c>
      <c r="CQ33" s="81" t="s">
        <v>509</v>
      </c>
      <c r="CR33" s="204">
        <v>2E-16</v>
      </c>
      <c r="CS33" s="81" t="s">
        <v>510</v>
      </c>
      <c r="CU33" s="212" t="s">
        <v>506</v>
      </c>
      <c r="CV33" s="81" t="s">
        <v>414</v>
      </c>
      <c r="CW33" s="204">
        <v>5800000</v>
      </c>
      <c r="CX33" s="204">
        <v>19.399999999999999</v>
      </c>
      <c r="CY33" s="81">
        <v>298526</v>
      </c>
      <c r="CZ33" s="81" t="s">
        <v>505</v>
      </c>
      <c r="DA33" s="81" t="s">
        <v>510</v>
      </c>
      <c r="DE33" s="81" t="s">
        <v>389</v>
      </c>
      <c r="DF33" s="81" t="s">
        <v>390</v>
      </c>
      <c r="DG33" s="81" t="str">
        <f t="shared" si="13"/>
        <v>f2N</v>
      </c>
      <c r="DH33" s="81" t="s">
        <v>434</v>
      </c>
      <c r="DI33" s="204">
        <f t="shared" si="14"/>
        <v>5.2999999999999999E-2</v>
      </c>
      <c r="DJ33" s="81" t="s">
        <v>392</v>
      </c>
      <c r="DK33" s="81" t="s">
        <v>417</v>
      </c>
      <c r="DL33" s="286">
        <f t="shared" si="0"/>
        <v>6.2673420249910961E-2</v>
      </c>
      <c r="DM33" s="286">
        <f t="shared" si="1"/>
        <v>6.88E-2</v>
      </c>
      <c r="DN33" s="286">
        <f t="shared" si="2"/>
        <v>4.9399999999999999E-2</v>
      </c>
      <c r="DP33" s="290" t="s">
        <v>506</v>
      </c>
      <c r="DQ33" s="290" t="s">
        <v>294</v>
      </c>
      <c r="DR33" s="291">
        <v>8580000</v>
      </c>
      <c r="DS33" s="291">
        <v>78800</v>
      </c>
      <c r="DT33" s="290">
        <v>108.92</v>
      </c>
      <c r="DU33" s="290" t="s">
        <v>509</v>
      </c>
      <c r="DV33" s="291">
        <v>2E-16</v>
      </c>
      <c r="DW33" s="81" t="s">
        <v>510</v>
      </c>
      <c r="DX33" s="212" t="s">
        <v>568</v>
      </c>
      <c r="DY33" s="295" t="s">
        <v>405</v>
      </c>
      <c r="DZ33" s="292" t="s">
        <v>434</v>
      </c>
      <c r="EA33" s="293">
        <f t="shared" ref="EA33:EA35" si="28">DR48</f>
        <v>146</v>
      </c>
      <c r="EB33" s="212" t="s">
        <v>392</v>
      </c>
    </row>
    <row r="34" spans="1:132" ht="15" customHeight="1" thickTop="1" thickBot="1" x14ac:dyDescent="0.3">
      <c r="A34" s="73">
        <v>1</v>
      </c>
      <c r="B34" s="74">
        <f>B7*3.5</f>
        <v>361.90000000000003</v>
      </c>
      <c r="C34" s="73"/>
      <c r="D34" s="73" t="s">
        <v>42</v>
      </c>
      <c r="E34" s="195">
        <v>21</v>
      </c>
      <c r="F34" s="195"/>
      <c r="G34" s="76">
        <f>VLOOKUP(D34,A6:B22,2,0)</f>
        <v>103.4</v>
      </c>
      <c r="K34" s="81"/>
      <c r="L34" s="81"/>
      <c r="M34" s="81"/>
      <c r="P34" s="81">
        <f>25+13+18</f>
        <v>56</v>
      </c>
      <c r="Q34" s="81"/>
      <c r="W34" s="258"/>
      <c r="X34" s="258"/>
      <c r="Y34" s="259"/>
      <c r="Z34" s="259"/>
      <c r="AA34" s="259"/>
      <c r="AB34" s="258"/>
      <c r="AC34" s="258"/>
      <c r="AD34" s="258"/>
      <c r="AE34" s="14"/>
      <c r="AF34" s="14"/>
      <c r="AG34" s="14"/>
      <c r="AL34" s="154" t="s">
        <v>389</v>
      </c>
      <c r="AM34" s="81" t="s">
        <v>390</v>
      </c>
      <c r="AN34" s="81" t="s">
        <v>417</v>
      </c>
      <c r="AO34" s="81">
        <f>AO27*0.3</f>
        <v>6.2673420249910961E-2</v>
      </c>
      <c r="AP34" s="81" t="s">
        <v>392</v>
      </c>
      <c r="AQ34" s="204">
        <v>6.88E-2</v>
      </c>
      <c r="AU34" s="205" t="s">
        <v>389</v>
      </c>
      <c r="AV34" s="205" t="s">
        <v>390</v>
      </c>
      <c r="AW34" s="205" t="s">
        <v>417</v>
      </c>
      <c r="AX34" s="207" t="s">
        <v>434</v>
      </c>
      <c r="AY34" s="206">
        <f t="shared" si="3"/>
        <v>4.9399999999999999E-2</v>
      </c>
      <c r="AZ34" s="205" t="s">
        <v>392</v>
      </c>
      <c r="BI34" s="81" t="s">
        <v>291</v>
      </c>
      <c r="BJ34" s="204">
        <f>BJ10+BJ9</f>
        <v>37713435.000000007</v>
      </c>
      <c r="BP34" s="154" t="s">
        <v>389</v>
      </c>
      <c r="BQ34" s="81" t="s">
        <v>390</v>
      </c>
      <c r="BR34" s="81" t="s">
        <v>417</v>
      </c>
      <c r="BS34" s="204">
        <f t="shared" si="20"/>
        <v>6.88E-2</v>
      </c>
      <c r="BT34" s="81" t="s">
        <v>392</v>
      </c>
      <c r="BU34" s="204">
        <v>6.88E-2</v>
      </c>
      <c r="BY34" s="211">
        <f>CN24</f>
        <v>4.9399999999999999E-2</v>
      </c>
      <c r="BZ34" s="211"/>
      <c r="CA34" s="81" t="s">
        <v>490</v>
      </c>
      <c r="CB34" s="204">
        <v>-6.94</v>
      </c>
      <c r="CC34" s="204">
        <v>3.6200000000000003E-2</v>
      </c>
      <c r="CG34" s="81" t="s">
        <v>285</v>
      </c>
      <c r="CH34" s="204">
        <v>487</v>
      </c>
      <c r="CI34" s="204">
        <v>2.62</v>
      </c>
      <c r="CJ34" s="81">
        <v>186.01</v>
      </c>
      <c r="CK34" s="81" t="s">
        <v>505</v>
      </c>
      <c r="CM34" s="81" t="s">
        <v>491</v>
      </c>
      <c r="CN34" s="204">
        <v>-5.45</v>
      </c>
      <c r="CO34" s="204">
        <v>2.8299999999999999E-2</v>
      </c>
      <c r="CP34" s="81">
        <v>-192.79</v>
      </c>
      <c r="CQ34" s="81" t="s">
        <v>509</v>
      </c>
      <c r="CR34" s="204">
        <v>2E-16</v>
      </c>
      <c r="CS34" s="81" t="s">
        <v>510</v>
      </c>
      <c r="CU34" s="212" t="s">
        <v>506</v>
      </c>
      <c r="CV34" s="81" t="s">
        <v>476</v>
      </c>
      <c r="CW34" s="204">
        <v>-10</v>
      </c>
      <c r="CX34" s="204">
        <v>2.1000000000000001E-4</v>
      </c>
      <c r="CY34" s="81">
        <v>-47558</v>
      </c>
      <c r="CZ34" s="81" t="s">
        <v>505</v>
      </c>
      <c r="DA34" s="81" t="s">
        <v>510</v>
      </c>
      <c r="DE34" s="81" t="s">
        <v>389</v>
      </c>
      <c r="DF34" s="81" t="s">
        <v>390</v>
      </c>
      <c r="DG34" s="81" t="str">
        <f t="shared" si="13"/>
        <v>f3D</v>
      </c>
      <c r="DH34" s="81" t="s">
        <v>434</v>
      </c>
      <c r="DI34" s="204">
        <f t="shared" si="14"/>
        <v>0.65</v>
      </c>
      <c r="DJ34" s="81" t="s">
        <v>392</v>
      </c>
      <c r="DK34" s="81" t="s">
        <v>418</v>
      </c>
      <c r="DL34" s="286">
        <f t="shared" si="0"/>
        <v>0.71386007153585307</v>
      </c>
      <c r="DM34" s="286">
        <f t="shared" si="1"/>
        <v>0.46100000000000002</v>
      </c>
      <c r="DN34" s="286">
        <f t="shared" si="2"/>
        <v>0.59799999999999998</v>
      </c>
      <c r="DP34" s="290" t="s">
        <v>506</v>
      </c>
      <c r="DQ34" s="290" t="s">
        <v>475</v>
      </c>
      <c r="DR34" s="291">
        <v>1770000</v>
      </c>
      <c r="DS34" s="291">
        <v>13300</v>
      </c>
      <c r="DT34" s="290">
        <v>133.11000000000001</v>
      </c>
      <c r="DU34" s="290" t="s">
        <v>509</v>
      </c>
      <c r="DV34" s="291">
        <v>2E-16</v>
      </c>
      <c r="DW34" s="81" t="s">
        <v>510</v>
      </c>
      <c r="DX34" s="212" t="s">
        <v>568</v>
      </c>
      <c r="DY34" s="296" t="s">
        <v>406</v>
      </c>
      <c r="DZ34" s="292" t="s">
        <v>434</v>
      </c>
      <c r="EA34" s="293">
        <f t="shared" si="28"/>
        <v>243</v>
      </c>
      <c r="EB34" s="212" t="s">
        <v>392</v>
      </c>
    </row>
    <row r="35" spans="1:132" ht="15" customHeight="1" thickTop="1" thickBot="1" x14ac:dyDescent="0.3">
      <c r="A35" s="73">
        <v>2</v>
      </c>
      <c r="B35" s="74">
        <f>B4-B34</f>
        <v>253.99999999999994</v>
      </c>
      <c r="C35" s="73"/>
      <c r="D35" s="73" t="s">
        <v>116</v>
      </c>
      <c r="E35" s="77">
        <v>18</v>
      </c>
      <c r="F35" s="77"/>
      <c r="G35" s="76">
        <f>VLOOKUP(D35,A7:B23,2,0)</f>
        <v>120.6</v>
      </c>
      <c r="K35" s="81"/>
      <c r="L35" s="81"/>
      <c r="M35" s="81" t="s">
        <v>114</v>
      </c>
      <c r="N35" s="3">
        <f>SUM(Q6:Q9,Q15,Q17:Q20,Q25)</f>
        <v>81.576989504837599</v>
      </c>
      <c r="O35" s="3"/>
      <c r="P35" s="81">
        <f>P34/5</f>
        <v>11.2</v>
      </c>
      <c r="Q35" s="81"/>
      <c r="W35" s="260" t="s">
        <v>115</v>
      </c>
      <c r="X35" s="261"/>
      <c r="Y35" s="262" t="s">
        <v>21</v>
      </c>
      <c r="Z35" s="275">
        <v>2</v>
      </c>
      <c r="AA35" s="261" t="s">
        <v>5</v>
      </c>
      <c r="AB35" s="261"/>
      <c r="AC35" s="261" t="s">
        <v>22</v>
      </c>
      <c r="AD35" s="264">
        <f>SUM(AD36:AD37)</f>
        <v>0</v>
      </c>
      <c r="AE35" s="14" t="s">
        <v>23</v>
      </c>
      <c r="AF35" s="14">
        <f>SUM(AD37:AD38)</f>
        <v>0</v>
      </c>
      <c r="AG35" s="14"/>
      <c r="AL35" s="154" t="s">
        <v>389</v>
      </c>
      <c r="AM35" s="81" t="s">
        <v>390</v>
      </c>
      <c r="AN35" s="81" t="s">
        <v>418</v>
      </c>
      <c r="AO35" s="81">
        <f>AO28*0.3+0.7</f>
        <v>0.71386007153585307</v>
      </c>
      <c r="AP35" s="81" t="s">
        <v>392</v>
      </c>
      <c r="AQ35" s="204">
        <v>0.46100000000000002</v>
      </c>
      <c r="AU35" s="205" t="s">
        <v>389</v>
      </c>
      <c r="AV35" s="205" t="s">
        <v>390</v>
      </c>
      <c r="AW35" s="205" t="s">
        <v>418</v>
      </c>
      <c r="AX35" s="207" t="s">
        <v>434</v>
      </c>
      <c r="AY35" s="206">
        <f t="shared" si="3"/>
        <v>0.59799999999999998</v>
      </c>
      <c r="AZ35" s="205" t="s">
        <v>392</v>
      </c>
      <c r="BI35" s="81" t="s">
        <v>285</v>
      </c>
      <c r="BJ35" s="81">
        <f>BJ15+BJ14</f>
        <v>994.57234726688114</v>
      </c>
      <c r="BP35" s="154" t="s">
        <v>389</v>
      </c>
      <c r="BQ35" s="81" t="s">
        <v>390</v>
      </c>
      <c r="BR35" s="81" t="s">
        <v>418</v>
      </c>
      <c r="BS35" s="204">
        <f t="shared" si="20"/>
        <v>0.46100000000000002</v>
      </c>
      <c r="BT35" s="81" t="s">
        <v>392</v>
      </c>
      <c r="BU35" s="204">
        <v>0.46100000000000002</v>
      </c>
      <c r="BY35" s="211">
        <f>CN25</f>
        <v>0.59799999999999998</v>
      </c>
      <c r="BZ35" s="211"/>
      <c r="CA35" s="81" t="s">
        <v>491</v>
      </c>
      <c r="CB35" s="204">
        <v>-6</v>
      </c>
      <c r="CC35" s="204">
        <v>2.3599999999999999E-2</v>
      </c>
      <c r="CG35" s="81" t="s">
        <v>120</v>
      </c>
      <c r="CH35" s="204">
        <v>274</v>
      </c>
      <c r="CI35" s="204">
        <v>1.37</v>
      </c>
      <c r="CJ35" s="81">
        <v>200.04</v>
      </c>
      <c r="CK35" s="81" t="s">
        <v>505</v>
      </c>
      <c r="CM35" s="81" t="s">
        <v>493</v>
      </c>
      <c r="CN35" s="204">
        <v>3.5699999999999998E-3</v>
      </c>
      <c r="CO35" s="204">
        <v>1.0900000000000001E-4</v>
      </c>
      <c r="CP35" s="81">
        <v>32.700000000000003</v>
      </c>
      <c r="CQ35" s="81" t="s">
        <v>509</v>
      </c>
      <c r="CR35" s="204">
        <v>2E-16</v>
      </c>
      <c r="CS35" s="81" t="s">
        <v>510</v>
      </c>
      <c r="CU35" s="212" t="s">
        <v>506</v>
      </c>
      <c r="CV35" s="81" t="s">
        <v>477</v>
      </c>
      <c r="CW35" s="204">
        <v>-10</v>
      </c>
      <c r="CX35" s="204">
        <v>2.1000000000000001E-4</v>
      </c>
      <c r="CY35" s="81">
        <v>-47558</v>
      </c>
      <c r="CZ35" s="81" t="s">
        <v>505</v>
      </c>
      <c r="DA35" s="81" t="s">
        <v>510</v>
      </c>
      <c r="DE35" s="81" t="s">
        <v>389</v>
      </c>
      <c r="DF35" s="81" t="s">
        <v>390</v>
      </c>
      <c r="DG35" s="81" t="str">
        <f t="shared" si="13"/>
        <v>f3N</v>
      </c>
      <c r="DH35" s="81" t="s">
        <v>434</v>
      </c>
      <c r="DI35" s="204">
        <f t="shared" si="14"/>
        <v>0.64500000000000002</v>
      </c>
      <c r="DJ35" s="81" t="s">
        <v>392</v>
      </c>
      <c r="DL35" s="287">
        <f t="shared" si="0"/>
        <v>0</v>
      </c>
      <c r="DM35" s="287">
        <f t="shared" si="1"/>
        <v>0</v>
      </c>
      <c r="DN35" s="287">
        <f t="shared" si="2"/>
        <v>0</v>
      </c>
      <c r="DP35" s="290" t="s">
        <v>506</v>
      </c>
      <c r="DQ35" s="290" t="s">
        <v>291</v>
      </c>
      <c r="DR35" s="291">
        <v>7340000</v>
      </c>
      <c r="DS35" s="291">
        <v>88600</v>
      </c>
      <c r="DT35" s="290">
        <v>82.88</v>
      </c>
      <c r="DU35" s="290" t="s">
        <v>509</v>
      </c>
      <c r="DV35" s="291">
        <v>2E-16</v>
      </c>
      <c r="DW35" s="81" t="s">
        <v>510</v>
      </c>
      <c r="DX35" s="212" t="s">
        <v>568</v>
      </c>
      <c r="DY35" s="296" t="s">
        <v>407</v>
      </c>
      <c r="DZ35" s="292" t="s">
        <v>434</v>
      </c>
      <c r="EA35" s="293">
        <f t="shared" si="28"/>
        <v>75.3</v>
      </c>
      <c r="EB35" s="212" t="s">
        <v>392</v>
      </c>
    </row>
    <row r="36" spans="1:132" ht="15" customHeight="1" thickTop="1" thickBot="1" x14ac:dyDescent="0.3">
      <c r="A36" s="73">
        <v>3</v>
      </c>
      <c r="B36" s="74">
        <f>G36*2</f>
        <v>0</v>
      </c>
      <c r="C36" s="73"/>
      <c r="D36" s="73" t="s">
        <v>118</v>
      </c>
      <c r="E36" s="346" t="s">
        <v>119</v>
      </c>
      <c r="F36" s="340"/>
      <c r="G36" s="76">
        <f>B17</f>
        <v>0</v>
      </c>
      <c r="K36" s="81"/>
      <c r="L36" s="81"/>
      <c r="M36" s="81" t="s">
        <v>117</v>
      </c>
      <c r="N36" s="3">
        <f>SUM(Q10:Q13,Q21:Q24)</f>
        <v>68.2</v>
      </c>
      <c r="P36" s="81"/>
      <c r="Q36" s="81"/>
      <c r="W36" s="271"/>
      <c r="X36" s="272" t="s">
        <v>16</v>
      </c>
      <c r="Y36" s="272">
        <v>1.361</v>
      </c>
      <c r="Z36" s="272" t="s">
        <v>5</v>
      </c>
      <c r="AA36" s="272"/>
      <c r="AB36" s="272" t="s">
        <v>608</v>
      </c>
      <c r="AC36" s="272">
        <f>(Z35-(1-AC37)*Y36)/0.25</f>
        <v>3.9169999999999998</v>
      </c>
      <c r="AD36" s="276"/>
      <c r="AE36" s="14"/>
      <c r="AF36" s="14"/>
      <c r="AG36" s="14"/>
      <c r="AP36" s="81" t="s">
        <v>392</v>
      </c>
      <c r="AU36" s="205"/>
      <c r="AV36" s="205"/>
      <c r="AW36" s="205"/>
      <c r="AX36" s="207"/>
      <c r="AZ36" s="205"/>
      <c r="BI36" s="81" t="s">
        <v>457</v>
      </c>
      <c r="BJ36" s="3">
        <f>BJ32+BJ33</f>
        <v>228.71845154363797</v>
      </c>
      <c r="BS36" s="204"/>
      <c r="BT36" s="81" t="s">
        <v>392</v>
      </c>
      <c r="BY36" s="211"/>
      <c r="BZ36" s="211"/>
      <c r="CA36" s="81" t="s">
        <v>492</v>
      </c>
      <c r="CB36" s="204">
        <v>-6.6</v>
      </c>
      <c r="CC36" s="204">
        <v>2.63E-2</v>
      </c>
      <c r="CG36" s="81" t="s">
        <v>488</v>
      </c>
      <c r="CH36" s="204">
        <v>-5.75</v>
      </c>
      <c r="CI36" s="204">
        <v>2.35E-2</v>
      </c>
      <c r="CJ36" s="81">
        <v>-244.53</v>
      </c>
      <c r="CK36" s="81" t="s">
        <v>505</v>
      </c>
      <c r="CM36" s="81" t="s">
        <v>494</v>
      </c>
      <c r="CN36" s="204">
        <v>186</v>
      </c>
      <c r="CO36" s="204">
        <v>2.46</v>
      </c>
      <c r="CP36" s="81">
        <v>75.599999999999994</v>
      </c>
      <c r="CQ36" s="81" t="s">
        <v>509</v>
      </c>
      <c r="CR36" s="204">
        <v>2E-16</v>
      </c>
      <c r="CS36" s="81" t="s">
        <v>510</v>
      </c>
      <c r="CU36" s="212" t="s">
        <v>506</v>
      </c>
      <c r="CV36" s="81" t="s">
        <v>528</v>
      </c>
      <c r="CW36" s="204">
        <v>-10</v>
      </c>
      <c r="CX36" s="204">
        <v>2.1000000000000001E-4</v>
      </c>
      <c r="CY36" s="81">
        <v>-47558</v>
      </c>
      <c r="CZ36" s="81" t="s">
        <v>505</v>
      </c>
      <c r="DA36" s="81" t="s">
        <v>510</v>
      </c>
      <c r="DE36" s="81" t="s">
        <v>389</v>
      </c>
      <c r="DF36" s="81" t="s">
        <v>390</v>
      </c>
      <c r="DG36" s="81" t="str">
        <f t="shared" si="13"/>
        <v>f5D</v>
      </c>
      <c r="DH36" s="81" t="s">
        <v>434</v>
      </c>
      <c r="DI36" s="204">
        <f t="shared" si="14"/>
        <v>7.0000000000000007E-2</v>
      </c>
      <c r="DJ36" s="81" t="s">
        <v>392</v>
      </c>
      <c r="DK36" s="81" t="s">
        <v>419</v>
      </c>
      <c r="DL36" s="289">
        <f t="shared" si="0"/>
        <v>389.11338226990404</v>
      </c>
      <c r="DM36" s="289">
        <f t="shared" si="1"/>
        <v>467</v>
      </c>
      <c r="DN36" s="289">
        <f t="shared" si="2"/>
        <v>194</v>
      </c>
      <c r="DP36" s="290" t="s">
        <v>506</v>
      </c>
      <c r="DQ36" s="290" t="s">
        <v>293</v>
      </c>
      <c r="DR36" s="291">
        <v>9650000</v>
      </c>
      <c r="DS36" s="291">
        <v>53200</v>
      </c>
      <c r="DT36" s="290">
        <v>181.27</v>
      </c>
      <c r="DU36" s="290" t="s">
        <v>509</v>
      </c>
      <c r="DV36" s="291">
        <v>2E-16</v>
      </c>
      <c r="DW36" s="81" t="s">
        <v>510</v>
      </c>
      <c r="DX36" s="212" t="s">
        <v>568</v>
      </c>
      <c r="DY36" s="297" t="s">
        <v>409</v>
      </c>
      <c r="DZ36" s="292" t="s">
        <v>434</v>
      </c>
      <c r="EA36" s="293">
        <f>DR59</f>
        <v>32.5</v>
      </c>
      <c r="EB36" s="212" t="s">
        <v>392</v>
      </c>
    </row>
    <row r="37" spans="1:132" ht="15" customHeight="1" thickTop="1" thickBot="1" x14ac:dyDescent="0.3">
      <c r="K37" s="81"/>
      <c r="L37" s="81"/>
      <c r="M37" s="81" t="s">
        <v>120</v>
      </c>
      <c r="N37" s="3">
        <f>'Verwarming Tabula'!B60</f>
        <v>138.03320000000002</v>
      </c>
      <c r="P37" s="81"/>
      <c r="Q37" s="81"/>
      <c r="W37" s="237"/>
      <c r="X37" s="219" t="s">
        <v>121</v>
      </c>
      <c r="Y37" s="219">
        <v>0.47</v>
      </c>
      <c r="Z37" s="219"/>
      <c r="AA37" s="219"/>
      <c r="AB37" s="219" t="s">
        <v>607</v>
      </c>
      <c r="AC37" s="219">
        <v>0.25</v>
      </c>
      <c r="AD37" s="242"/>
      <c r="AE37" s="14"/>
      <c r="AF37" s="14"/>
      <c r="AG37" s="14"/>
      <c r="AL37" s="154" t="s">
        <v>389</v>
      </c>
      <c r="AM37" s="81" t="s">
        <v>390</v>
      </c>
      <c r="AN37" s="81" t="s">
        <v>419</v>
      </c>
      <c r="AO37" s="81">
        <f>SUM(N17:N20)*(1/(SUM(AC18:AC19)*0.5+1/8))+N25*(1/(SUM(AC9:AC10)*0.5+1/8))</f>
        <v>389.11338226990404</v>
      </c>
      <c r="AP37" s="81" t="s">
        <v>392</v>
      </c>
      <c r="AQ37" s="204">
        <v>467</v>
      </c>
      <c r="AU37" s="205" t="s">
        <v>389</v>
      </c>
      <c r="AV37" s="205" t="s">
        <v>390</v>
      </c>
      <c r="AW37" s="205" t="s">
        <v>419</v>
      </c>
      <c r="AX37" s="207" t="s">
        <v>434</v>
      </c>
      <c r="AY37" s="206">
        <f t="shared" si="3"/>
        <v>194</v>
      </c>
      <c r="AZ37" s="205" t="s">
        <v>392</v>
      </c>
      <c r="BP37" s="154" t="s">
        <v>389</v>
      </c>
      <c r="BQ37" s="81" t="s">
        <v>390</v>
      </c>
      <c r="BR37" s="81" t="s">
        <v>419</v>
      </c>
      <c r="BS37" s="204">
        <f t="shared" si="20"/>
        <v>467</v>
      </c>
      <c r="BT37" s="81" t="s">
        <v>392</v>
      </c>
      <c r="BU37" s="204">
        <v>467</v>
      </c>
      <c r="BY37" s="211">
        <f>CN27</f>
        <v>194</v>
      </c>
      <c r="BZ37" s="211"/>
      <c r="CA37" s="81" t="s">
        <v>493</v>
      </c>
      <c r="CB37" s="204">
        <v>6.4400000000000004E-3</v>
      </c>
      <c r="CC37" s="204">
        <v>1.36E-4</v>
      </c>
      <c r="CG37" s="81" t="s">
        <v>489</v>
      </c>
      <c r="CH37" s="204">
        <v>-6.06</v>
      </c>
      <c r="CI37" s="204">
        <v>2.58E-2</v>
      </c>
      <c r="CJ37" s="81">
        <v>-234.52</v>
      </c>
      <c r="CK37" s="81" t="s">
        <v>505</v>
      </c>
      <c r="CM37" s="81" t="s">
        <v>495</v>
      </c>
      <c r="CN37" s="204">
        <v>761</v>
      </c>
      <c r="CO37" s="204">
        <v>784</v>
      </c>
      <c r="CP37" s="81">
        <v>0.97</v>
      </c>
      <c r="CQ37" s="81">
        <v>0.33200000000000002</v>
      </c>
      <c r="CU37" s="212" t="s">
        <v>506</v>
      </c>
      <c r="CV37" s="81" t="s">
        <v>529</v>
      </c>
      <c r="CW37" s="204">
        <v>-10</v>
      </c>
      <c r="CX37" s="204">
        <v>2.1000000000000001E-4</v>
      </c>
      <c r="CY37" s="81">
        <v>-47558</v>
      </c>
      <c r="CZ37" s="81" t="s">
        <v>505</v>
      </c>
      <c r="DA37" s="81" t="s">
        <v>510</v>
      </c>
      <c r="DE37" s="81" t="s">
        <v>389</v>
      </c>
      <c r="DF37" s="81" t="s">
        <v>390</v>
      </c>
      <c r="DG37" s="81" t="str">
        <f t="shared" si="13"/>
        <v>f5N</v>
      </c>
      <c r="DH37" s="81" t="s">
        <v>434</v>
      </c>
      <c r="DI37" s="204">
        <f t="shared" si="14"/>
        <v>0.13</v>
      </c>
      <c r="DJ37" s="81" t="s">
        <v>392</v>
      </c>
      <c r="DK37" s="81" t="s">
        <v>420</v>
      </c>
      <c r="DL37" s="289">
        <f t="shared" si="0"/>
        <v>535.47064768029406</v>
      </c>
      <c r="DM37" s="289">
        <f t="shared" si="1"/>
        <v>247</v>
      </c>
      <c r="DN37" s="289">
        <f t="shared" si="2"/>
        <v>83.2</v>
      </c>
      <c r="DP37" s="290" t="s">
        <v>506</v>
      </c>
      <c r="DQ37" s="290" t="s">
        <v>476</v>
      </c>
      <c r="DR37" s="291">
        <v>-6.13</v>
      </c>
      <c r="DS37" s="291">
        <v>4.6899999999999997E-2</v>
      </c>
      <c r="DT37" s="290">
        <v>-130.75</v>
      </c>
      <c r="DU37" s="290" t="s">
        <v>509</v>
      </c>
      <c r="DV37" s="291">
        <v>2E-16</v>
      </c>
      <c r="DW37" s="81" t="s">
        <v>510</v>
      </c>
      <c r="DX37" s="212" t="s">
        <v>568</v>
      </c>
      <c r="DY37" s="297" t="s">
        <v>408</v>
      </c>
      <c r="DZ37" s="292" t="s">
        <v>434</v>
      </c>
      <c r="EA37" s="293">
        <f>1/DR56</f>
        <v>26.109660574412533</v>
      </c>
      <c r="EB37" s="212" t="s">
        <v>392</v>
      </c>
    </row>
    <row r="38" spans="1:132" ht="15" customHeight="1" thickTop="1" thickBot="1" x14ac:dyDescent="0.3">
      <c r="B38" s="3"/>
      <c r="K38" s="81"/>
      <c r="L38" s="81"/>
      <c r="M38" s="81"/>
      <c r="N38" s="3"/>
      <c r="P38" s="81"/>
      <c r="Q38" s="81"/>
      <c r="W38" s="258"/>
      <c r="X38" s="258"/>
      <c r="Y38" s="258"/>
      <c r="Z38" s="258"/>
      <c r="AA38" s="258"/>
      <c r="AB38" s="258"/>
      <c r="AC38" s="258"/>
      <c r="AD38" s="258"/>
      <c r="AE38" s="14"/>
      <c r="AF38" s="14"/>
      <c r="AG38" s="14"/>
      <c r="AL38" s="154" t="s">
        <v>389</v>
      </c>
      <c r="AM38" s="81" t="s">
        <v>390</v>
      </c>
      <c r="AN38" s="81" t="s">
        <v>420</v>
      </c>
      <c r="AO38" s="81">
        <f>4*Z21*N28</f>
        <v>535.47064768029406</v>
      </c>
      <c r="AP38" s="81" t="s">
        <v>392</v>
      </c>
      <c r="AQ38" s="204">
        <v>247</v>
      </c>
      <c r="AU38" s="205" t="s">
        <v>389</v>
      </c>
      <c r="AV38" s="205" t="s">
        <v>390</v>
      </c>
      <c r="AW38" s="205" t="s">
        <v>420</v>
      </c>
      <c r="AX38" s="207" t="s">
        <v>434</v>
      </c>
      <c r="AY38" s="206">
        <f t="shared" si="3"/>
        <v>83.2</v>
      </c>
      <c r="AZ38" s="205" t="s">
        <v>392</v>
      </c>
      <c r="BP38" s="154" t="s">
        <v>389</v>
      </c>
      <c r="BQ38" s="81" t="s">
        <v>390</v>
      </c>
      <c r="BR38" s="81" t="s">
        <v>420</v>
      </c>
      <c r="BS38" s="204">
        <f t="shared" si="20"/>
        <v>247</v>
      </c>
      <c r="BT38" s="81" t="s">
        <v>392</v>
      </c>
      <c r="BU38" s="204">
        <v>247</v>
      </c>
      <c r="BY38" s="211">
        <f>CN28</f>
        <v>83.2</v>
      </c>
      <c r="BZ38" s="211"/>
      <c r="CA38" s="81" t="s">
        <v>494</v>
      </c>
      <c r="CB38" s="204">
        <v>143</v>
      </c>
      <c r="CC38" s="204">
        <v>1.36</v>
      </c>
      <c r="CG38" s="81" t="s">
        <v>490</v>
      </c>
      <c r="CH38" s="204">
        <v>-6.94</v>
      </c>
      <c r="CI38" s="204">
        <v>3.6200000000000003E-2</v>
      </c>
      <c r="CJ38" s="81">
        <v>-191.49</v>
      </c>
      <c r="CK38" s="81" t="s">
        <v>505</v>
      </c>
      <c r="CU38" s="212" t="s">
        <v>506</v>
      </c>
      <c r="CV38" s="81" t="s">
        <v>400</v>
      </c>
      <c r="CW38" s="204">
        <v>0.06</v>
      </c>
      <c r="CX38" s="204">
        <v>9.4099999999999997E-7</v>
      </c>
      <c r="CY38" s="81">
        <v>63794</v>
      </c>
      <c r="CZ38" s="81" t="s">
        <v>505</v>
      </c>
      <c r="DA38" s="81" t="s">
        <v>510</v>
      </c>
      <c r="DE38" s="81" t="s">
        <v>389</v>
      </c>
      <c r="DF38" s="81" t="s">
        <v>390</v>
      </c>
      <c r="DG38" s="81" t="str">
        <f t="shared" si="13"/>
        <v>hwD</v>
      </c>
      <c r="DH38" s="81" t="s">
        <v>434</v>
      </c>
      <c r="DI38" s="204">
        <f t="shared" si="14"/>
        <v>281</v>
      </c>
      <c r="DJ38" s="81" t="s">
        <v>392</v>
      </c>
      <c r="DK38" s="81" t="s">
        <v>421</v>
      </c>
      <c r="DL38" s="289">
        <f t="shared" si="0"/>
        <v>68.593521675596691</v>
      </c>
      <c r="DM38" s="289">
        <f t="shared" si="1"/>
        <v>82.5</v>
      </c>
      <c r="DN38" s="289">
        <f t="shared" si="2"/>
        <v>64.400000000000006</v>
      </c>
      <c r="DP38" s="290" t="s">
        <v>506</v>
      </c>
      <c r="DQ38" s="290" t="s">
        <v>477</v>
      </c>
      <c r="DR38" s="291">
        <v>-21.7</v>
      </c>
      <c r="DS38" s="291">
        <v>30.1</v>
      </c>
      <c r="DT38" s="290">
        <v>-0.72</v>
      </c>
      <c r="DU38" s="290">
        <v>0.47099999999999997</v>
      </c>
      <c r="DX38" s="212" t="s">
        <v>568</v>
      </c>
      <c r="DY38" s="294" t="s">
        <v>400</v>
      </c>
      <c r="DZ38" s="292" t="s">
        <v>434</v>
      </c>
      <c r="EA38" s="293">
        <f>DR42</f>
        <v>5.4300000000000001E-2</v>
      </c>
      <c r="EB38" s="212" t="s">
        <v>392</v>
      </c>
    </row>
    <row r="39" spans="1:132" ht="15" customHeight="1" thickTop="1" thickBot="1" x14ac:dyDescent="0.3">
      <c r="K39" s="81"/>
      <c r="L39" s="81"/>
      <c r="M39" s="81" t="s">
        <v>122</v>
      </c>
      <c r="N39" s="3">
        <f>B4*1.204*1012*5/1000000</f>
        <v>3.7522106159999993</v>
      </c>
      <c r="O39" s="81" t="s">
        <v>123</v>
      </c>
      <c r="Q39" s="81"/>
      <c r="W39" s="258"/>
      <c r="X39" s="258"/>
      <c r="Y39" s="259"/>
      <c r="Z39" s="259"/>
      <c r="AA39" s="259"/>
      <c r="AB39" s="258"/>
      <c r="AC39" s="258"/>
      <c r="AD39" s="258"/>
      <c r="AE39" s="14"/>
      <c r="AF39" s="14"/>
      <c r="AG39" s="14"/>
      <c r="AL39" s="154" t="s">
        <v>389</v>
      </c>
      <c r="AM39" s="81" t="s">
        <v>390</v>
      </c>
      <c r="AN39" s="81" t="s">
        <v>421</v>
      </c>
      <c r="AO39" s="3">
        <f>'Verwarming Tabula 2zone'!B139+SUM(Q21:Q24)</f>
        <v>68.593521675596691</v>
      </c>
      <c r="AP39" s="81" t="s">
        <v>392</v>
      </c>
      <c r="AQ39" s="204">
        <v>82.5</v>
      </c>
      <c r="AU39" s="205" t="s">
        <v>389</v>
      </c>
      <c r="AV39" s="205" t="s">
        <v>390</v>
      </c>
      <c r="AW39" s="205" t="s">
        <v>421</v>
      </c>
      <c r="AX39" s="207" t="s">
        <v>434</v>
      </c>
      <c r="AY39" s="206">
        <f t="shared" si="3"/>
        <v>64.400000000000006</v>
      </c>
      <c r="AZ39" s="205" t="s">
        <v>392</v>
      </c>
      <c r="BP39" s="154" t="s">
        <v>389</v>
      </c>
      <c r="BQ39" s="81" t="s">
        <v>390</v>
      </c>
      <c r="BR39" s="81" t="s">
        <v>421</v>
      </c>
      <c r="BS39" s="204">
        <f t="shared" si="20"/>
        <v>82.5</v>
      </c>
      <c r="BT39" s="81" t="s">
        <v>392</v>
      </c>
      <c r="BU39" s="204">
        <v>82.5</v>
      </c>
      <c r="BY39" s="211">
        <f>CN29</f>
        <v>64.400000000000006</v>
      </c>
      <c r="BZ39" s="211"/>
      <c r="CA39" s="81" t="s">
        <v>495</v>
      </c>
      <c r="CB39" s="204">
        <v>1.35E-4</v>
      </c>
      <c r="CC39" s="204">
        <v>1.1900000000000001E-3</v>
      </c>
      <c r="CG39" s="81" t="s">
        <v>491</v>
      </c>
      <c r="CH39" s="204">
        <v>-6</v>
      </c>
      <c r="CI39" s="204">
        <v>2.3599999999999999E-2</v>
      </c>
      <c r="CJ39" s="81">
        <v>-254.34</v>
      </c>
      <c r="CK39" s="81" t="s">
        <v>505</v>
      </c>
      <c r="CU39" s="212" t="s">
        <v>506</v>
      </c>
      <c r="CV39" s="81" t="s">
        <v>416</v>
      </c>
      <c r="CW39" s="204">
        <v>0.16</v>
      </c>
      <c r="CX39" s="204">
        <v>2.48E-6</v>
      </c>
      <c r="CY39" s="81">
        <v>64442</v>
      </c>
      <c r="CZ39" s="81" t="s">
        <v>505</v>
      </c>
      <c r="DA39" s="81" t="s">
        <v>510</v>
      </c>
      <c r="DE39" s="81" t="s">
        <v>389</v>
      </c>
      <c r="DF39" s="81" t="s">
        <v>390</v>
      </c>
      <c r="DG39" s="81" t="str">
        <f t="shared" si="13"/>
        <v>hwiD</v>
      </c>
      <c r="DH39" s="81" t="s">
        <v>434</v>
      </c>
      <c r="DI39" s="204">
        <f t="shared" si="14"/>
        <v>705</v>
      </c>
      <c r="DJ39" s="81" t="s">
        <v>392</v>
      </c>
      <c r="DK39" s="81" t="s">
        <v>422</v>
      </c>
      <c r="DL39" s="289">
        <f t="shared" si="0"/>
        <v>61.057331210422049</v>
      </c>
      <c r="DM39" s="289">
        <f t="shared" si="1"/>
        <v>171.23287671232879</v>
      </c>
      <c r="DN39" s="289">
        <f t="shared" si="2"/>
        <v>280.1120448179272</v>
      </c>
      <c r="DP39" s="290" t="s">
        <v>506</v>
      </c>
      <c r="DQ39" s="290" t="s">
        <v>478</v>
      </c>
      <c r="DR39" s="291">
        <v>-16.3</v>
      </c>
      <c r="DS39" s="291">
        <v>35.299999999999997</v>
      </c>
      <c r="DT39" s="290">
        <v>-0.46</v>
      </c>
      <c r="DU39" s="290">
        <v>0.64400000000000002</v>
      </c>
      <c r="DX39" s="212" t="s">
        <v>568</v>
      </c>
      <c r="DY39" s="295" t="s">
        <v>401</v>
      </c>
      <c r="DZ39" s="292" t="s">
        <v>434</v>
      </c>
      <c r="EA39" s="293">
        <f t="shared" ref="EA39:EA42" si="29">DR43</f>
        <v>0.115</v>
      </c>
      <c r="EB39" s="212" t="s">
        <v>392</v>
      </c>
    </row>
    <row r="40" spans="1:132" ht="15" customHeight="1" thickTop="1" thickBot="1" x14ac:dyDescent="0.3">
      <c r="A40" s="81" t="s">
        <v>271</v>
      </c>
      <c r="K40" s="81"/>
      <c r="L40" s="81"/>
      <c r="M40" s="81" t="s">
        <v>124</v>
      </c>
      <c r="N40" s="3">
        <f>SUM(R6:R9,R15)/1000000</f>
        <v>24.013923012000006</v>
      </c>
      <c r="O40" s="81" t="s">
        <v>125</v>
      </c>
      <c r="P40" s="3">
        <f>SUM(T6:T9,T15)/1000000</f>
        <v>12.164747100000001</v>
      </c>
      <c r="Q40" s="81"/>
      <c r="W40" s="260" t="s">
        <v>63</v>
      </c>
      <c r="X40" s="261"/>
      <c r="Y40" s="262" t="s">
        <v>21</v>
      </c>
      <c r="Z40" s="263">
        <f>1/(1/10+SUM(AC42:AC46))</f>
        <v>0.28445648493057907</v>
      </c>
      <c r="AA40" s="261" t="s">
        <v>5</v>
      </c>
      <c r="AB40" s="261"/>
      <c r="AC40" s="261" t="s">
        <v>22</v>
      </c>
      <c r="AD40" s="264">
        <f>SUM(AD42:AD46)</f>
        <v>466626.5</v>
      </c>
      <c r="AE40" s="14" t="s">
        <v>23</v>
      </c>
      <c r="AF40" s="14">
        <f>SUM(AD42:AD43)</f>
        <v>110960</v>
      </c>
      <c r="AG40" s="14"/>
      <c r="AL40" s="154" t="s">
        <v>389</v>
      </c>
      <c r="AM40" s="81" t="s">
        <v>390</v>
      </c>
      <c r="AN40" s="81" t="s">
        <v>422</v>
      </c>
      <c r="AO40" s="81">
        <f>SUM(N17:N20)*1/(SUM(AC15:AC17)+0.5*SUM(AC18:AC19)+1/23)+N25*1/(SUM(AC7:AC9)+0.5*SUM(AC10)+1/23)</f>
        <v>61.057331210422049</v>
      </c>
      <c r="AP40" s="81" t="s">
        <v>392</v>
      </c>
      <c r="AQ40" s="81">
        <f>1/(0.00584)</f>
        <v>171.23287671232879</v>
      </c>
      <c r="AU40" s="205" t="s">
        <v>389</v>
      </c>
      <c r="AV40" s="205" t="s">
        <v>390</v>
      </c>
      <c r="AW40" s="205" t="s">
        <v>422</v>
      </c>
      <c r="AX40" s="207" t="s">
        <v>434</v>
      </c>
      <c r="AY40" s="206">
        <f t="shared" si="3"/>
        <v>280.1120448179272</v>
      </c>
      <c r="AZ40" s="205" t="s">
        <v>392</v>
      </c>
      <c r="BP40" s="154" t="s">
        <v>389</v>
      </c>
      <c r="BQ40" s="81" t="s">
        <v>390</v>
      </c>
      <c r="BR40" s="81" t="s">
        <v>422</v>
      </c>
      <c r="BS40" s="204">
        <f t="shared" si="20"/>
        <v>171.23287671232879</v>
      </c>
      <c r="BT40" s="81" t="s">
        <v>392</v>
      </c>
      <c r="BU40" s="81">
        <f>1/(0.00584)</f>
        <v>171.23287671232879</v>
      </c>
      <c r="BY40" s="211">
        <f>1/CN35</f>
        <v>280.1120448179272</v>
      </c>
      <c r="BZ40" s="211"/>
      <c r="CA40" s="81" t="s">
        <v>496</v>
      </c>
      <c r="CB40" s="204">
        <v>58.3</v>
      </c>
      <c r="CC40" s="204">
        <v>1.63</v>
      </c>
      <c r="CG40" s="81" t="s">
        <v>492</v>
      </c>
      <c r="CH40" s="204">
        <v>-6.6</v>
      </c>
      <c r="CI40" s="204">
        <v>2.63E-2</v>
      </c>
      <c r="CJ40" s="81">
        <v>-250.67</v>
      </c>
      <c r="CK40" s="81" t="s">
        <v>505</v>
      </c>
      <c r="CU40" s="212" t="s">
        <v>506</v>
      </c>
      <c r="CV40" s="81" t="s">
        <v>417</v>
      </c>
      <c r="CW40" s="204">
        <v>5.2999999999999999E-2</v>
      </c>
      <c r="CX40" s="204">
        <v>8.3099999999999996E-7</v>
      </c>
      <c r="CY40" s="81">
        <v>63749</v>
      </c>
      <c r="CZ40" s="81" t="s">
        <v>505</v>
      </c>
      <c r="DA40" s="81" t="s">
        <v>510</v>
      </c>
      <c r="DE40" s="81" t="s">
        <v>389</v>
      </c>
      <c r="DF40" s="81" t="s">
        <v>390</v>
      </c>
      <c r="DG40" s="81" t="str">
        <f t="shared" si="13"/>
        <v>hwiN</v>
      </c>
      <c r="DH40" s="81" t="s">
        <v>434</v>
      </c>
      <c r="DI40" s="204">
        <f t="shared" si="14"/>
        <v>882</v>
      </c>
      <c r="DJ40" s="81" t="s">
        <v>392</v>
      </c>
      <c r="DL40" s="287">
        <f t="shared" si="0"/>
        <v>0</v>
      </c>
      <c r="DM40" s="287">
        <f t="shared" si="1"/>
        <v>0</v>
      </c>
      <c r="DN40" s="287">
        <f t="shared" si="2"/>
        <v>0</v>
      </c>
      <c r="DP40" s="290" t="s">
        <v>506</v>
      </c>
      <c r="DQ40" s="290" t="s">
        <v>479</v>
      </c>
      <c r="DR40" s="291">
        <v>-19.899999999999999</v>
      </c>
      <c r="DS40" s="291">
        <v>0.34599999999999997</v>
      </c>
      <c r="DT40" s="290">
        <v>-57.51</v>
      </c>
      <c r="DU40" s="290" t="s">
        <v>509</v>
      </c>
      <c r="DV40" s="291">
        <v>2E-16</v>
      </c>
      <c r="DW40" s="81" t="s">
        <v>510</v>
      </c>
      <c r="DX40" s="212" t="s">
        <v>568</v>
      </c>
      <c r="DY40" s="295" t="s">
        <v>402</v>
      </c>
      <c r="DZ40" s="292" t="s">
        <v>434</v>
      </c>
      <c r="EA40" s="293">
        <f t="shared" si="29"/>
        <v>0.71099999999999997</v>
      </c>
      <c r="EB40" s="212" t="s">
        <v>392</v>
      </c>
    </row>
    <row r="41" spans="1:132" ht="15" customHeight="1" thickTop="1" thickBot="1" x14ac:dyDescent="0.3">
      <c r="A41" s="148" t="s">
        <v>272</v>
      </c>
      <c r="K41" s="81"/>
      <c r="L41" s="81"/>
      <c r="M41" s="81" t="s">
        <v>126</v>
      </c>
      <c r="N41" s="3">
        <f>SUM(R26:R27)/1000000</f>
        <v>54.621285000000015</v>
      </c>
      <c r="O41" s="81" t="s">
        <v>125</v>
      </c>
      <c r="P41" s="3">
        <f>SUM(T26:T27)/1000000</f>
        <v>54.621285000000015</v>
      </c>
      <c r="Q41" s="81"/>
      <c r="W41" s="265"/>
      <c r="X41" s="266" t="s">
        <v>27</v>
      </c>
      <c r="Y41" s="266" t="s">
        <v>28</v>
      </c>
      <c r="Z41" s="266" t="s">
        <v>29</v>
      </c>
      <c r="AA41" s="266" t="s">
        <v>30</v>
      </c>
      <c r="AB41" s="266" t="s">
        <v>31</v>
      </c>
      <c r="AC41" s="266" t="s">
        <v>32</v>
      </c>
      <c r="AD41" s="267" t="s">
        <v>33</v>
      </c>
      <c r="AE41" s="14"/>
      <c r="AF41" s="14"/>
      <c r="AG41" s="14"/>
      <c r="AP41" s="81" t="s">
        <v>392</v>
      </c>
      <c r="AU41" s="205"/>
      <c r="AV41" s="205"/>
      <c r="AW41" s="205"/>
      <c r="AX41" s="207"/>
      <c r="AZ41" s="205"/>
      <c r="BS41" s="204"/>
      <c r="BT41" s="81" t="s">
        <v>392</v>
      </c>
      <c r="BY41" s="211"/>
      <c r="BZ41" s="211"/>
      <c r="CG41" s="81" t="s">
        <v>493</v>
      </c>
      <c r="CH41" s="204">
        <v>6.4400000000000004E-3</v>
      </c>
      <c r="CI41" s="204">
        <v>1.36E-4</v>
      </c>
      <c r="CJ41" s="81">
        <v>47.2</v>
      </c>
      <c r="CK41" s="81" t="s">
        <v>505</v>
      </c>
      <c r="CU41" s="212" t="s">
        <v>506</v>
      </c>
      <c r="CV41" s="81" t="s">
        <v>402</v>
      </c>
      <c r="CW41" s="204">
        <v>0.65</v>
      </c>
      <c r="CX41" s="204">
        <v>9.5799999999999998E-6</v>
      </c>
      <c r="CY41" s="81">
        <v>67820</v>
      </c>
      <c r="CZ41" s="81" t="s">
        <v>505</v>
      </c>
      <c r="DA41" s="81" t="s">
        <v>510</v>
      </c>
      <c r="DE41" s="81" t="s">
        <v>389</v>
      </c>
      <c r="DF41" s="81" t="s">
        <v>390</v>
      </c>
      <c r="DG41" s="81" t="str">
        <f t="shared" si="13"/>
        <v>hwN</v>
      </c>
      <c r="DH41" s="81" t="s">
        <v>434</v>
      </c>
      <c r="DI41" s="204">
        <f t="shared" si="14"/>
        <v>384</v>
      </c>
      <c r="DJ41" s="81" t="s">
        <v>392</v>
      </c>
      <c r="DK41" s="81" t="s">
        <v>423</v>
      </c>
      <c r="DL41" s="286">
        <f t="shared" si="0"/>
        <v>0.26114601784699709</v>
      </c>
      <c r="DM41" s="286">
        <f t="shared" si="1"/>
        <v>0.112</v>
      </c>
      <c r="DN41" s="286">
        <f t="shared" si="2"/>
        <v>0.14199999999999999</v>
      </c>
      <c r="DP41" s="290" t="s">
        <v>506</v>
      </c>
      <c r="DQ41" s="290" t="s">
        <v>480</v>
      </c>
      <c r="DR41" s="291">
        <v>-18.5</v>
      </c>
      <c r="DS41" s="291">
        <v>8.06</v>
      </c>
      <c r="DT41" s="290">
        <v>-2.2999999999999998</v>
      </c>
      <c r="DU41" s="290">
        <v>2.1999999999999999E-2</v>
      </c>
      <c r="DV41" s="290" t="s">
        <v>511</v>
      </c>
      <c r="DX41" s="212" t="s">
        <v>568</v>
      </c>
      <c r="DY41" s="292" t="s">
        <v>403</v>
      </c>
      <c r="DZ41" s="292" t="s">
        <v>434</v>
      </c>
      <c r="EA41" s="293">
        <f t="shared" si="29"/>
        <v>0.104</v>
      </c>
      <c r="EB41" s="212" t="s">
        <v>392</v>
      </c>
    </row>
    <row r="42" spans="1:132" ht="15" customHeight="1" thickTop="1" thickBot="1" x14ac:dyDescent="0.3">
      <c r="A42" s="81" t="s">
        <v>273</v>
      </c>
      <c r="C42" s="81">
        <f>0.55</f>
        <v>0.55000000000000004</v>
      </c>
      <c r="K42" s="81"/>
      <c r="L42" s="81"/>
      <c r="M42" s="81" t="s">
        <v>127</v>
      </c>
      <c r="N42" s="3">
        <f>R14/1000000</f>
        <v>48.249180100000004</v>
      </c>
      <c r="P42" s="3">
        <f>T14/1000000</f>
        <v>11.473264</v>
      </c>
      <c r="Q42" s="81"/>
      <c r="W42" s="271"/>
      <c r="X42" s="272" t="s">
        <v>128</v>
      </c>
      <c r="Y42" s="272">
        <v>0.02</v>
      </c>
      <c r="Z42" s="272">
        <v>1.4</v>
      </c>
      <c r="AA42" s="272">
        <v>2100</v>
      </c>
      <c r="AB42" s="272">
        <v>840</v>
      </c>
      <c r="AC42" s="273">
        <f>Y42/Z42</f>
        <v>1.4285714285714287E-2</v>
      </c>
      <c r="AD42" s="274">
        <f>Y42*AA42*AB42</f>
        <v>35280</v>
      </c>
      <c r="AE42" s="14" t="s">
        <v>104</v>
      </c>
      <c r="AF42" s="14"/>
      <c r="AG42" s="14"/>
      <c r="AL42" s="154" t="s">
        <v>389</v>
      </c>
      <c r="AM42" s="81" t="s">
        <v>390</v>
      </c>
      <c r="AN42" s="81" t="s">
        <v>423</v>
      </c>
      <c r="AO42" s="81">
        <f>SUM(N26)/SUM(N6:N14,N26:N27)</f>
        <v>0.26114601784699709</v>
      </c>
      <c r="AP42" s="81" t="s">
        <v>392</v>
      </c>
      <c r="AQ42" s="204">
        <v>0.112</v>
      </c>
      <c r="AU42" s="205" t="s">
        <v>389</v>
      </c>
      <c r="AV42" s="205" t="s">
        <v>390</v>
      </c>
      <c r="AW42" s="205" t="s">
        <v>423</v>
      </c>
      <c r="AX42" s="207" t="s">
        <v>434</v>
      </c>
      <c r="AY42" s="206">
        <f t="shared" si="3"/>
        <v>0.14199999999999999</v>
      </c>
      <c r="AZ42" s="205" t="s">
        <v>392</v>
      </c>
      <c r="BP42" s="154" t="s">
        <v>389</v>
      </c>
      <c r="BQ42" s="81" t="s">
        <v>390</v>
      </c>
      <c r="BR42" s="81" t="s">
        <v>423</v>
      </c>
      <c r="BS42" s="204">
        <f t="shared" si="20"/>
        <v>0.112</v>
      </c>
      <c r="BT42" s="81" t="s">
        <v>392</v>
      </c>
      <c r="BU42" s="204">
        <v>0.112</v>
      </c>
      <c r="BY42" s="211">
        <f>CH16</f>
        <v>0.14199999999999999</v>
      </c>
      <c r="BZ42" s="211"/>
      <c r="CG42" s="81" t="s">
        <v>494</v>
      </c>
      <c r="CH42" s="204">
        <v>143</v>
      </c>
      <c r="CI42" s="204">
        <v>1.36</v>
      </c>
      <c r="CJ42" s="81">
        <v>105.13</v>
      </c>
      <c r="CK42" s="81" t="s">
        <v>505</v>
      </c>
      <c r="CU42" s="212" t="s">
        <v>506</v>
      </c>
      <c r="CV42" s="81" t="s">
        <v>418</v>
      </c>
      <c r="CW42" s="204">
        <v>0.64500000000000002</v>
      </c>
      <c r="CX42" s="204">
        <v>9.5200000000000003E-6</v>
      </c>
      <c r="CY42" s="81">
        <v>67783</v>
      </c>
      <c r="CZ42" s="81" t="s">
        <v>505</v>
      </c>
      <c r="DA42" s="81" t="s">
        <v>510</v>
      </c>
      <c r="DE42" s="81" t="s">
        <v>389</v>
      </c>
      <c r="DF42" s="81" t="s">
        <v>390</v>
      </c>
      <c r="DG42" s="81" t="str">
        <f t="shared" si="13"/>
        <v>infD</v>
      </c>
      <c r="DH42" s="81" t="s">
        <v>434</v>
      </c>
      <c r="DI42" s="204">
        <f t="shared" si="14"/>
        <v>53</v>
      </c>
      <c r="DJ42" s="81" t="s">
        <v>392</v>
      </c>
      <c r="DK42" s="81" t="s">
        <v>424</v>
      </c>
      <c r="DL42" s="286">
        <f t="shared" si="0"/>
        <v>0.24197544245389654</v>
      </c>
      <c r="DM42" s="286">
        <f t="shared" si="1"/>
        <v>0.23</v>
      </c>
      <c r="DN42" s="286">
        <f t="shared" si="2"/>
        <v>0.34599999999999997</v>
      </c>
      <c r="DP42" s="290" t="s">
        <v>506</v>
      </c>
      <c r="DQ42" s="290" t="s">
        <v>481</v>
      </c>
      <c r="DR42" s="291">
        <v>5.4300000000000001E-2</v>
      </c>
      <c r="DS42" s="291">
        <v>1.9599999999999999E-4</v>
      </c>
      <c r="DT42" s="290">
        <v>276.7</v>
      </c>
      <c r="DU42" s="290" t="s">
        <v>509</v>
      </c>
      <c r="DV42" s="291">
        <v>2E-16</v>
      </c>
      <c r="DW42" s="81" t="s">
        <v>510</v>
      </c>
      <c r="DX42" s="212" t="s">
        <v>568</v>
      </c>
      <c r="DY42" s="292" t="s">
        <v>518</v>
      </c>
      <c r="DZ42" s="292" t="s">
        <v>434</v>
      </c>
      <c r="EA42" s="293">
        <f t="shared" si="29"/>
        <v>2.7E-2</v>
      </c>
      <c r="EB42" s="212" t="s">
        <v>392</v>
      </c>
    </row>
    <row r="43" spans="1:132" ht="15" customHeight="1" thickTop="1" thickBot="1" x14ac:dyDescent="0.3">
      <c r="A43" s="81" t="s">
        <v>274</v>
      </c>
      <c r="C43" s="81">
        <f>B7/B6</f>
        <v>0.46160714285714288</v>
      </c>
      <c r="D43" s="81" t="s">
        <v>275</v>
      </c>
      <c r="K43" s="81"/>
      <c r="L43" s="81"/>
      <c r="M43" s="81"/>
      <c r="P43" s="81"/>
      <c r="Q43" s="81"/>
      <c r="W43" s="220"/>
      <c r="X43" s="221" t="s">
        <v>129</v>
      </c>
      <c r="Y43" s="221">
        <v>0.08</v>
      </c>
      <c r="Z43" s="221">
        <v>0.6</v>
      </c>
      <c r="AA43" s="221">
        <v>1100</v>
      </c>
      <c r="AB43" s="221">
        <v>860</v>
      </c>
      <c r="AC43" s="268">
        <f>Y43/Z43</f>
        <v>0.13333333333333333</v>
      </c>
      <c r="AD43" s="222">
        <f>Y43*AA43*AB43</f>
        <v>75680</v>
      </c>
      <c r="AE43" s="14"/>
      <c r="AF43" s="14"/>
      <c r="AG43" s="14"/>
      <c r="AL43" s="154" t="s">
        <v>389</v>
      </c>
      <c r="AM43" s="81" t="s">
        <v>390</v>
      </c>
      <c r="AN43" s="81" t="s">
        <v>424</v>
      </c>
      <c r="AO43" s="81">
        <f>SUM(N26)/SUM(N$17:N$25,N$28,N$26)</f>
        <v>0.24197544245389654</v>
      </c>
      <c r="AP43" s="81" t="s">
        <v>392</v>
      </c>
      <c r="AQ43" s="204">
        <v>0.23</v>
      </c>
      <c r="AU43" s="205" t="s">
        <v>389</v>
      </c>
      <c r="AV43" s="205" t="s">
        <v>390</v>
      </c>
      <c r="AW43" s="205" t="s">
        <v>424</v>
      </c>
      <c r="AX43" s="207" t="s">
        <v>434</v>
      </c>
      <c r="AY43" s="206">
        <f t="shared" si="3"/>
        <v>0.34599999999999997</v>
      </c>
      <c r="AZ43" s="205" t="s">
        <v>392</v>
      </c>
      <c r="BP43" s="154" t="s">
        <v>389</v>
      </c>
      <c r="BQ43" s="81" t="s">
        <v>390</v>
      </c>
      <c r="BR43" s="81" t="s">
        <v>424</v>
      </c>
      <c r="BS43" s="204">
        <f t="shared" si="20"/>
        <v>0.23</v>
      </c>
      <c r="BT43" s="81" t="s">
        <v>392</v>
      </c>
      <c r="BU43" s="204">
        <v>0.23</v>
      </c>
      <c r="BY43" s="211">
        <f>CN14</f>
        <v>0.34599999999999997</v>
      </c>
      <c r="BZ43" s="211"/>
      <c r="CG43" s="81" t="s">
        <v>495</v>
      </c>
      <c r="CH43" s="204">
        <v>1.35E-4</v>
      </c>
      <c r="CI43" s="204">
        <v>1.1900000000000001E-3</v>
      </c>
      <c r="CJ43" s="81">
        <v>0.11</v>
      </c>
      <c r="CK43" s="81">
        <v>0.91</v>
      </c>
      <c r="CU43" s="212" t="s">
        <v>506</v>
      </c>
      <c r="CV43" s="81" t="s">
        <v>518</v>
      </c>
      <c r="CW43" s="204">
        <v>7.0000000000000007E-2</v>
      </c>
      <c r="CX43" s="204">
        <v>1.1000000000000001E-6</v>
      </c>
      <c r="CY43" s="81">
        <v>63858</v>
      </c>
      <c r="CZ43" s="81" t="s">
        <v>505</v>
      </c>
      <c r="DA43" s="81" t="s">
        <v>510</v>
      </c>
      <c r="DE43" s="81" t="s">
        <v>389</v>
      </c>
      <c r="DF43" s="81" t="s">
        <v>390</v>
      </c>
      <c r="DG43" s="81" t="str">
        <f t="shared" si="13"/>
        <v>infN</v>
      </c>
      <c r="DH43" s="81" t="s">
        <v>434</v>
      </c>
      <c r="DI43" s="204">
        <f t="shared" si="14"/>
        <v>36.9</v>
      </c>
      <c r="DJ43" s="81" t="s">
        <v>392</v>
      </c>
      <c r="DK43" s="81" t="s">
        <v>425</v>
      </c>
      <c r="DL43" s="288">
        <f t="shared" si="0"/>
        <v>20786361.000000004</v>
      </c>
      <c r="DM43" s="288">
        <f t="shared" si="1"/>
        <v>10700000</v>
      </c>
      <c r="DN43" s="288">
        <f t="shared" si="2"/>
        <v>120000000</v>
      </c>
      <c r="DP43" s="290" t="s">
        <v>506</v>
      </c>
      <c r="DQ43" s="290" t="s">
        <v>482</v>
      </c>
      <c r="DR43" s="291">
        <v>0.115</v>
      </c>
      <c r="DS43" s="291">
        <v>4.37E-4</v>
      </c>
      <c r="DT43" s="290">
        <v>263.23</v>
      </c>
      <c r="DU43" s="290" t="s">
        <v>509</v>
      </c>
      <c r="DV43" s="291">
        <v>2E-16</v>
      </c>
      <c r="DW43" s="81" t="s">
        <v>510</v>
      </c>
      <c r="DZ43" s="292"/>
    </row>
    <row r="44" spans="1:132" ht="15" customHeight="1" thickTop="1" thickBot="1" x14ac:dyDescent="0.3">
      <c r="A44" s="81" t="s">
        <v>277</v>
      </c>
      <c r="C44" s="81">
        <v>0.7</v>
      </c>
      <c r="E44" s="79"/>
      <c r="K44" s="81"/>
      <c r="L44" s="81"/>
      <c r="M44" s="81"/>
      <c r="P44" s="81"/>
      <c r="Q44" s="81"/>
      <c r="W44" s="220"/>
      <c r="X44" s="221" t="s">
        <v>276</v>
      </c>
      <c r="Y44" s="320">
        <v>7.4999999999999997E-2</v>
      </c>
      <c r="Z44" s="320">
        <v>2.4E-2</v>
      </c>
      <c r="AA44" s="221">
        <v>26</v>
      </c>
      <c r="AB44" s="221">
        <v>1470</v>
      </c>
      <c r="AC44" s="268">
        <f>Y44/Z44</f>
        <v>3.125</v>
      </c>
      <c r="AD44" s="222">
        <f>Y44*AA44*AB44</f>
        <v>2866.5</v>
      </c>
      <c r="AE44" s="14"/>
      <c r="AF44" s="14"/>
      <c r="AG44" s="14"/>
      <c r="AL44" s="154" t="s">
        <v>389</v>
      </c>
      <c r="AM44" s="81" t="s">
        <v>390</v>
      </c>
      <c r="AN44" s="81" t="s">
        <v>425</v>
      </c>
      <c r="AO44" s="81">
        <f>T26/2</f>
        <v>20786361.000000004</v>
      </c>
      <c r="AP44" s="81" t="s">
        <v>392</v>
      </c>
      <c r="AQ44" s="204">
        <v>10700000</v>
      </c>
      <c r="AU44" s="205" t="s">
        <v>389</v>
      </c>
      <c r="AV44" s="205" t="s">
        <v>390</v>
      </c>
      <c r="AW44" s="205" t="s">
        <v>425</v>
      </c>
      <c r="AX44" s="207" t="s">
        <v>434</v>
      </c>
      <c r="AY44" s="206">
        <f t="shared" si="3"/>
        <v>120000000</v>
      </c>
      <c r="AZ44" s="205" t="s">
        <v>392</v>
      </c>
      <c r="BP44" s="154" t="s">
        <v>389</v>
      </c>
      <c r="BQ44" s="81" t="s">
        <v>390</v>
      </c>
      <c r="BR44" s="81" t="s">
        <v>425</v>
      </c>
      <c r="BS44" s="204">
        <f t="shared" si="20"/>
        <v>10700000</v>
      </c>
      <c r="BT44" s="81" t="s">
        <v>392</v>
      </c>
      <c r="BU44" s="204">
        <v>10700000</v>
      </c>
      <c r="BY44" s="211">
        <f>CO51</f>
        <v>120000000</v>
      </c>
      <c r="BZ44" s="211"/>
      <c r="CG44" s="81" t="s">
        <v>496</v>
      </c>
      <c r="CH44" s="204">
        <v>58.3</v>
      </c>
      <c r="CI44" s="204">
        <v>1.63</v>
      </c>
      <c r="CJ44" s="81">
        <v>35.75</v>
      </c>
      <c r="CK44" s="81" t="s">
        <v>505</v>
      </c>
      <c r="CM44" s="81" t="s">
        <v>497</v>
      </c>
      <c r="CN44" s="81" t="s">
        <v>512</v>
      </c>
      <c r="CU44" s="212" t="s">
        <v>506</v>
      </c>
      <c r="CV44" s="81" t="s">
        <v>519</v>
      </c>
      <c r="CW44" s="204">
        <v>0.13</v>
      </c>
      <c r="CX44" s="204">
        <v>2.0200000000000001E-6</v>
      </c>
      <c r="CY44" s="81">
        <v>64246</v>
      </c>
      <c r="CZ44" s="81" t="s">
        <v>505</v>
      </c>
      <c r="DA44" s="81" t="s">
        <v>510</v>
      </c>
      <c r="DI44" s="204"/>
      <c r="DK44" s="81" t="s">
        <v>426</v>
      </c>
      <c r="DL44" s="288">
        <f t="shared" si="0"/>
        <v>20786361.000000004</v>
      </c>
      <c r="DM44" s="288">
        <f t="shared" si="1"/>
        <v>33900000</v>
      </c>
      <c r="DN44" s="288">
        <f t="shared" si="2"/>
        <v>630000</v>
      </c>
      <c r="DP44" s="290" t="s">
        <v>506</v>
      </c>
      <c r="DQ44" s="290" t="s">
        <v>483</v>
      </c>
      <c r="DR44" s="291">
        <v>0.71099999999999997</v>
      </c>
      <c r="DS44" s="291">
        <v>1.9599999999999999E-3</v>
      </c>
      <c r="DT44" s="290">
        <v>361.85</v>
      </c>
      <c r="DU44" s="290" t="s">
        <v>509</v>
      </c>
      <c r="DV44" s="291">
        <v>2E-16</v>
      </c>
      <c r="DW44" s="81" t="s">
        <v>510</v>
      </c>
      <c r="DX44" s="212" t="s">
        <v>568</v>
      </c>
      <c r="DY44" s="297" t="s">
        <v>590</v>
      </c>
      <c r="DZ44" s="292" t="s">
        <v>434</v>
      </c>
      <c r="EA44" s="293">
        <f>DR69</f>
        <v>0.158</v>
      </c>
      <c r="EB44" s="212" t="s">
        <v>392</v>
      </c>
    </row>
    <row r="45" spans="1:132" ht="15" customHeight="1" thickTop="1" thickBot="1" x14ac:dyDescent="0.3">
      <c r="A45" s="81" t="s">
        <v>278</v>
      </c>
      <c r="C45" s="81">
        <v>0.5</v>
      </c>
      <c r="E45" s="79"/>
      <c r="K45" s="81"/>
      <c r="L45" s="81"/>
      <c r="M45" s="81"/>
      <c r="P45" s="81"/>
      <c r="Q45" s="81"/>
      <c r="W45" s="220"/>
      <c r="X45" s="221" t="s">
        <v>131</v>
      </c>
      <c r="Y45" s="221">
        <v>0.2</v>
      </c>
      <c r="Z45" s="221">
        <v>1.4</v>
      </c>
      <c r="AA45" s="221">
        <v>2100</v>
      </c>
      <c r="AB45" s="221">
        <v>840</v>
      </c>
      <c r="AC45" s="268">
        <f>Y45/Z45</f>
        <v>0.14285714285714288</v>
      </c>
      <c r="AD45" s="222">
        <f>Y45*AA45*AB45</f>
        <v>352800</v>
      </c>
      <c r="AE45" s="14"/>
      <c r="AF45" s="14"/>
      <c r="AG45" s="14"/>
      <c r="AL45" s="154" t="s">
        <v>389</v>
      </c>
      <c r="AM45" s="81" t="s">
        <v>390</v>
      </c>
      <c r="AN45" s="81" t="s">
        <v>426</v>
      </c>
      <c r="AO45" s="81">
        <f>T26/2</f>
        <v>20786361.000000004</v>
      </c>
      <c r="AP45" s="81" t="s">
        <v>392</v>
      </c>
      <c r="AQ45" s="204">
        <v>33900000</v>
      </c>
      <c r="AU45" s="205" t="s">
        <v>389</v>
      </c>
      <c r="AV45" s="205" t="s">
        <v>390</v>
      </c>
      <c r="AW45" s="205" t="s">
        <v>426</v>
      </c>
      <c r="AX45" s="207" t="s">
        <v>434</v>
      </c>
      <c r="AY45" s="206">
        <f t="shared" si="3"/>
        <v>630000</v>
      </c>
      <c r="AZ45" s="205" t="s">
        <v>392</v>
      </c>
      <c r="BP45" s="154" t="s">
        <v>389</v>
      </c>
      <c r="BQ45" s="81" t="s">
        <v>390</v>
      </c>
      <c r="BR45" s="81" t="s">
        <v>426</v>
      </c>
      <c r="BS45" s="204">
        <f t="shared" si="20"/>
        <v>33900000</v>
      </c>
      <c r="BT45" s="81" t="s">
        <v>392</v>
      </c>
      <c r="BU45" s="204">
        <v>33900000</v>
      </c>
      <c r="BY45" s="211">
        <f>CO52</f>
        <v>630000</v>
      </c>
      <c r="BZ45" s="211"/>
      <c r="CM45" s="81" t="s">
        <v>506</v>
      </c>
      <c r="CN45" s="81" t="s">
        <v>499</v>
      </c>
      <c r="CU45" s="212" t="s">
        <v>506</v>
      </c>
      <c r="CV45" s="81" t="s">
        <v>404</v>
      </c>
      <c r="CW45" s="204">
        <v>281</v>
      </c>
      <c r="CX45" s="204">
        <v>1.15E-3</v>
      </c>
      <c r="CY45" s="81">
        <v>244765</v>
      </c>
      <c r="CZ45" s="81" t="s">
        <v>505</v>
      </c>
      <c r="DA45" s="81" t="s">
        <v>510</v>
      </c>
      <c r="DI45" s="204"/>
      <c r="DK45" s="81" t="s">
        <v>427</v>
      </c>
      <c r="DL45" s="286">
        <f t="shared" si="0"/>
        <v>7.8343805354099127E-2</v>
      </c>
      <c r="DM45" s="286">
        <f t="shared" si="1"/>
        <v>7.5399999999999995E-2</v>
      </c>
      <c r="DN45" s="286">
        <f t="shared" si="2"/>
        <v>5.4300000000000001E-2</v>
      </c>
      <c r="DP45" s="290" t="s">
        <v>506</v>
      </c>
      <c r="DQ45" s="290" t="s">
        <v>484</v>
      </c>
      <c r="DR45" s="291">
        <v>0.104</v>
      </c>
      <c r="DS45" s="291">
        <v>2.7999999999999998E-4</v>
      </c>
      <c r="DT45" s="290">
        <v>373.58</v>
      </c>
      <c r="DU45" s="290" t="s">
        <v>509</v>
      </c>
      <c r="DV45" s="291">
        <v>2E-16</v>
      </c>
      <c r="DW45" s="81" t="s">
        <v>510</v>
      </c>
      <c r="DX45" s="212" t="s">
        <v>568</v>
      </c>
      <c r="DY45" s="297" t="s">
        <v>591</v>
      </c>
      <c r="DZ45" s="292" t="s">
        <v>434</v>
      </c>
      <c r="EA45" s="293">
        <f t="shared" ref="EA45:EA59" si="30">DR70</f>
        <v>0.622</v>
      </c>
      <c r="EB45" s="212" t="s">
        <v>392</v>
      </c>
    </row>
    <row r="46" spans="1:132" ht="15" customHeight="1" thickTop="1" thickBot="1" x14ac:dyDescent="0.3">
      <c r="K46" s="81"/>
      <c r="L46" s="81"/>
      <c r="M46" s="81"/>
      <c r="P46" s="81"/>
      <c r="Q46" s="81"/>
      <c r="W46" s="237"/>
      <c r="X46" s="219" t="s">
        <v>132</v>
      </c>
      <c r="Y46" s="219">
        <v>0</v>
      </c>
      <c r="Z46" s="219">
        <v>0.02</v>
      </c>
      <c r="AA46" s="219">
        <v>30</v>
      </c>
      <c r="AB46" s="219">
        <v>1470</v>
      </c>
      <c r="AC46" s="269">
        <f>Y46/Z46</f>
        <v>0</v>
      </c>
      <c r="AD46" s="242">
        <f>Y46*AA46*AB46</f>
        <v>0</v>
      </c>
      <c r="AE46" s="14"/>
      <c r="AF46" s="14"/>
      <c r="AG46" s="14"/>
      <c r="AL46" s="154" t="s">
        <v>389</v>
      </c>
      <c r="AM46" s="81" t="s">
        <v>390</v>
      </c>
      <c r="AN46" s="81" t="s">
        <v>427</v>
      </c>
      <c r="AO46" s="81">
        <f>AO42*0.3</f>
        <v>7.8343805354099127E-2</v>
      </c>
      <c r="AP46" s="81" t="s">
        <v>392</v>
      </c>
      <c r="AQ46" s="204">
        <v>7.5399999999999995E-2</v>
      </c>
      <c r="AU46" s="205" t="s">
        <v>389</v>
      </c>
      <c r="AV46" s="205" t="s">
        <v>390</v>
      </c>
      <c r="AW46" s="205" t="s">
        <v>427</v>
      </c>
      <c r="AX46" s="207" t="s">
        <v>434</v>
      </c>
      <c r="AY46" s="206">
        <f t="shared" si="3"/>
        <v>5.4300000000000001E-2</v>
      </c>
      <c r="AZ46" s="205" t="s">
        <v>392</v>
      </c>
      <c r="BP46" s="154" t="s">
        <v>389</v>
      </c>
      <c r="BQ46" s="81" t="s">
        <v>390</v>
      </c>
      <c r="BR46" s="81" t="s">
        <v>427</v>
      </c>
      <c r="BS46" s="204">
        <f t="shared" si="20"/>
        <v>7.5399999999999995E-2</v>
      </c>
      <c r="BT46" s="81" t="s">
        <v>392</v>
      </c>
      <c r="BU46" s="204">
        <v>7.5399999999999995E-2</v>
      </c>
      <c r="BY46" s="211">
        <f>CH31</f>
        <v>5.4300000000000001E-2</v>
      </c>
      <c r="BZ46" s="211"/>
      <c r="CM46" s="81" t="s">
        <v>506</v>
      </c>
      <c r="CN46" s="81" t="s">
        <v>500</v>
      </c>
      <c r="CO46" s="81" t="s">
        <v>501</v>
      </c>
      <c r="CP46" s="81" t="s">
        <v>502</v>
      </c>
      <c r="CQ46" s="81" t="s">
        <v>503</v>
      </c>
      <c r="CR46" s="81" t="s">
        <v>504</v>
      </c>
      <c r="CS46" s="81" t="s">
        <v>508</v>
      </c>
      <c r="CU46" s="212" t="s">
        <v>506</v>
      </c>
      <c r="CV46" s="81" t="s">
        <v>406</v>
      </c>
      <c r="CW46" s="204">
        <v>705</v>
      </c>
      <c r="CX46" s="204">
        <v>2.7899999999999999E-3</v>
      </c>
      <c r="CY46" s="81">
        <v>252594</v>
      </c>
      <c r="CZ46" s="81" t="s">
        <v>505</v>
      </c>
      <c r="DA46" s="81" t="s">
        <v>510</v>
      </c>
      <c r="DI46" s="204"/>
      <c r="DK46" s="81" t="s">
        <v>428</v>
      </c>
      <c r="DL46" s="286">
        <f t="shared" si="0"/>
        <v>7.2592632736168963E-2</v>
      </c>
      <c r="DM46" s="286">
        <f t="shared" si="1"/>
        <v>0.127</v>
      </c>
      <c r="DN46" s="286">
        <f t="shared" si="2"/>
        <v>9.5100000000000004E-2</v>
      </c>
      <c r="DP46" s="290" t="s">
        <v>506</v>
      </c>
      <c r="DQ46" s="290" t="s">
        <v>485</v>
      </c>
      <c r="DR46" s="291">
        <v>2.7E-2</v>
      </c>
      <c r="DS46" s="291">
        <v>1.9699999999999999E-4</v>
      </c>
      <c r="DT46" s="290">
        <v>137.09</v>
      </c>
      <c r="DU46" s="290" t="s">
        <v>509</v>
      </c>
      <c r="DV46" s="291">
        <v>2E-16</v>
      </c>
      <c r="DW46" s="81" t="s">
        <v>510</v>
      </c>
      <c r="DX46" s="212" t="s">
        <v>568</v>
      </c>
      <c r="DY46" s="297" t="s">
        <v>592</v>
      </c>
      <c r="DZ46" s="292" t="s">
        <v>434</v>
      </c>
      <c r="EA46" s="293">
        <f t="shared" si="30"/>
        <v>0.501</v>
      </c>
      <c r="EB46" s="212" t="s">
        <v>392</v>
      </c>
    </row>
    <row r="47" spans="1:132" ht="15" customHeight="1" thickTop="1" thickBot="1" x14ac:dyDescent="0.3">
      <c r="B47" s="3"/>
      <c r="K47" s="81"/>
      <c r="L47" s="81"/>
      <c r="M47" s="81"/>
      <c r="P47" s="81"/>
      <c r="Q47" s="81"/>
      <c r="W47" s="221"/>
      <c r="X47" s="221"/>
      <c r="Y47" s="221"/>
      <c r="Z47" s="221"/>
      <c r="AA47" s="221"/>
      <c r="AB47" s="221"/>
      <c r="AC47" s="268"/>
      <c r="AD47" s="221"/>
      <c r="AE47" s="14"/>
      <c r="AF47" s="14"/>
      <c r="AG47" s="14"/>
      <c r="AL47" s="154" t="s">
        <v>389</v>
      </c>
      <c r="AM47" s="81" t="s">
        <v>390</v>
      </c>
      <c r="AN47" s="81" t="s">
        <v>428</v>
      </c>
      <c r="AO47" s="81">
        <f>AO43*0.3</f>
        <v>7.2592632736168963E-2</v>
      </c>
      <c r="AP47" s="81" t="s">
        <v>392</v>
      </c>
      <c r="AQ47" s="204">
        <v>0.127</v>
      </c>
      <c r="AU47" s="205" t="s">
        <v>389</v>
      </c>
      <c r="AV47" s="205" t="s">
        <v>390</v>
      </c>
      <c r="AW47" s="205" t="s">
        <v>428</v>
      </c>
      <c r="AX47" s="207" t="s">
        <v>434</v>
      </c>
      <c r="AY47" s="206">
        <f t="shared" si="3"/>
        <v>9.5100000000000004E-2</v>
      </c>
      <c r="AZ47" s="205" t="s">
        <v>392</v>
      </c>
      <c r="BP47" s="154" t="s">
        <v>389</v>
      </c>
      <c r="BQ47" s="81" t="s">
        <v>390</v>
      </c>
      <c r="BR47" s="81" t="s">
        <v>428</v>
      </c>
      <c r="BS47" s="204">
        <f t="shared" si="20"/>
        <v>0.127</v>
      </c>
      <c r="BT47" s="81" t="s">
        <v>392</v>
      </c>
      <c r="BU47" s="204">
        <v>0.127</v>
      </c>
      <c r="BY47" s="211">
        <f>CN26</f>
        <v>9.5100000000000004E-2</v>
      </c>
      <c r="BZ47" s="211"/>
      <c r="CM47" s="81" t="s">
        <v>506</v>
      </c>
      <c r="CN47" s="81" t="s">
        <v>513</v>
      </c>
      <c r="CO47" s="204">
        <v>290</v>
      </c>
      <c r="CP47" s="204">
        <v>0.14499999999999999</v>
      </c>
      <c r="CQ47" s="81">
        <v>1995.82</v>
      </c>
      <c r="CR47" s="81" t="s">
        <v>509</v>
      </c>
      <c r="CS47" s="204">
        <v>2E-16</v>
      </c>
      <c r="CT47" s="81" t="s">
        <v>510</v>
      </c>
      <c r="CU47" s="212" t="s">
        <v>506</v>
      </c>
      <c r="CV47" s="81" t="s">
        <v>420</v>
      </c>
      <c r="CW47" s="204">
        <v>882</v>
      </c>
      <c r="CX47" s="204">
        <v>6.6800000000000002E-3</v>
      </c>
      <c r="CY47" s="81">
        <v>132039</v>
      </c>
      <c r="CZ47" s="81" t="s">
        <v>505</v>
      </c>
      <c r="DA47" s="81" t="s">
        <v>510</v>
      </c>
      <c r="DI47" s="204"/>
      <c r="DK47" s="81" t="s">
        <v>429</v>
      </c>
      <c r="DL47" s="289">
        <f t="shared" si="0"/>
        <v>519.71362586605085</v>
      </c>
      <c r="DM47" s="289">
        <f t="shared" si="1"/>
        <v>599</v>
      </c>
      <c r="DN47" s="289">
        <f t="shared" si="2"/>
        <v>138</v>
      </c>
      <c r="DP47" s="290" t="s">
        <v>506</v>
      </c>
      <c r="DQ47" s="290" t="s">
        <v>486</v>
      </c>
      <c r="DR47" s="291">
        <v>99.8</v>
      </c>
      <c r="DS47" s="291">
        <v>0.33700000000000002</v>
      </c>
      <c r="DT47" s="290">
        <v>296.45999999999998</v>
      </c>
      <c r="DU47" s="290" t="s">
        <v>509</v>
      </c>
      <c r="DV47" s="291">
        <v>2E-16</v>
      </c>
      <c r="DW47" s="81" t="s">
        <v>510</v>
      </c>
      <c r="DX47" s="212" t="s">
        <v>568</v>
      </c>
      <c r="DY47" s="297" t="s">
        <v>593</v>
      </c>
      <c r="DZ47" s="292" t="s">
        <v>434</v>
      </c>
      <c r="EA47" s="293">
        <f t="shared" si="30"/>
        <v>0.502</v>
      </c>
      <c r="EB47" s="212" t="s">
        <v>392</v>
      </c>
    </row>
    <row r="48" spans="1:132" ht="15" customHeight="1" thickTop="1" thickBot="1" x14ac:dyDescent="0.3">
      <c r="B48" s="3"/>
      <c r="K48" s="81"/>
      <c r="L48" s="81"/>
      <c r="M48" s="81"/>
      <c r="P48" s="81"/>
      <c r="Q48" s="81"/>
      <c r="W48" s="258"/>
      <c r="X48" s="258"/>
      <c r="Y48" s="277"/>
      <c r="Z48" s="277"/>
      <c r="AA48" s="277"/>
      <c r="AB48" s="258"/>
      <c r="AC48" s="258"/>
      <c r="AD48" s="258"/>
      <c r="AE48" s="14"/>
      <c r="AF48" s="14"/>
      <c r="AG48" s="14"/>
      <c r="AL48" s="154" t="s">
        <v>389</v>
      </c>
      <c r="AM48" s="81" t="s">
        <v>390</v>
      </c>
      <c r="AN48" s="81" t="s">
        <v>429</v>
      </c>
      <c r="AO48" s="81">
        <f>Z27*4*N26</f>
        <v>519.71362586605085</v>
      </c>
      <c r="AP48" s="81" t="s">
        <v>392</v>
      </c>
      <c r="AQ48" s="204">
        <v>599</v>
      </c>
      <c r="AU48" s="205" t="s">
        <v>389</v>
      </c>
      <c r="AV48" s="205" t="s">
        <v>390</v>
      </c>
      <c r="AW48" s="205" t="s">
        <v>429</v>
      </c>
      <c r="AX48" s="207" t="s">
        <v>434</v>
      </c>
      <c r="AY48" s="206">
        <f t="shared" si="3"/>
        <v>138</v>
      </c>
      <c r="AZ48" s="205" t="s">
        <v>392</v>
      </c>
      <c r="BP48" s="154" t="s">
        <v>389</v>
      </c>
      <c r="BQ48" s="81" t="s">
        <v>390</v>
      </c>
      <c r="BR48" s="81" t="s">
        <v>429</v>
      </c>
      <c r="BS48" s="204">
        <f t="shared" si="20"/>
        <v>599</v>
      </c>
      <c r="BT48" s="81" t="s">
        <v>392</v>
      </c>
      <c r="BU48" s="204">
        <v>599</v>
      </c>
      <c r="BY48" s="211">
        <f>CO60</f>
        <v>138</v>
      </c>
      <c r="BZ48" s="211"/>
      <c r="CM48" s="81" t="s">
        <v>506</v>
      </c>
      <c r="CN48" s="81" t="s">
        <v>514</v>
      </c>
      <c r="CO48" s="204">
        <v>291</v>
      </c>
      <c r="CP48" s="204">
        <v>0.76600000000000001</v>
      </c>
      <c r="CQ48" s="81">
        <v>379.48</v>
      </c>
      <c r="CR48" s="81" t="s">
        <v>509</v>
      </c>
      <c r="CS48" s="204">
        <v>2E-16</v>
      </c>
      <c r="CT48" s="81" t="s">
        <v>510</v>
      </c>
      <c r="CU48" s="212" t="s">
        <v>506</v>
      </c>
      <c r="CV48" s="81" t="s">
        <v>419</v>
      </c>
      <c r="CW48" s="204">
        <v>384</v>
      </c>
      <c r="CX48" s="204">
        <v>1.17E-3</v>
      </c>
      <c r="CY48" s="81">
        <v>328443</v>
      </c>
      <c r="CZ48" s="81" t="s">
        <v>505</v>
      </c>
      <c r="DA48" s="81" t="s">
        <v>510</v>
      </c>
      <c r="DI48" s="204"/>
      <c r="DK48" s="81" t="s">
        <v>430</v>
      </c>
      <c r="DL48" s="289">
        <f t="shared" si="0"/>
        <v>259.85681293302542</v>
      </c>
      <c r="DM48" s="289">
        <f t="shared" si="1"/>
        <v>537</v>
      </c>
      <c r="DN48" s="289">
        <f t="shared" si="2"/>
        <v>7610</v>
      </c>
      <c r="DP48" s="290" t="s">
        <v>506</v>
      </c>
      <c r="DQ48" s="290" t="s">
        <v>487</v>
      </c>
      <c r="DR48" s="291">
        <v>146</v>
      </c>
      <c r="DS48" s="291">
        <v>0.48399999999999999</v>
      </c>
      <c r="DT48" s="290">
        <v>301.08999999999997</v>
      </c>
      <c r="DU48" s="290" t="s">
        <v>509</v>
      </c>
      <c r="DV48" s="291">
        <v>2E-16</v>
      </c>
      <c r="DW48" s="81" t="s">
        <v>510</v>
      </c>
      <c r="DX48" s="212" t="s">
        <v>568</v>
      </c>
      <c r="DY48" s="297" t="s">
        <v>594</v>
      </c>
      <c r="DZ48" s="292" t="s">
        <v>434</v>
      </c>
      <c r="EA48" s="293">
        <f t="shared" si="30"/>
        <v>0.499</v>
      </c>
      <c r="EB48" s="212" t="s">
        <v>392</v>
      </c>
    </row>
    <row r="49" spans="2:132" ht="15" customHeight="1" thickTop="1" thickBot="1" x14ac:dyDescent="0.3">
      <c r="B49" s="3"/>
      <c r="K49" s="81"/>
      <c r="L49" s="81"/>
      <c r="M49" s="81"/>
      <c r="P49" s="81"/>
      <c r="Q49" s="81"/>
      <c r="W49" s="278" t="s">
        <v>68</v>
      </c>
      <c r="X49" s="279"/>
      <c r="Y49" s="280" t="s">
        <v>21</v>
      </c>
      <c r="Z49" s="281">
        <v>3.5</v>
      </c>
      <c r="AA49" s="279" t="s">
        <v>5</v>
      </c>
      <c r="AB49" s="279"/>
      <c r="AC49" s="279" t="s">
        <v>22</v>
      </c>
      <c r="AD49" s="282">
        <f>0.04*550*1660</f>
        <v>36520</v>
      </c>
      <c r="AE49" s="14" t="s">
        <v>23</v>
      </c>
      <c r="AF49" s="14">
        <f>SUM(AD51:AD52)</f>
        <v>181020.00000000003</v>
      </c>
      <c r="AG49" s="14"/>
      <c r="AL49" s="154" t="s">
        <v>389</v>
      </c>
      <c r="AM49" s="81" t="s">
        <v>390</v>
      </c>
      <c r="AN49" s="81" t="s">
        <v>430</v>
      </c>
      <c r="AO49" s="81">
        <f>AO50/2</f>
        <v>259.85681293302542</v>
      </c>
      <c r="AP49" s="81" t="s">
        <v>392</v>
      </c>
      <c r="AQ49" s="204">
        <v>537</v>
      </c>
      <c r="AU49" s="205" t="s">
        <v>389</v>
      </c>
      <c r="AV49" s="205" t="s">
        <v>390</v>
      </c>
      <c r="AW49" s="205" t="s">
        <v>430</v>
      </c>
      <c r="AX49" s="207" t="s">
        <v>434</v>
      </c>
      <c r="AY49" s="206">
        <f>BY49</f>
        <v>7610</v>
      </c>
      <c r="AZ49" s="205" t="s">
        <v>392</v>
      </c>
      <c r="BP49" s="154" t="s">
        <v>389</v>
      </c>
      <c r="BQ49" s="81" t="s">
        <v>390</v>
      </c>
      <c r="BR49" s="81" t="s">
        <v>430</v>
      </c>
      <c r="BS49" s="204">
        <f t="shared" si="20"/>
        <v>537</v>
      </c>
      <c r="BT49" s="81" t="s">
        <v>392</v>
      </c>
      <c r="BU49" s="204">
        <v>537</v>
      </c>
      <c r="BY49" s="211">
        <f>CO61</f>
        <v>7610</v>
      </c>
      <c r="BZ49" s="211"/>
      <c r="CM49" s="81" t="s">
        <v>506</v>
      </c>
      <c r="CN49" s="81" t="s">
        <v>423</v>
      </c>
      <c r="CO49" s="204">
        <v>0.14299999999999999</v>
      </c>
      <c r="CP49" s="204">
        <v>7.2499999999999995E-4</v>
      </c>
      <c r="CQ49" s="81">
        <v>197.29</v>
      </c>
      <c r="CR49" s="81" t="s">
        <v>509</v>
      </c>
      <c r="CS49" s="204">
        <v>2E-16</v>
      </c>
      <c r="CT49" s="81" t="s">
        <v>510</v>
      </c>
      <c r="CU49" s="212" t="s">
        <v>506</v>
      </c>
      <c r="CV49" s="81" t="s">
        <v>407</v>
      </c>
      <c r="CW49" s="204">
        <v>53</v>
      </c>
      <c r="CX49" s="204">
        <v>2.9300000000000002E-4</v>
      </c>
      <c r="CY49" s="81">
        <v>180769</v>
      </c>
      <c r="CZ49" s="81" t="s">
        <v>505</v>
      </c>
      <c r="DA49" s="81" t="s">
        <v>510</v>
      </c>
      <c r="DI49" s="204"/>
      <c r="DK49" s="81" t="s">
        <v>431</v>
      </c>
      <c r="DL49" s="289">
        <f t="shared" si="0"/>
        <v>519.71362586605085</v>
      </c>
      <c r="DM49" s="289">
        <f t="shared" si="1"/>
        <v>594</v>
      </c>
      <c r="DN49" s="289">
        <f>BY50</f>
        <v>371</v>
      </c>
      <c r="DP49" s="290" t="s">
        <v>506</v>
      </c>
      <c r="DQ49" s="290" t="s">
        <v>285</v>
      </c>
      <c r="DR49" s="291">
        <v>243</v>
      </c>
      <c r="DS49" s="291">
        <v>0.67300000000000004</v>
      </c>
      <c r="DT49" s="290">
        <v>361.29</v>
      </c>
      <c r="DU49" s="290" t="s">
        <v>509</v>
      </c>
      <c r="DV49" s="291">
        <v>2E-16</v>
      </c>
      <c r="DW49" s="81" t="s">
        <v>510</v>
      </c>
      <c r="DX49" s="212" t="s">
        <v>568</v>
      </c>
      <c r="DY49" s="297" t="s">
        <v>595</v>
      </c>
      <c r="DZ49" s="292" t="s">
        <v>434</v>
      </c>
      <c r="EA49" s="293">
        <f t="shared" si="30"/>
        <v>9.4500000000000001E-2</v>
      </c>
      <c r="EB49" s="212" t="s">
        <v>392</v>
      </c>
    </row>
    <row r="50" spans="2:132" ht="15" customHeight="1" thickTop="1" thickBot="1" x14ac:dyDescent="0.3">
      <c r="K50" s="81"/>
      <c r="L50" s="81"/>
      <c r="M50" s="81"/>
      <c r="P50" s="81"/>
      <c r="Q50" s="81"/>
      <c r="W50" s="283"/>
      <c r="X50" s="284" t="s">
        <v>16</v>
      </c>
      <c r="Y50" s="284">
        <v>3.5</v>
      </c>
      <c r="Z50" s="284" t="s">
        <v>5</v>
      </c>
      <c r="AA50" s="284"/>
      <c r="AB50" s="284" t="s">
        <v>303</v>
      </c>
      <c r="AC50" s="284">
        <f>(1/Z49-1/8-1/23)*0.11</f>
        <v>1.2895962732919253E-2</v>
      </c>
      <c r="AD50" s="285"/>
      <c r="AE50" s="14"/>
      <c r="AF50" s="14"/>
      <c r="AG50" s="14"/>
      <c r="AL50" s="154" t="s">
        <v>389</v>
      </c>
      <c r="AM50" s="81" t="s">
        <v>390</v>
      </c>
      <c r="AN50" s="81" t="s">
        <v>431</v>
      </c>
      <c r="AO50" s="81">
        <f>AO48</f>
        <v>519.71362586605085</v>
      </c>
      <c r="AP50" s="81" t="s">
        <v>392</v>
      </c>
      <c r="AQ50" s="204">
        <v>594</v>
      </c>
      <c r="AU50" s="205" t="s">
        <v>389</v>
      </c>
      <c r="AV50" s="205" t="s">
        <v>390</v>
      </c>
      <c r="AW50" s="205" t="s">
        <v>431</v>
      </c>
      <c r="AX50" s="207" t="s">
        <v>434</v>
      </c>
      <c r="AY50" s="206">
        <f t="shared" si="3"/>
        <v>371</v>
      </c>
      <c r="AZ50" s="205" t="s">
        <v>392</v>
      </c>
      <c r="BP50" s="154" t="s">
        <v>389</v>
      </c>
      <c r="BQ50" s="81" t="s">
        <v>390</v>
      </c>
      <c r="BR50" s="81" t="s">
        <v>431</v>
      </c>
      <c r="BS50" s="204">
        <f t="shared" si="20"/>
        <v>594</v>
      </c>
      <c r="BT50" s="81" t="s">
        <v>392</v>
      </c>
      <c r="BU50" s="204">
        <v>594</v>
      </c>
      <c r="BY50" s="211">
        <f>CO62</f>
        <v>371</v>
      </c>
      <c r="BZ50" s="211"/>
      <c r="CM50" s="81" t="s">
        <v>506</v>
      </c>
      <c r="CN50" s="81" t="s">
        <v>424</v>
      </c>
      <c r="CO50" s="204">
        <v>0.72299999999999998</v>
      </c>
      <c r="CP50" s="204">
        <v>2.46E-2</v>
      </c>
      <c r="CQ50" s="81">
        <v>29.4</v>
      </c>
      <c r="CR50" s="81" t="s">
        <v>509</v>
      </c>
      <c r="CS50" s="204">
        <v>2E-16</v>
      </c>
      <c r="CT50" s="81" t="s">
        <v>510</v>
      </c>
      <c r="CU50" s="212" t="s">
        <v>506</v>
      </c>
      <c r="CV50" s="81" t="s">
        <v>421</v>
      </c>
      <c r="CW50" s="204">
        <v>36.9</v>
      </c>
      <c r="CX50" s="204">
        <v>5.6099999999999998E-4</v>
      </c>
      <c r="CY50" s="81">
        <v>65843</v>
      </c>
      <c r="CZ50" s="81" t="s">
        <v>505</v>
      </c>
      <c r="DA50" s="81" t="s">
        <v>510</v>
      </c>
      <c r="DI50" s="204"/>
      <c r="DP50" s="290" t="s">
        <v>506</v>
      </c>
      <c r="DQ50" s="290" t="s">
        <v>120</v>
      </c>
      <c r="DR50" s="291">
        <v>75.3</v>
      </c>
      <c r="DS50" s="291">
        <v>0.22700000000000001</v>
      </c>
      <c r="DT50" s="290">
        <v>331.86</v>
      </c>
      <c r="DU50" s="290" t="s">
        <v>509</v>
      </c>
      <c r="DV50" s="291">
        <v>2E-16</v>
      </c>
      <c r="DW50" s="81" t="s">
        <v>510</v>
      </c>
      <c r="DX50" s="212" t="s">
        <v>568</v>
      </c>
      <c r="DY50" s="297" t="s">
        <v>596</v>
      </c>
      <c r="DZ50" s="292" t="s">
        <v>434</v>
      </c>
      <c r="EA50" s="293">
        <f t="shared" si="30"/>
        <v>0.52700000000000002</v>
      </c>
      <c r="EB50" s="212" t="s">
        <v>392</v>
      </c>
    </row>
    <row r="51" spans="2:132" ht="15" customHeight="1" thickTop="1" thickBot="1" x14ac:dyDescent="0.3">
      <c r="K51" s="81"/>
      <c r="L51" s="81"/>
      <c r="M51" s="81"/>
      <c r="P51" s="81"/>
      <c r="Q51" s="81"/>
      <c r="W51" s="258"/>
      <c r="X51" s="258"/>
      <c r="Y51" s="259"/>
      <c r="Z51" s="259"/>
      <c r="AA51" s="259"/>
      <c r="AB51" s="258"/>
      <c r="AC51" s="258"/>
      <c r="AD51" s="258"/>
      <c r="AE51" s="14"/>
      <c r="AF51" s="14"/>
      <c r="AG51" s="14"/>
      <c r="CM51" s="81" t="s">
        <v>506</v>
      </c>
      <c r="CN51" s="81" t="s">
        <v>515</v>
      </c>
      <c r="CO51" s="204">
        <v>120000000</v>
      </c>
      <c r="CP51" s="204">
        <v>15700000</v>
      </c>
      <c r="CQ51" s="81">
        <v>7.65</v>
      </c>
      <c r="CR51" s="204">
        <v>2.8000000000000001E-14</v>
      </c>
      <c r="CS51" s="81" t="s">
        <v>510</v>
      </c>
      <c r="CU51" s="212" t="s">
        <v>506</v>
      </c>
      <c r="CV51" s="81" t="s">
        <v>488</v>
      </c>
      <c r="CW51" s="204">
        <v>-10</v>
      </c>
      <c r="CX51" s="204">
        <v>1.5799999999999999E-4</v>
      </c>
      <c r="CY51" s="81">
        <v>-63411</v>
      </c>
      <c r="CZ51" s="81" t="s">
        <v>505</v>
      </c>
      <c r="DA51" s="81" t="s">
        <v>510</v>
      </c>
      <c r="DI51" s="204"/>
      <c r="DP51" s="290" t="s">
        <v>506</v>
      </c>
      <c r="DQ51" s="290" t="s">
        <v>488</v>
      </c>
      <c r="DR51" s="291">
        <v>-6.51</v>
      </c>
      <c r="DS51" s="291">
        <v>1.77E-2</v>
      </c>
      <c r="DT51" s="290">
        <v>-368.15</v>
      </c>
      <c r="DU51" s="290" t="s">
        <v>509</v>
      </c>
      <c r="DV51" s="291">
        <v>2E-16</v>
      </c>
      <c r="DW51" s="81" t="s">
        <v>510</v>
      </c>
      <c r="DX51" s="212" t="s">
        <v>568</v>
      </c>
      <c r="DY51" s="297" t="s">
        <v>597</v>
      </c>
      <c r="DZ51" s="292" t="s">
        <v>434</v>
      </c>
      <c r="EA51" s="293">
        <f t="shared" si="30"/>
        <v>0.51300000000000001</v>
      </c>
      <c r="EB51" s="212" t="s">
        <v>392</v>
      </c>
    </row>
    <row r="52" spans="2:132" thickTop="1" thickBot="1" x14ac:dyDescent="0.3">
      <c r="W52" s="303" t="s">
        <v>610</v>
      </c>
      <c r="X52" s="304"/>
      <c r="Y52" s="305" t="s">
        <v>21</v>
      </c>
      <c r="Z52" s="306">
        <f>(1/(1/8+SUM(AC54:AC56)+1/8))</f>
        <v>1.8430034129692836</v>
      </c>
      <c r="AA52" s="304" t="s">
        <v>5</v>
      </c>
      <c r="AB52" s="304"/>
      <c r="AC52" s="304" t="s">
        <v>22</v>
      </c>
      <c r="AD52" s="307">
        <f>SUM(AD54:AD58)</f>
        <v>181020.00000000003</v>
      </c>
      <c r="CM52" s="81" t="s">
        <v>506</v>
      </c>
      <c r="CN52" s="81" t="s">
        <v>426</v>
      </c>
      <c r="CO52" s="204">
        <v>630000</v>
      </c>
      <c r="CP52" s="204">
        <v>33500</v>
      </c>
      <c r="CQ52" s="81">
        <v>18.79</v>
      </c>
      <c r="CR52" s="81" t="s">
        <v>509</v>
      </c>
      <c r="CS52" s="204">
        <v>2E-16</v>
      </c>
      <c r="CT52" s="81" t="s">
        <v>510</v>
      </c>
      <c r="CU52" s="212" t="s">
        <v>506</v>
      </c>
      <c r="CV52" s="81" t="s">
        <v>489</v>
      </c>
      <c r="CW52" s="204">
        <v>-10</v>
      </c>
      <c r="CX52" s="204">
        <v>1.5799999999999999E-4</v>
      </c>
      <c r="CY52" s="81">
        <v>-63411</v>
      </c>
      <c r="CZ52" s="81" t="s">
        <v>505</v>
      </c>
      <c r="DA52" s="81" t="s">
        <v>510</v>
      </c>
      <c r="DE52" s="81" t="s">
        <v>389</v>
      </c>
      <c r="DF52" s="81" t="s">
        <v>390</v>
      </c>
      <c r="DG52" s="81" t="str">
        <f t="shared" si="13"/>
        <v>UfDN</v>
      </c>
      <c r="DH52" s="81" t="s">
        <v>434</v>
      </c>
      <c r="DI52" s="204">
        <f t="shared" si="14"/>
        <v>532</v>
      </c>
      <c r="DJ52" s="81" t="s">
        <v>392</v>
      </c>
      <c r="DP52" s="290" t="s">
        <v>506</v>
      </c>
      <c r="DQ52" s="290" t="s">
        <v>489</v>
      </c>
      <c r="DR52" s="291">
        <v>-7.22</v>
      </c>
      <c r="DS52" s="291">
        <v>1.5599999999999999E-2</v>
      </c>
      <c r="DT52" s="290">
        <v>-463.26</v>
      </c>
      <c r="DU52" s="290" t="s">
        <v>509</v>
      </c>
      <c r="DV52" s="291">
        <v>2E-16</v>
      </c>
      <c r="DW52" s="81" t="s">
        <v>510</v>
      </c>
      <c r="DX52" s="212" t="s">
        <v>568</v>
      </c>
      <c r="DY52" s="297" t="s">
        <v>598</v>
      </c>
      <c r="DZ52" s="292" t="s">
        <v>434</v>
      </c>
      <c r="EA52" s="293">
        <f t="shared" si="30"/>
        <v>6.0299999999999999E-2</v>
      </c>
      <c r="EB52" s="212" t="s">
        <v>392</v>
      </c>
    </row>
    <row r="53" spans="2:132" thickTop="1" thickBot="1" x14ac:dyDescent="0.3">
      <c r="W53" s="308"/>
      <c r="X53" s="266" t="s">
        <v>27</v>
      </c>
      <c r="Y53" s="266" t="s">
        <v>28</v>
      </c>
      <c r="Z53" s="266" t="s">
        <v>29</v>
      </c>
      <c r="AA53" s="266" t="s">
        <v>30</v>
      </c>
      <c r="AB53" s="266" t="s">
        <v>31</v>
      </c>
      <c r="AC53" s="266" t="s">
        <v>32</v>
      </c>
      <c r="AD53" s="309" t="s">
        <v>33</v>
      </c>
      <c r="CM53" s="81">
        <v>17</v>
      </c>
      <c r="CU53" s="212" t="s">
        <v>506</v>
      </c>
      <c r="CV53" s="81" t="s">
        <v>490</v>
      </c>
      <c r="CW53" s="204">
        <v>-10</v>
      </c>
      <c r="CX53" s="204">
        <v>1.5799999999999999E-4</v>
      </c>
      <c r="CY53" s="81">
        <v>-63411</v>
      </c>
      <c r="CZ53" s="81" t="s">
        <v>505</v>
      </c>
      <c r="DA53" s="81" t="s">
        <v>510</v>
      </c>
      <c r="DE53" s="81" t="s">
        <v>389</v>
      </c>
      <c r="DF53" s="81" t="s">
        <v>390</v>
      </c>
      <c r="DG53" s="81" t="str">
        <f t="shared" si="13"/>
        <v>Ufi</v>
      </c>
      <c r="DH53" s="81" t="s">
        <v>434</v>
      </c>
      <c r="DI53" s="204">
        <f t="shared" si="14"/>
        <v>1</v>
      </c>
      <c r="DJ53" s="81" t="s">
        <v>392</v>
      </c>
      <c r="DP53" s="290" t="s">
        <v>506</v>
      </c>
      <c r="DQ53" s="290" t="s">
        <v>490</v>
      </c>
      <c r="DR53" s="291">
        <v>-7.72</v>
      </c>
      <c r="DS53" s="291">
        <v>2.1999999999999999E-2</v>
      </c>
      <c r="DT53" s="290">
        <v>-350.51</v>
      </c>
      <c r="DU53" s="290" t="s">
        <v>509</v>
      </c>
      <c r="DV53" s="291">
        <v>2E-16</v>
      </c>
      <c r="DW53" s="81" t="s">
        <v>510</v>
      </c>
      <c r="DX53" s="212" t="s">
        <v>568</v>
      </c>
      <c r="DY53" s="297" t="s">
        <v>599</v>
      </c>
      <c r="DZ53" s="292" t="s">
        <v>434</v>
      </c>
      <c r="EA53" s="293">
        <f t="shared" si="30"/>
        <v>2.0900000000000001E-7</v>
      </c>
      <c r="EB53" s="212" t="s">
        <v>392</v>
      </c>
    </row>
    <row r="54" spans="2:132" thickTop="1" thickBot="1" x14ac:dyDescent="0.3">
      <c r="W54" s="310"/>
      <c r="X54" s="221" t="s">
        <v>90</v>
      </c>
      <c r="Y54" s="221">
        <v>0.02</v>
      </c>
      <c r="Z54" s="221">
        <v>0.6</v>
      </c>
      <c r="AA54" s="221">
        <v>975</v>
      </c>
      <c r="AB54" s="221">
        <v>840</v>
      </c>
      <c r="AC54" s="268">
        <f>Y54/Z54</f>
        <v>3.3333333333333333E-2</v>
      </c>
      <c r="AD54" s="311">
        <f>Y54*AA54*AB54</f>
        <v>16380</v>
      </c>
      <c r="AN54" s="160" t="s">
        <v>432</v>
      </c>
      <c r="AO54" s="160">
        <f>SUM(AO42,AO4:AO7)</f>
        <v>1</v>
      </c>
      <c r="AP54" s="160"/>
      <c r="BR54" s="160" t="s">
        <v>432</v>
      </c>
      <c r="BS54" s="160">
        <f>SUM(BS42,BS4:BS7)</f>
        <v>0.99119290000000004</v>
      </c>
      <c r="BT54" s="160"/>
      <c r="CM54" s="81" t="s">
        <v>506</v>
      </c>
      <c r="CN54" s="81" t="s">
        <v>480</v>
      </c>
      <c r="CO54" s="204">
        <v>-3.69</v>
      </c>
      <c r="CP54" s="204">
        <v>1.17</v>
      </c>
      <c r="CQ54" s="81">
        <v>-3.14</v>
      </c>
      <c r="CR54" s="81">
        <v>1.6999999999999999E-3</v>
      </c>
      <c r="CS54" s="81" t="s">
        <v>516</v>
      </c>
      <c r="CU54" s="212" t="s">
        <v>506</v>
      </c>
      <c r="CV54" s="81" t="s">
        <v>491</v>
      </c>
      <c r="CW54" s="204">
        <v>-10</v>
      </c>
      <c r="CX54" s="204">
        <v>1.5799999999999999E-4</v>
      </c>
      <c r="CY54" s="81">
        <v>-63411</v>
      </c>
      <c r="CZ54" s="81" t="s">
        <v>505</v>
      </c>
      <c r="DA54" s="81" t="s">
        <v>510</v>
      </c>
      <c r="DE54" s="81" t="s">
        <v>389</v>
      </c>
      <c r="DF54" s="81" t="s">
        <v>390</v>
      </c>
      <c r="DG54" s="81" t="str">
        <f t="shared" si="13"/>
        <v>UfND</v>
      </c>
      <c r="DH54" s="81" t="s">
        <v>434</v>
      </c>
      <c r="DI54" s="204">
        <f t="shared" si="14"/>
        <v>351</v>
      </c>
      <c r="DJ54" s="81" t="s">
        <v>392</v>
      </c>
      <c r="DP54" s="290" t="s">
        <v>506</v>
      </c>
      <c r="DQ54" s="290" t="s">
        <v>491</v>
      </c>
      <c r="DR54" s="291">
        <v>-6.7</v>
      </c>
      <c r="DS54" s="291">
        <v>1.54E-2</v>
      </c>
      <c r="DT54" s="290">
        <v>-435.81</v>
      </c>
      <c r="DU54" s="290" t="s">
        <v>509</v>
      </c>
      <c r="DV54" s="291">
        <v>2E-16</v>
      </c>
      <c r="DW54" s="81" t="s">
        <v>510</v>
      </c>
      <c r="DX54" s="212" t="s">
        <v>568</v>
      </c>
      <c r="DY54" s="297" t="s">
        <v>600</v>
      </c>
      <c r="DZ54" s="292" t="s">
        <v>434</v>
      </c>
      <c r="EA54" s="293">
        <f t="shared" si="30"/>
        <v>5.2699999999999997E-2</v>
      </c>
      <c r="EB54" s="212" t="s">
        <v>392</v>
      </c>
    </row>
    <row r="55" spans="2:132" thickTop="1" thickBot="1" x14ac:dyDescent="0.3">
      <c r="W55" s="310"/>
      <c r="X55" s="231" t="s">
        <v>611</v>
      </c>
      <c r="Y55" s="221">
        <v>0.14000000000000001</v>
      </c>
      <c r="Z55" s="221">
        <v>0.54</v>
      </c>
      <c r="AA55" s="221">
        <v>1400</v>
      </c>
      <c r="AB55" s="231">
        <v>840</v>
      </c>
      <c r="AC55" s="268">
        <f>Y55/Z55</f>
        <v>0.25925925925925924</v>
      </c>
      <c r="AD55" s="222">
        <f>Y55*AA55*AB55</f>
        <v>164640.00000000003</v>
      </c>
      <c r="AN55" s="160" t="s">
        <v>432</v>
      </c>
      <c r="AO55" s="160">
        <f>SUM(AO43,AO26:AO28)</f>
        <v>0.99999999999999989</v>
      </c>
      <c r="AP55" s="160"/>
      <c r="BR55" s="160" t="s">
        <v>432</v>
      </c>
      <c r="BS55" s="160">
        <f>SUM(BS43,BS26:BS28)</f>
        <v>1.006</v>
      </c>
      <c r="BT55" s="160"/>
      <c r="CM55" s="81" t="s">
        <v>506</v>
      </c>
      <c r="CN55" s="81" t="s">
        <v>517</v>
      </c>
      <c r="CO55" s="204">
        <v>-0.99099999999999999</v>
      </c>
      <c r="CP55" s="204">
        <v>0.94399999999999995</v>
      </c>
      <c r="CQ55" s="81">
        <v>-1.05</v>
      </c>
      <c r="CR55" s="81">
        <v>0.29389999999999999</v>
      </c>
      <c r="CU55" s="212" t="s">
        <v>506</v>
      </c>
      <c r="CV55" s="81" t="s">
        <v>492</v>
      </c>
      <c r="CW55" s="204">
        <v>-10</v>
      </c>
      <c r="CX55" s="204">
        <v>1.5799999999999999E-4</v>
      </c>
      <c r="CY55" s="81">
        <v>-63411</v>
      </c>
      <c r="CZ55" s="81" t="s">
        <v>505</v>
      </c>
      <c r="DA55" s="81" t="s">
        <v>510</v>
      </c>
      <c r="DE55" s="81" t="s">
        <v>389</v>
      </c>
      <c r="DF55" s="81" t="s">
        <v>390</v>
      </c>
      <c r="DG55" s="81" t="str">
        <f t="shared" si="13"/>
        <v>UwD</v>
      </c>
      <c r="DH55" s="81" t="s">
        <v>434</v>
      </c>
      <c r="DI55" s="204">
        <f t="shared" si="14"/>
        <v>61.2</v>
      </c>
      <c r="DJ55" s="81" t="s">
        <v>392</v>
      </c>
      <c r="DP55" s="290" t="s">
        <v>506</v>
      </c>
      <c r="DQ55" s="290" t="s">
        <v>492</v>
      </c>
      <c r="DR55" s="291">
        <v>-7.4</v>
      </c>
      <c r="DS55" s="291">
        <v>1.7399999999999999E-2</v>
      </c>
      <c r="DT55" s="290">
        <v>-425.44</v>
      </c>
      <c r="DU55" s="290" t="s">
        <v>509</v>
      </c>
      <c r="DV55" s="291">
        <v>2E-16</v>
      </c>
      <c r="DW55" s="81" t="s">
        <v>510</v>
      </c>
      <c r="DX55" s="212" t="s">
        <v>568</v>
      </c>
      <c r="DY55" s="297" t="s">
        <v>601</v>
      </c>
      <c r="DZ55" s="292" t="s">
        <v>434</v>
      </c>
      <c r="EA55" s="293">
        <f t="shared" si="30"/>
        <v>0.20699999999999999</v>
      </c>
      <c r="EB55" s="212" t="s">
        <v>392</v>
      </c>
    </row>
    <row r="56" spans="2:132" thickTop="1" thickBot="1" x14ac:dyDescent="0.3">
      <c r="W56" s="312"/>
      <c r="X56" s="313" t="s">
        <v>269</v>
      </c>
      <c r="Y56" s="314">
        <v>0</v>
      </c>
      <c r="Z56" s="314">
        <v>3.5999999999999997E-2</v>
      </c>
      <c r="AA56" s="314">
        <v>26</v>
      </c>
      <c r="AB56" s="314">
        <v>1470</v>
      </c>
      <c r="AC56" s="315">
        <f>Y56/Z56</f>
        <v>0</v>
      </c>
      <c r="AD56" s="316">
        <f>Y56*AA56*AB56</f>
        <v>0</v>
      </c>
      <c r="AN56" s="160" t="s">
        <v>433</v>
      </c>
      <c r="AO56" s="160">
        <f>SUM(AO46,AO14:AO17)</f>
        <v>0.99999999999999989</v>
      </c>
      <c r="AP56" s="160"/>
      <c r="BR56" s="160" t="s">
        <v>433</v>
      </c>
      <c r="BS56" s="160">
        <f>SUM(BS46,BS14:BS17)</f>
        <v>0.98349999999999993</v>
      </c>
      <c r="BT56" s="160"/>
      <c r="CM56" s="81" t="s">
        <v>506</v>
      </c>
      <c r="CN56" s="81" t="s">
        <v>518</v>
      </c>
      <c r="CO56" s="204">
        <v>5.6500000000000002E-2</v>
      </c>
      <c r="CP56" s="204">
        <v>4.6299999999999998E-4</v>
      </c>
      <c r="CQ56" s="81">
        <v>122.19</v>
      </c>
      <c r="CR56" s="81" t="s">
        <v>509</v>
      </c>
      <c r="CS56" s="204">
        <v>2E-16</v>
      </c>
      <c r="CT56" s="81" t="s">
        <v>510</v>
      </c>
      <c r="CU56" s="212" t="s">
        <v>506</v>
      </c>
      <c r="CV56" s="81" t="s">
        <v>530</v>
      </c>
      <c r="CW56" s="204">
        <v>-10</v>
      </c>
      <c r="CX56" s="204">
        <v>1.5799999999999999E-4</v>
      </c>
      <c r="CY56" s="81">
        <v>-63411</v>
      </c>
      <c r="CZ56" s="81" t="s">
        <v>505</v>
      </c>
      <c r="DA56" s="81" t="s">
        <v>510</v>
      </c>
      <c r="DE56" s="81" t="s">
        <v>389</v>
      </c>
      <c r="DF56" s="81" t="s">
        <v>390</v>
      </c>
      <c r="DG56" s="81" t="str">
        <f t="shared" si="13"/>
        <v>UwN</v>
      </c>
      <c r="DH56" s="81" t="s">
        <v>434</v>
      </c>
      <c r="DI56" s="204">
        <f t="shared" si="14"/>
        <v>50</v>
      </c>
      <c r="DJ56" s="81" t="s">
        <v>392</v>
      </c>
      <c r="DP56" s="290" t="s">
        <v>506</v>
      </c>
      <c r="DQ56" s="290" t="s">
        <v>493</v>
      </c>
      <c r="DR56" s="291">
        <v>3.8300000000000001E-2</v>
      </c>
      <c r="DS56" s="291">
        <v>3.4600000000000001E-4</v>
      </c>
      <c r="DT56" s="290">
        <v>110.64</v>
      </c>
      <c r="DU56" s="290" t="s">
        <v>509</v>
      </c>
      <c r="DV56" s="291">
        <v>2E-16</v>
      </c>
      <c r="DW56" s="81" t="s">
        <v>510</v>
      </c>
      <c r="DX56" s="212" t="s">
        <v>568</v>
      </c>
      <c r="DY56" s="297" t="s">
        <v>602</v>
      </c>
      <c r="DZ56" s="292" t="s">
        <v>434</v>
      </c>
      <c r="EA56" s="293">
        <f t="shared" si="30"/>
        <v>0.26200000000000001</v>
      </c>
      <c r="EB56" s="212" t="s">
        <v>392</v>
      </c>
    </row>
    <row r="57" spans="2:132" thickTop="1" thickBot="1" x14ac:dyDescent="0.3">
      <c r="AN57" s="160" t="s">
        <v>433</v>
      </c>
      <c r="AO57" s="160">
        <f>SUM(AO47,AO33:AO35)</f>
        <v>1</v>
      </c>
      <c r="AP57" s="160"/>
      <c r="BR57" s="160" t="s">
        <v>433</v>
      </c>
      <c r="BS57" s="160">
        <f>SUM(BS47,BS33:BS35)</f>
        <v>0.98880000000000012</v>
      </c>
      <c r="BT57" s="160"/>
      <c r="CM57" s="81" t="s">
        <v>506</v>
      </c>
      <c r="CN57" s="81" t="s">
        <v>519</v>
      </c>
      <c r="CO57" s="204">
        <v>1.15E-3</v>
      </c>
      <c r="CP57" s="204">
        <v>8.8200000000000003E-5</v>
      </c>
      <c r="CQ57" s="81">
        <v>13.04</v>
      </c>
      <c r="CR57" s="81" t="s">
        <v>509</v>
      </c>
      <c r="CS57" s="204">
        <v>2E-16</v>
      </c>
      <c r="CT57" s="81" t="s">
        <v>510</v>
      </c>
      <c r="CU57" s="212" t="s">
        <v>506</v>
      </c>
      <c r="CV57" s="81" t="s">
        <v>531</v>
      </c>
      <c r="CW57" s="204">
        <v>-10</v>
      </c>
      <c r="CX57" s="204">
        <v>1.5799999999999999E-4</v>
      </c>
      <c r="CY57" s="81">
        <v>-63411</v>
      </c>
      <c r="CZ57" s="81" t="s">
        <v>505</v>
      </c>
      <c r="DA57" s="81" t="s">
        <v>510</v>
      </c>
      <c r="DI57" s="204"/>
      <c r="DP57" s="290" t="s">
        <v>506</v>
      </c>
      <c r="DQ57" s="290" t="s">
        <v>494</v>
      </c>
      <c r="DR57" s="291">
        <v>83.4</v>
      </c>
      <c r="DS57" s="291">
        <v>0.33800000000000002</v>
      </c>
      <c r="DT57" s="290">
        <v>246.76</v>
      </c>
      <c r="DU57" s="290" t="s">
        <v>509</v>
      </c>
      <c r="DV57" s="291">
        <v>2E-16</v>
      </c>
      <c r="DW57" s="81" t="s">
        <v>510</v>
      </c>
      <c r="DX57" s="212" t="s">
        <v>568</v>
      </c>
      <c r="DY57" s="297" t="s">
        <v>603</v>
      </c>
      <c r="DZ57" s="292" t="s">
        <v>434</v>
      </c>
      <c r="EA57" s="293">
        <f t="shared" si="30"/>
        <v>0.27300000000000002</v>
      </c>
      <c r="EB57" s="212" t="s">
        <v>392</v>
      </c>
    </row>
    <row r="58" spans="2:132" thickTop="1" thickBot="1" x14ac:dyDescent="0.3">
      <c r="CM58" s="81" t="s">
        <v>506</v>
      </c>
      <c r="CN58" s="81" t="s">
        <v>492</v>
      </c>
      <c r="CO58" s="204">
        <v>-2.19</v>
      </c>
      <c r="CP58" s="204">
        <v>2.1600000000000001E-2</v>
      </c>
      <c r="CQ58" s="81">
        <v>-101.52</v>
      </c>
      <c r="CR58" s="81" t="s">
        <v>509</v>
      </c>
      <c r="CS58" s="204">
        <v>2E-16</v>
      </c>
      <c r="CT58" s="81" t="s">
        <v>510</v>
      </c>
      <c r="CU58" s="212" t="s">
        <v>506</v>
      </c>
      <c r="CV58" s="81" t="s">
        <v>532</v>
      </c>
      <c r="CW58" s="204">
        <v>-10</v>
      </c>
      <c r="CX58" s="204">
        <v>1.5799999999999999E-4</v>
      </c>
      <c r="CY58" s="81">
        <v>-63411</v>
      </c>
      <c r="CZ58" s="81" t="s">
        <v>505</v>
      </c>
      <c r="DA58" s="81" t="s">
        <v>510</v>
      </c>
      <c r="DI58" s="204"/>
      <c r="DP58" s="290" t="s">
        <v>506</v>
      </c>
      <c r="DQ58" s="290" t="s">
        <v>495</v>
      </c>
      <c r="DR58" s="291">
        <v>9980</v>
      </c>
      <c r="DS58" s="291">
        <v>57.9</v>
      </c>
      <c r="DT58" s="290">
        <v>172.41</v>
      </c>
      <c r="DU58" s="291" t="s">
        <v>509</v>
      </c>
      <c r="DV58" s="291">
        <v>2E-16</v>
      </c>
      <c r="DW58" s="81" t="s">
        <v>510</v>
      </c>
      <c r="DX58" s="212" t="s">
        <v>568</v>
      </c>
      <c r="DY58" s="297" t="s">
        <v>604</v>
      </c>
      <c r="DZ58" s="292" t="s">
        <v>434</v>
      </c>
      <c r="EA58" s="293">
        <f t="shared" si="30"/>
        <v>0.28100000000000003</v>
      </c>
      <c r="EB58" s="212" t="s">
        <v>392</v>
      </c>
    </row>
    <row r="59" spans="2:132" thickTop="1" thickBot="1" x14ac:dyDescent="0.3">
      <c r="CM59" s="81" t="s">
        <v>506</v>
      </c>
      <c r="CN59" s="81" t="s">
        <v>520</v>
      </c>
      <c r="CO59" s="204">
        <v>-5.72</v>
      </c>
      <c r="CP59" s="204">
        <v>2.24E-2</v>
      </c>
      <c r="CQ59" s="81">
        <v>-255.17</v>
      </c>
      <c r="CR59" s="81" t="s">
        <v>509</v>
      </c>
      <c r="CS59" s="204">
        <v>2E-16</v>
      </c>
      <c r="CT59" s="81" t="s">
        <v>510</v>
      </c>
      <c r="CU59" s="212" t="s">
        <v>506</v>
      </c>
      <c r="CV59" s="81" t="s">
        <v>429</v>
      </c>
      <c r="CW59" s="204">
        <v>532</v>
      </c>
      <c r="CX59" s="204">
        <v>8.1700000000000002E-3</v>
      </c>
      <c r="CY59" s="81">
        <v>65144</v>
      </c>
      <c r="CZ59" s="81" t="s">
        <v>505</v>
      </c>
      <c r="DA59" s="81" t="s">
        <v>510</v>
      </c>
      <c r="DI59" s="204"/>
      <c r="DP59" s="290" t="s">
        <v>506</v>
      </c>
      <c r="DQ59" s="290" t="s">
        <v>496</v>
      </c>
      <c r="DR59" s="291">
        <v>32.5</v>
      </c>
      <c r="DS59" s="291">
        <v>0.48299999999999998</v>
      </c>
      <c r="DT59" s="290">
        <v>67.239999999999995</v>
      </c>
      <c r="DU59" s="290" t="s">
        <v>509</v>
      </c>
      <c r="DV59" s="291">
        <v>2E-16</v>
      </c>
      <c r="DW59" s="81" t="s">
        <v>510</v>
      </c>
      <c r="DX59" s="212" t="s">
        <v>568</v>
      </c>
      <c r="DY59" s="297" t="s">
        <v>605</v>
      </c>
      <c r="DZ59" s="292" t="s">
        <v>434</v>
      </c>
      <c r="EA59" s="293">
        <f t="shared" si="30"/>
        <v>0.25800000000000001</v>
      </c>
      <c r="EB59" s="212" t="s">
        <v>392</v>
      </c>
    </row>
    <row r="60" spans="2:132" thickTop="1" thickBot="1" x14ac:dyDescent="0.3">
      <c r="CM60" s="81" t="s">
        <v>506</v>
      </c>
      <c r="CN60" s="81" t="s">
        <v>429</v>
      </c>
      <c r="CO60" s="204">
        <v>138</v>
      </c>
      <c r="CP60" s="204">
        <v>1.2</v>
      </c>
      <c r="CQ60" s="81">
        <v>115.34</v>
      </c>
      <c r="CR60" s="81" t="s">
        <v>509</v>
      </c>
      <c r="CS60" s="204">
        <v>2E-16</v>
      </c>
      <c r="CT60" s="81" t="s">
        <v>510</v>
      </c>
      <c r="CU60" s="212" t="s">
        <v>506</v>
      </c>
      <c r="CV60" s="81" t="s">
        <v>430</v>
      </c>
      <c r="CW60" s="204">
        <v>1</v>
      </c>
      <c r="CX60" s="204">
        <v>1.5800000000000001E-5</v>
      </c>
      <c r="CY60" s="81">
        <v>63424</v>
      </c>
      <c r="CZ60" s="81" t="s">
        <v>505</v>
      </c>
      <c r="DA60" s="81" t="s">
        <v>510</v>
      </c>
      <c r="DI60" s="204"/>
      <c r="DY60" s="297"/>
      <c r="DZ60" s="292"/>
      <c r="EA60" s="293"/>
    </row>
    <row r="61" spans="2:132" thickTop="1" thickBot="1" x14ac:dyDescent="0.3">
      <c r="CM61" s="81" t="s">
        <v>506</v>
      </c>
      <c r="CN61" s="81" t="s">
        <v>430</v>
      </c>
      <c r="CO61" s="204">
        <v>7610</v>
      </c>
      <c r="CP61" s="204">
        <v>117</v>
      </c>
      <c r="CQ61" s="81">
        <v>64.83</v>
      </c>
      <c r="CR61" s="81" t="s">
        <v>509</v>
      </c>
      <c r="CS61" s="204">
        <v>2E-16</v>
      </c>
      <c r="CT61" s="81" t="s">
        <v>510</v>
      </c>
      <c r="CU61" s="212" t="s">
        <v>506</v>
      </c>
      <c r="CV61" s="81" t="s">
        <v>431</v>
      </c>
      <c r="CW61" s="204">
        <v>351</v>
      </c>
      <c r="CX61" s="204">
        <v>5.3400000000000001E-3</v>
      </c>
      <c r="CY61" s="81">
        <v>65718</v>
      </c>
      <c r="CZ61" s="81" t="s">
        <v>505</v>
      </c>
      <c r="DA61" s="81" t="s">
        <v>510</v>
      </c>
      <c r="DI61" s="204"/>
      <c r="DX61" s="212" t="s">
        <v>568</v>
      </c>
      <c r="DY61" s="297" t="s">
        <v>413</v>
      </c>
      <c r="DZ61" s="292" t="s">
        <v>434</v>
      </c>
      <c r="EA61" s="293">
        <f>DR86</f>
        <v>2080000</v>
      </c>
      <c r="EB61" s="212" t="s">
        <v>392</v>
      </c>
    </row>
    <row r="62" spans="2:132" thickTop="1" thickBot="1" x14ac:dyDescent="0.3">
      <c r="CM62" s="81" t="s">
        <v>506</v>
      </c>
      <c r="CN62" s="81" t="s">
        <v>431</v>
      </c>
      <c r="CO62" s="204">
        <v>371</v>
      </c>
      <c r="CP62" s="204">
        <v>5.67</v>
      </c>
      <c r="CQ62" s="81">
        <v>65.489999999999995</v>
      </c>
      <c r="CR62" s="81" t="s">
        <v>509</v>
      </c>
      <c r="CS62" s="204">
        <v>2E-16</v>
      </c>
      <c r="CT62" s="81" t="s">
        <v>510</v>
      </c>
      <c r="CU62" s="212" t="s">
        <v>506</v>
      </c>
      <c r="CV62" s="81" t="s">
        <v>408</v>
      </c>
      <c r="CW62" s="204">
        <v>61.2</v>
      </c>
      <c r="CX62" s="204">
        <v>2.7300000000000002E-4</v>
      </c>
      <c r="CY62" s="81">
        <v>224462</v>
      </c>
      <c r="CZ62" s="81" t="s">
        <v>505</v>
      </c>
      <c r="DA62" s="81" t="s">
        <v>510</v>
      </c>
      <c r="DI62" s="204"/>
      <c r="DP62" s="290" t="s">
        <v>506</v>
      </c>
      <c r="DQ62" s="290" t="s">
        <v>497</v>
      </c>
      <c r="DR62" s="290" t="s">
        <v>558</v>
      </c>
      <c r="DX62" s="212" t="s">
        <v>568</v>
      </c>
      <c r="DY62" s="297" t="s">
        <v>414</v>
      </c>
      <c r="DZ62" s="292" t="s">
        <v>434</v>
      </c>
      <c r="EA62" s="293">
        <f t="shared" ref="EA62:EA63" si="31">DR87</f>
        <v>4360000</v>
      </c>
      <c r="EB62" s="212" t="s">
        <v>392</v>
      </c>
    </row>
    <row r="63" spans="2:132" thickTop="1" thickBot="1" x14ac:dyDescent="0.3">
      <c r="CU63" s="212" t="s">
        <v>506</v>
      </c>
      <c r="CV63" s="81" t="s">
        <v>422</v>
      </c>
      <c r="CW63" s="204">
        <v>50</v>
      </c>
      <c r="CX63" s="204">
        <v>2.2499999999999999E-4</v>
      </c>
      <c r="CY63" s="81">
        <v>221939</v>
      </c>
      <c r="CZ63" s="81" t="s">
        <v>505</v>
      </c>
      <c r="DA63" s="81" t="s">
        <v>510</v>
      </c>
      <c r="DP63" s="290" t="s">
        <v>506</v>
      </c>
      <c r="DQ63" s="290" t="s">
        <v>499</v>
      </c>
      <c r="DX63" s="212" t="s">
        <v>568</v>
      </c>
      <c r="DY63" s="297" t="s">
        <v>415</v>
      </c>
      <c r="DZ63" s="292" t="s">
        <v>434</v>
      </c>
      <c r="EA63" s="293">
        <f t="shared" si="31"/>
        <v>22200000</v>
      </c>
      <c r="EB63" s="212" t="s">
        <v>392</v>
      </c>
    </row>
    <row r="64" spans="2:132" thickTop="1" thickBot="1" x14ac:dyDescent="0.3">
      <c r="DP64" s="290" t="s">
        <v>506</v>
      </c>
      <c r="DQ64" s="290" t="s">
        <v>500</v>
      </c>
      <c r="DR64" s="290" t="s">
        <v>501</v>
      </c>
      <c r="DS64" s="290" t="s">
        <v>502</v>
      </c>
      <c r="DT64" s="290" t="s">
        <v>503</v>
      </c>
      <c r="DU64" s="290" t="s">
        <v>504</v>
      </c>
      <c r="DV64" s="290" t="s">
        <v>508</v>
      </c>
      <c r="DZ64" s="292"/>
    </row>
    <row r="65" spans="120:132" thickTop="1" thickBot="1" x14ac:dyDescent="0.3">
      <c r="DP65" s="290" t="s">
        <v>506</v>
      </c>
      <c r="DQ65" s="290" t="s">
        <v>465</v>
      </c>
      <c r="DR65" s="291">
        <v>291</v>
      </c>
      <c r="DS65" s="291">
        <v>1.7899999999999999E-2</v>
      </c>
      <c r="DT65" s="290">
        <v>16241.28</v>
      </c>
      <c r="DU65" s="290" t="s">
        <v>505</v>
      </c>
      <c r="DV65" s="291" t="s">
        <v>510</v>
      </c>
      <c r="DW65" s="81" t="s">
        <v>510</v>
      </c>
      <c r="DX65" s="212" t="s">
        <v>568</v>
      </c>
      <c r="DY65" s="297" t="s">
        <v>416</v>
      </c>
      <c r="DZ65" s="292" t="s">
        <v>434</v>
      </c>
      <c r="EA65" s="293">
        <f>DR93</f>
        <v>0.11700000000000001</v>
      </c>
      <c r="EB65" s="212" t="s">
        <v>392</v>
      </c>
    </row>
    <row r="66" spans="120:132" thickTop="1" thickBot="1" x14ac:dyDescent="0.3">
      <c r="DP66" s="290" t="s">
        <v>506</v>
      </c>
      <c r="DQ66" s="290" t="s">
        <v>466</v>
      </c>
      <c r="DR66" s="291">
        <v>289</v>
      </c>
      <c r="DS66" s="291">
        <v>3.9300000000000002E-2</v>
      </c>
      <c r="DT66" s="290">
        <v>7356.26</v>
      </c>
      <c r="DU66" s="290" t="s">
        <v>505</v>
      </c>
      <c r="DV66" s="291" t="s">
        <v>510</v>
      </c>
      <c r="DW66" s="81" t="s">
        <v>510</v>
      </c>
      <c r="DX66" s="212" t="s">
        <v>568</v>
      </c>
      <c r="DY66" s="297" t="s">
        <v>417</v>
      </c>
      <c r="DZ66" s="292" t="s">
        <v>434</v>
      </c>
      <c r="EA66" s="293">
        <f t="shared" ref="EA66:EA68" si="32">DR94</f>
        <v>0.125</v>
      </c>
      <c r="EB66" s="212" t="s">
        <v>392</v>
      </c>
    </row>
    <row r="67" spans="120:132" thickTop="1" thickBot="1" x14ac:dyDescent="0.3">
      <c r="DP67" s="290" t="s">
        <v>506</v>
      </c>
      <c r="DQ67" s="290" t="s">
        <v>467</v>
      </c>
      <c r="DR67" s="291">
        <v>292</v>
      </c>
      <c r="DS67" s="291">
        <v>3.0800000000000001E-2</v>
      </c>
      <c r="DT67" s="290">
        <v>9474.2999999999993</v>
      </c>
      <c r="DU67" s="290" t="s">
        <v>505</v>
      </c>
      <c r="DV67" s="291" t="s">
        <v>510</v>
      </c>
      <c r="DW67" s="81" t="s">
        <v>510</v>
      </c>
      <c r="DX67" s="212" t="s">
        <v>568</v>
      </c>
      <c r="DY67" s="297" t="s">
        <v>418</v>
      </c>
      <c r="DZ67" s="292" t="s">
        <v>434</v>
      </c>
      <c r="EA67" s="293">
        <f t="shared" si="32"/>
        <v>0.69499999999999995</v>
      </c>
      <c r="EB67" s="212" t="s">
        <v>392</v>
      </c>
    </row>
    <row r="68" spans="120:132" thickTop="1" thickBot="1" x14ac:dyDescent="0.3">
      <c r="DP68" s="290" t="s">
        <v>506</v>
      </c>
      <c r="DQ68" s="290" t="s">
        <v>468</v>
      </c>
      <c r="DR68" s="291">
        <v>295</v>
      </c>
      <c r="DS68" s="291">
        <v>5.5399999999999998E-2</v>
      </c>
      <c r="DT68" s="290">
        <v>5317.99</v>
      </c>
      <c r="DU68" s="290" t="s">
        <v>505</v>
      </c>
      <c r="DV68" s="291" t="s">
        <v>510</v>
      </c>
      <c r="DW68" s="81" t="s">
        <v>510</v>
      </c>
      <c r="DX68" s="212" t="s">
        <v>568</v>
      </c>
      <c r="DY68" s="297" t="s">
        <v>519</v>
      </c>
      <c r="DZ68" s="292" t="s">
        <v>434</v>
      </c>
      <c r="EA68" s="293">
        <f t="shared" si="32"/>
        <v>5.8299999999999998E-2</v>
      </c>
      <c r="EB68" s="212" t="s">
        <v>392</v>
      </c>
    </row>
    <row r="69" spans="120:132" thickTop="1" thickBot="1" x14ac:dyDescent="0.3">
      <c r="DP69" s="290" t="s">
        <v>506</v>
      </c>
      <c r="DQ69" s="290" t="s">
        <v>541</v>
      </c>
      <c r="DR69" s="291">
        <v>0.158</v>
      </c>
      <c r="DS69" s="291">
        <v>1.8599999999999998E-2</v>
      </c>
      <c r="DT69" s="290">
        <v>8.49</v>
      </c>
      <c r="DU69" s="291" t="s">
        <v>505</v>
      </c>
      <c r="DV69" s="290" t="s">
        <v>510</v>
      </c>
      <c r="DZ69" s="292"/>
    </row>
    <row r="70" spans="120:132" thickTop="1" thickBot="1" x14ac:dyDescent="0.3">
      <c r="DP70" s="290" t="s">
        <v>506</v>
      </c>
      <c r="DQ70" s="290" t="s">
        <v>410</v>
      </c>
      <c r="DR70" s="291">
        <v>0.622</v>
      </c>
      <c r="DS70" s="291">
        <v>3.9899999999999998E-2</v>
      </c>
      <c r="DT70" s="290">
        <v>15.58</v>
      </c>
      <c r="DU70" s="290" t="s">
        <v>505</v>
      </c>
      <c r="DV70" s="290" t="s">
        <v>510</v>
      </c>
      <c r="DX70" s="212" t="s">
        <v>568</v>
      </c>
      <c r="DY70" s="297" t="s">
        <v>606</v>
      </c>
      <c r="DZ70" s="292" t="s">
        <v>434</v>
      </c>
      <c r="EA70" s="293">
        <f>DR97</f>
        <v>218</v>
      </c>
      <c r="EB70" s="212" t="s">
        <v>392</v>
      </c>
    </row>
    <row r="71" spans="120:132" thickTop="1" thickBot="1" x14ac:dyDescent="0.3">
      <c r="DP71" s="290" t="s">
        <v>506</v>
      </c>
      <c r="DQ71" s="290" t="s">
        <v>542</v>
      </c>
      <c r="DR71" s="291">
        <v>0.501</v>
      </c>
      <c r="DS71" s="291">
        <v>1.0800000000000001E-2</v>
      </c>
      <c r="DT71" s="290">
        <v>46.46</v>
      </c>
      <c r="DU71" s="290" t="s">
        <v>505</v>
      </c>
      <c r="DV71" s="291" t="s">
        <v>510</v>
      </c>
      <c r="DW71" s="81" t="s">
        <v>510</v>
      </c>
      <c r="DX71" s="212" t="s">
        <v>568</v>
      </c>
      <c r="DY71" s="297" t="s">
        <v>420</v>
      </c>
      <c r="DZ71" s="292" t="s">
        <v>434</v>
      </c>
      <c r="EA71" s="293">
        <f t="shared" ref="EA71:EA72" si="33">DR98</f>
        <v>236</v>
      </c>
      <c r="EB71" s="212" t="s">
        <v>392</v>
      </c>
    </row>
    <row r="72" spans="120:132" thickTop="1" thickBot="1" x14ac:dyDescent="0.3">
      <c r="DP72" s="290" t="s">
        <v>506</v>
      </c>
      <c r="DQ72" s="290" t="s">
        <v>543</v>
      </c>
      <c r="DR72" s="291">
        <v>0.502</v>
      </c>
      <c r="DS72" s="291">
        <v>8.3700000000000007E-3</v>
      </c>
      <c r="DT72" s="290">
        <v>59.94</v>
      </c>
      <c r="DU72" s="290" t="s">
        <v>505</v>
      </c>
      <c r="DV72" s="291" t="s">
        <v>510</v>
      </c>
      <c r="DW72" s="81" t="s">
        <v>510</v>
      </c>
      <c r="DX72" s="212" t="s">
        <v>568</v>
      </c>
      <c r="DY72" s="297" t="s">
        <v>421</v>
      </c>
      <c r="DZ72" s="292" t="s">
        <v>434</v>
      </c>
      <c r="EA72" s="293">
        <f t="shared" si="33"/>
        <v>44</v>
      </c>
      <c r="EB72" s="212" t="s">
        <v>392</v>
      </c>
    </row>
    <row r="73" spans="120:132" thickTop="1" thickBot="1" x14ac:dyDescent="0.3">
      <c r="DP73" s="290" t="s">
        <v>506</v>
      </c>
      <c r="DQ73" s="290" t="s">
        <v>544</v>
      </c>
      <c r="DR73" s="291">
        <v>0.499</v>
      </c>
      <c r="DS73" s="291">
        <v>1.9699999999999999E-2</v>
      </c>
      <c r="DT73" s="290">
        <v>25.31</v>
      </c>
      <c r="DU73" s="290" t="s">
        <v>505</v>
      </c>
      <c r="DV73" s="291" t="s">
        <v>510</v>
      </c>
      <c r="DW73" s="81" t="s">
        <v>510</v>
      </c>
      <c r="DX73" s="212" t="s">
        <v>568</v>
      </c>
      <c r="DY73" s="297" t="s">
        <v>422</v>
      </c>
      <c r="DZ73" s="292" t="s">
        <v>434</v>
      </c>
      <c r="EA73" s="293">
        <f>1/DR104</f>
        <v>84.033613445378151</v>
      </c>
      <c r="EB73" s="212" t="s">
        <v>392</v>
      </c>
    </row>
    <row r="74" spans="120:132" thickTop="1" thickBot="1" x14ac:dyDescent="0.3">
      <c r="DP74" s="290" t="s">
        <v>506</v>
      </c>
      <c r="DQ74" s="290" t="s">
        <v>411</v>
      </c>
      <c r="DR74" s="291">
        <v>9.4500000000000001E-2</v>
      </c>
      <c r="DS74" s="291">
        <v>3.9800000000000002E-2</v>
      </c>
      <c r="DT74" s="290">
        <v>2.37</v>
      </c>
      <c r="DU74" s="291">
        <v>1.7600000000000001E-2</v>
      </c>
      <c r="DV74" s="290" t="s">
        <v>511</v>
      </c>
      <c r="DZ74" s="292"/>
    </row>
    <row r="75" spans="120:132" thickTop="1" thickBot="1" x14ac:dyDescent="0.3">
      <c r="DP75" s="290" t="s">
        <v>506</v>
      </c>
      <c r="DQ75" s="290" t="s">
        <v>545</v>
      </c>
      <c r="DR75" s="291">
        <v>0.52700000000000002</v>
      </c>
      <c r="DS75" s="291">
        <v>1.0999999999999999E-2</v>
      </c>
      <c r="DT75" s="290">
        <v>47.76</v>
      </c>
      <c r="DU75" s="290" t="s">
        <v>505</v>
      </c>
      <c r="DV75" s="291" t="s">
        <v>510</v>
      </c>
      <c r="DW75" s="81" t="s">
        <v>510</v>
      </c>
      <c r="DX75" s="212" t="s">
        <v>568</v>
      </c>
      <c r="DY75" s="297" t="s">
        <v>515</v>
      </c>
      <c r="DZ75" s="292" t="s">
        <v>434</v>
      </c>
      <c r="EA75" s="293">
        <f>DR115</f>
        <v>995000000</v>
      </c>
      <c r="EB75" s="212" t="s">
        <v>392</v>
      </c>
    </row>
    <row r="76" spans="120:132" thickTop="1" thickBot="1" x14ac:dyDescent="0.3">
      <c r="DP76" s="290" t="s">
        <v>506</v>
      </c>
      <c r="DQ76" s="290" t="s">
        <v>546</v>
      </c>
      <c r="DR76" s="291">
        <v>0.51300000000000001</v>
      </c>
      <c r="DS76" s="291">
        <v>8.3999999999999995E-3</v>
      </c>
      <c r="DT76" s="290">
        <v>60.99</v>
      </c>
      <c r="DU76" s="290" t="s">
        <v>505</v>
      </c>
      <c r="DV76" s="291" t="s">
        <v>510</v>
      </c>
      <c r="DW76" s="81" t="s">
        <v>510</v>
      </c>
      <c r="DX76" s="212" t="s">
        <v>568</v>
      </c>
      <c r="DY76" s="297" t="s">
        <v>426</v>
      </c>
      <c r="DZ76" s="292" t="s">
        <v>434</v>
      </c>
      <c r="EA76" s="293">
        <f>DR116</f>
        <v>995000000</v>
      </c>
      <c r="EB76" s="212" t="s">
        <v>392</v>
      </c>
    </row>
    <row r="77" spans="120:132" thickTop="1" thickBot="1" x14ac:dyDescent="0.3">
      <c r="DP77" s="290" t="s">
        <v>506</v>
      </c>
      <c r="DQ77" s="290" t="s">
        <v>547</v>
      </c>
      <c r="DR77" s="291">
        <v>6.0299999999999999E-2</v>
      </c>
      <c r="DS77" s="291">
        <v>3.8199999999999998E-2</v>
      </c>
      <c r="DT77" s="290">
        <v>1.58</v>
      </c>
      <c r="DU77" s="290">
        <v>0.11459999999999999</v>
      </c>
      <c r="DX77" s="212" t="s">
        <v>568</v>
      </c>
      <c r="DY77" s="297" t="s">
        <v>429</v>
      </c>
      <c r="DZ77" s="292" t="s">
        <v>434</v>
      </c>
      <c r="EA77" s="293">
        <f>DR123</f>
        <v>82.2</v>
      </c>
      <c r="EB77" s="212" t="s">
        <v>392</v>
      </c>
    </row>
    <row r="78" spans="120:132" thickTop="1" thickBot="1" x14ac:dyDescent="0.3">
      <c r="DP78" s="290" t="s">
        <v>506</v>
      </c>
      <c r="DQ78" s="290" t="s">
        <v>412</v>
      </c>
      <c r="DR78" s="291">
        <v>2.0900000000000001E-7</v>
      </c>
      <c r="DS78" s="291">
        <v>5.0300000000000001E-6</v>
      </c>
      <c r="DT78" s="290">
        <v>0.04</v>
      </c>
      <c r="DU78" s="290">
        <v>0.96679999999999999</v>
      </c>
      <c r="DX78" s="212" t="s">
        <v>568</v>
      </c>
      <c r="DY78" s="297" t="s">
        <v>430</v>
      </c>
      <c r="DZ78" s="292" t="s">
        <v>434</v>
      </c>
      <c r="EA78" s="293">
        <f t="shared" ref="EA78:EA79" si="34">DR124</f>
        <v>9.8799999999999995E-4</v>
      </c>
      <c r="EB78" s="212" t="s">
        <v>392</v>
      </c>
    </row>
    <row r="79" spans="120:132" thickTop="1" thickBot="1" x14ac:dyDescent="0.3">
      <c r="DP79" s="290" t="s">
        <v>506</v>
      </c>
      <c r="DQ79" s="290" t="s">
        <v>548</v>
      </c>
      <c r="DR79" s="291">
        <v>5.2699999999999997E-2</v>
      </c>
      <c r="DS79" s="291">
        <v>1.8599999999999998E-2</v>
      </c>
      <c r="DT79" s="290">
        <v>2.83</v>
      </c>
      <c r="DU79" s="290">
        <v>4.5999999999999999E-3</v>
      </c>
      <c r="DV79" s="290" t="s">
        <v>516</v>
      </c>
      <c r="DX79" s="212" t="s">
        <v>568</v>
      </c>
      <c r="DY79" s="297" t="s">
        <v>431</v>
      </c>
      <c r="DZ79" s="292" t="s">
        <v>434</v>
      </c>
      <c r="EA79" s="293">
        <f t="shared" si="34"/>
        <v>105</v>
      </c>
      <c r="EB79" s="212" t="s">
        <v>392</v>
      </c>
    </row>
    <row r="80" spans="120:132" thickTop="1" thickBot="1" x14ac:dyDescent="0.3">
      <c r="DP80" s="290" t="s">
        <v>506</v>
      </c>
      <c r="DQ80" s="290" t="s">
        <v>549</v>
      </c>
      <c r="DR80" s="291">
        <v>0.20699999999999999</v>
      </c>
      <c r="DS80" s="291">
        <v>1.6899999999999998E-2</v>
      </c>
      <c r="DT80" s="290">
        <v>12.23</v>
      </c>
      <c r="DU80" s="290" t="s">
        <v>505</v>
      </c>
      <c r="DV80" s="290" t="s">
        <v>510</v>
      </c>
    </row>
    <row r="81" spans="120:127" thickTop="1" thickBot="1" x14ac:dyDescent="0.3">
      <c r="DP81" s="290" t="s">
        <v>506</v>
      </c>
      <c r="DQ81" s="290" t="s">
        <v>550</v>
      </c>
      <c r="DR81" s="291">
        <v>0.26200000000000001</v>
      </c>
      <c r="DS81" s="291">
        <v>1.1599999999999999E-2</v>
      </c>
      <c r="DT81" s="290">
        <v>22.56</v>
      </c>
      <c r="DU81" s="290" t="s">
        <v>505</v>
      </c>
      <c r="DV81" s="291" t="s">
        <v>510</v>
      </c>
      <c r="DW81" s="81" t="s">
        <v>510</v>
      </c>
    </row>
    <row r="82" spans="120:127" thickTop="1" thickBot="1" x14ac:dyDescent="0.3">
      <c r="DP82" s="290" t="s">
        <v>506</v>
      </c>
      <c r="DQ82" s="290" t="s">
        <v>551</v>
      </c>
      <c r="DR82" s="291">
        <v>0.27300000000000002</v>
      </c>
      <c r="DS82" s="291">
        <v>2.5399999999999999E-2</v>
      </c>
      <c r="DT82" s="290">
        <v>10.77</v>
      </c>
      <c r="DU82" s="290" t="s">
        <v>505</v>
      </c>
      <c r="DV82" s="291" t="s">
        <v>510</v>
      </c>
      <c r="DW82" s="81" t="s">
        <v>510</v>
      </c>
    </row>
    <row r="83" spans="120:127" thickTop="1" thickBot="1" x14ac:dyDescent="0.3">
      <c r="DP83" s="290" t="s">
        <v>506</v>
      </c>
      <c r="DQ83" s="290" t="s">
        <v>552</v>
      </c>
      <c r="DR83" s="291">
        <v>0.28100000000000003</v>
      </c>
      <c r="DS83" s="291">
        <v>6.4599999999999996E-3</v>
      </c>
      <c r="DT83" s="290">
        <v>43.45</v>
      </c>
      <c r="DU83" s="290" t="s">
        <v>505</v>
      </c>
      <c r="DV83" s="291" t="s">
        <v>510</v>
      </c>
      <c r="DW83" s="81" t="s">
        <v>510</v>
      </c>
    </row>
    <row r="84" spans="120:127" thickTop="1" thickBot="1" x14ac:dyDescent="0.3">
      <c r="DP84" s="290" t="s">
        <v>506</v>
      </c>
      <c r="DQ84" s="290" t="s">
        <v>553</v>
      </c>
      <c r="DR84" s="291">
        <v>0.25800000000000001</v>
      </c>
      <c r="DS84" s="291">
        <v>5.11E-3</v>
      </c>
      <c r="DT84" s="290">
        <v>50.49</v>
      </c>
      <c r="DU84" s="291" t="s">
        <v>505</v>
      </c>
      <c r="DV84" s="290" t="s">
        <v>510</v>
      </c>
    </row>
    <row r="85" spans="120:127" thickTop="1" thickBot="1" x14ac:dyDescent="0.3">
      <c r="DP85" s="290" t="s">
        <v>506</v>
      </c>
      <c r="DQ85" s="290" t="s">
        <v>298</v>
      </c>
      <c r="DR85" s="291">
        <v>995000000</v>
      </c>
      <c r="DS85" s="291">
        <v>16900000</v>
      </c>
      <c r="DT85" s="290">
        <v>58.75</v>
      </c>
      <c r="DU85" s="290" t="s">
        <v>505</v>
      </c>
      <c r="DV85" s="291" t="s">
        <v>510</v>
      </c>
      <c r="DW85" s="81" t="s">
        <v>510</v>
      </c>
    </row>
    <row r="86" spans="120:127" thickTop="1" thickBot="1" x14ac:dyDescent="0.3">
      <c r="DP86" s="290" t="s">
        <v>506</v>
      </c>
      <c r="DQ86" s="290" t="s">
        <v>475</v>
      </c>
      <c r="DR86" s="291">
        <v>2080000</v>
      </c>
      <c r="DS86" s="291">
        <v>11800</v>
      </c>
      <c r="DT86" s="290">
        <v>176.83</v>
      </c>
      <c r="DU86" s="290" t="s">
        <v>505</v>
      </c>
      <c r="DV86" s="291" t="s">
        <v>510</v>
      </c>
      <c r="DW86" s="81" t="s">
        <v>510</v>
      </c>
    </row>
    <row r="87" spans="120:127" thickTop="1" thickBot="1" x14ac:dyDescent="0.3">
      <c r="DP87" s="290" t="s">
        <v>506</v>
      </c>
      <c r="DQ87" s="290" t="s">
        <v>291</v>
      </c>
      <c r="DR87" s="291">
        <v>4360000</v>
      </c>
      <c r="DS87" s="291">
        <v>80200</v>
      </c>
      <c r="DT87" s="290">
        <v>54.39</v>
      </c>
      <c r="DU87" s="290" t="s">
        <v>505</v>
      </c>
      <c r="DV87" s="291" t="s">
        <v>510</v>
      </c>
      <c r="DW87" s="81" t="s">
        <v>510</v>
      </c>
    </row>
    <row r="88" spans="120:127" thickTop="1" thickBot="1" x14ac:dyDescent="0.3">
      <c r="DP88" s="290" t="s">
        <v>506</v>
      </c>
      <c r="DQ88" s="290" t="s">
        <v>293</v>
      </c>
      <c r="DR88" s="291">
        <v>22200000</v>
      </c>
      <c r="DS88" s="291">
        <v>1210000</v>
      </c>
      <c r="DT88" s="290">
        <v>18.37</v>
      </c>
      <c r="DU88" s="291" t="s">
        <v>505</v>
      </c>
      <c r="DV88" s="290" t="s">
        <v>510</v>
      </c>
    </row>
    <row r="89" spans="120:127" thickTop="1" thickBot="1" x14ac:dyDescent="0.3">
      <c r="DP89" s="290" t="s">
        <v>506</v>
      </c>
      <c r="DQ89" s="290" t="s">
        <v>476</v>
      </c>
      <c r="DR89" s="291">
        <v>-23.5</v>
      </c>
      <c r="DS89" s="291">
        <v>8.34</v>
      </c>
      <c r="DT89" s="290">
        <v>-2.82</v>
      </c>
      <c r="DU89" s="290">
        <v>4.8999999999999998E-3</v>
      </c>
      <c r="DV89" s="291" t="s">
        <v>516</v>
      </c>
      <c r="DW89" s="81" t="s">
        <v>510</v>
      </c>
    </row>
    <row r="90" spans="120:127" thickTop="1" thickBot="1" x14ac:dyDescent="0.3">
      <c r="DP90" s="290" t="s">
        <v>506</v>
      </c>
      <c r="DQ90" s="290" t="s">
        <v>477</v>
      </c>
      <c r="DR90" s="291">
        <v>-15.4</v>
      </c>
      <c r="DS90" s="291">
        <v>29.8</v>
      </c>
      <c r="DT90" s="290">
        <v>-0.52</v>
      </c>
      <c r="DU90" s="290">
        <v>0.60509999999999997</v>
      </c>
    </row>
    <row r="91" spans="120:127" thickTop="1" thickBot="1" x14ac:dyDescent="0.3">
      <c r="DP91" s="290" t="s">
        <v>506</v>
      </c>
      <c r="DQ91" s="290" t="s">
        <v>478</v>
      </c>
      <c r="DR91" s="291">
        <v>-19.7</v>
      </c>
      <c r="DS91" s="291">
        <v>39.1</v>
      </c>
      <c r="DT91" s="290">
        <v>-0.5</v>
      </c>
      <c r="DU91" s="290">
        <v>0.61419999999999997</v>
      </c>
    </row>
    <row r="92" spans="120:127" thickTop="1" thickBot="1" x14ac:dyDescent="0.3">
      <c r="DP92" s="290" t="s">
        <v>506</v>
      </c>
      <c r="DQ92" s="290" t="s">
        <v>479</v>
      </c>
      <c r="DR92" s="291">
        <v>-16.899999999999999</v>
      </c>
      <c r="DS92" s="291">
        <v>201</v>
      </c>
      <c r="DT92" s="290">
        <v>-0.08</v>
      </c>
      <c r="DU92" s="290">
        <v>0.93310000000000004</v>
      </c>
    </row>
    <row r="93" spans="120:127" thickTop="1" thickBot="1" x14ac:dyDescent="0.3">
      <c r="DP93" s="290" t="s">
        <v>506</v>
      </c>
      <c r="DQ93" s="290" t="s">
        <v>481</v>
      </c>
      <c r="DR93" s="291">
        <v>0.11700000000000001</v>
      </c>
      <c r="DS93" s="291">
        <v>6.3199999999999997E-4</v>
      </c>
      <c r="DT93" s="290">
        <v>185.06</v>
      </c>
      <c r="DU93" s="290" t="s">
        <v>505</v>
      </c>
      <c r="DV93" s="291" t="s">
        <v>510</v>
      </c>
      <c r="DW93" s="81" t="s">
        <v>510</v>
      </c>
    </row>
    <row r="94" spans="120:127" thickTop="1" thickBot="1" x14ac:dyDescent="0.3">
      <c r="DP94" s="290" t="s">
        <v>506</v>
      </c>
      <c r="DQ94" s="290" t="s">
        <v>482</v>
      </c>
      <c r="DR94" s="291">
        <v>0.125</v>
      </c>
      <c r="DS94" s="291">
        <v>6.6200000000000005E-4</v>
      </c>
      <c r="DT94" s="290">
        <v>188.04</v>
      </c>
      <c r="DU94" s="290" t="s">
        <v>505</v>
      </c>
      <c r="DV94" s="291" t="s">
        <v>510</v>
      </c>
      <c r="DW94" s="81" t="s">
        <v>510</v>
      </c>
    </row>
    <row r="95" spans="120:127" thickTop="1" thickBot="1" x14ac:dyDescent="0.3">
      <c r="DP95" s="290" t="s">
        <v>506</v>
      </c>
      <c r="DQ95" s="290" t="s">
        <v>483</v>
      </c>
      <c r="DR95" s="291">
        <v>0.69499999999999995</v>
      </c>
      <c r="DS95" s="291">
        <v>2.0500000000000002E-3</v>
      </c>
      <c r="DT95" s="290">
        <v>338.86</v>
      </c>
      <c r="DU95" s="290" t="s">
        <v>505</v>
      </c>
      <c r="DV95" s="291" t="s">
        <v>510</v>
      </c>
      <c r="DW95" s="81" t="s">
        <v>510</v>
      </c>
    </row>
    <row r="96" spans="120:127" thickTop="1" thickBot="1" x14ac:dyDescent="0.3">
      <c r="DP96" s="290" t="s">
        <v>506</v>
      </c>
      <c r="DQ96" s="290" t="s">
        <v>484</v>
      </c>
      <c r="DR96" s="291">
        <v>5.8299999999999998E-2</v>
      </c>
      <c r="DS96" s="291">
        <v>3.88E-4</v>
      </c>
      <c r="DT96" s="290">
        <v>150.06</v>
      </c>
      <c r="DU96" s="290" t="s">
        <v>505</v>
      </c>
      <c r="DV96" s="291" t="s">
        <v>510</v>
      </c>
      <c r="DW96" s="81" t="s">
        <v>510</v>
      </c>
    </row>
    <row r="97" spans="120:127" thickTop="1" thickBot="1" x14ac:dyDescent="0.3">
      <c r="DP97" s="290" t="s">
        <v>506</v>
      </c>
      <c r="DQ97" s="290" t="s">
        <v>486</v>
      </c>
      <c r="DR97" s="291">
        <v>218</v>
      </c>
      <c r="DS97" s="291">
        <v>1.87</v>
      </c>
      <c r="DT97" s="290">
        <v>116.71</v>
      </c>
      <c r="DU97" s="290" t="s">
        <v>505</v>
      </c>
      <c r="DV97" s="291" t="s">
        <v>510</v>
      </c>
      <c r="DW97" s="81" t="s">
        <v>510</v>
      </c>
    </row>
    <row r="98" spans="120:127" thickTop="1" thickBot="1" x14ac:dyDescent="0.3">
      <c r="DP98" s="290" t="s">
        <v>506</v>
      </c>
      <c r="DQ98" s="290" t="s">
        <v>285</v>
      </c>
      <c r="DR98" s="291">
        <v>236</v>
      </c>
      <c r="DS98" s="291">
        <v>2.2599999999999998</v>
      </c>
      <c r="DT98" s="290">
        <v>104.4</v>
      </c>
      <c r="DU98" s="290" t="s">
        <v>505</v>
      </c>
      <c r="DV98" s="291" t="s">
        <v>510</v>
      </c>
      <c r="DW98" s="81" t="s">
        <v>510</v>
      </c>
    </row>
    <row r="99" spans="120:127" thickTop="1" thickBot="1" x14ac:dyDescent="0.3">
      <c r="DP99" s="290" t="s">
        <v>506</v>
      </c>
      <c r="DQ99" s="290" t="s">
        <v>120</v>
      </c>
      <c r="DR99" s="291">
        <v>44</v>
      </c>
      <c r="DS99" s="291">
        <v>0.16400000000000001</v>
      </c>
      <c r="DT99" s="290">
        <v>268.19</v>
      </c>
      <c r="DU99" s="290" t="s">
        <v>505</v>
      </c>
      <c r="DV99" s="291" t="s">
        <v>510</v>
      </c>
      <c r="DW99" s="81" t="s">
        <v>510</v>
      </c>
    </row>
    <row r="100" spans="120:127" thickTop="1" thickBot="1" x14ac:dyDescent="0.3">
      <c r="DP100" s="290" t="s">
        <v>506</v>
      </c>
      <c r="DQ100" s="290" t="s">
        <v>488</v>
      </c>
      <c r="DR100" s="291">
        <v>-7.38</v>
      </c>
      <c r="DS100" s="291">
        <v>1.8599999999999998E-2</v>
      </c>
      <c r="DT100" s="290">
        <v>-397.1</v>
      </c>
      <c r="DU100" s="290" t="s">
        <v>505</v>
      </c>
      <c r="DV100" s="291" t="s">
        <v>510</v>
      </c>
      <c r="DW100" s="81" t="s">
        <v>510</v>
      </c>
    </row>
    <row r="101" spans="120:127" thickTop="1" thickBot="1" x14ac:dyDescent="0.3">
      <c r="DP101" s="290" t="s">
        <v>506</v>
      </c>
      <c r="DQ101" s="290" t="s">
        <v>489</v>
      </c>
      <c r="DR101" s="291">
        <v>-6.75</v>
      </c>
      <c r="DS101" s="291">
        <v>1.61E-2</v>
      </c>
      <c r="DT101" s="290">
        <v>-419.44</v>
      </c>
      <c r="DU101" s="290" t="s">
        <v>505</v>
      </c>
      <c r="DV101" s="291" t="s">
        <v>510</v>
      </c>
      <c r="DW101" s="81" t="s">
        <v>510</v>
      </c>
    </row>
    <row r="102" spans="120:127" thickTop="1" thickBot="1" x14ac:dyDescent="0.3">
      <c r="DP102" s="290" t="s">
        <v>506</v>
      </c>
      <c r="DQ102" s="290" t="s">
        <v>490</v>
      </c>
      <c r="DR102" s="291">
        <v>-6.82</v>
      </c>
      <c r="DS102" s="291">
        <v>1.7899999999999999E-2</v>
      </c>
      <c r="DT102" s="290">
        <v>-381</v>
      </c>
      <c r="DU102" s="290" t="s">
        <v>505</v>
      </c>
      <c r="DV102" s="291" t="s">
        <v>510</v>
      </c>
      <c r="DW102" s="81" t="s">
        <v>510</v>
      </c>
    </row>
    <row r="103" spans="120:127" thickTop="1" thickBot="1" x14ac:dyDescent="0.3">
      <c r="DP103" s="290" t="s">
        <v>506</v>
      </c>
      <c r="DQ103" s="290" t="s">
        <v>491</v>
      </c>
      <c r="DR103" s="291">
        <v>-6.56</v>
      </c>
      <c r="DS103" s="291">
        <v>1.7999999999999999E-2</v>
      </c>
      <c r="DT103" s="290">
        <v>-365.22</v>
      </c>
      <c r="DU103" s="290" t="s">
        <v>505</v>
      </c>
      <c r="DV103" s="291" t="s">
        <v>510</v>
      </c>
      <c r="DW103" s="81" t="s">
        <v>510</v>
      </c>
    </row>
    <row r="104" spans="120:127" thickTop="1" thickBot="1" x14ac:dyDescent="0.3">
      <c r="DP104" s="290" t="s">
        <v>506</v>
      </c>
      <c r="DQ104" s="290" t="s">
        <v>493</v>
      </c>
      <c r="DR104" s="291">
        <v>1.1900000000000001E-2</v>
      </c>
      <c r="DS104" s="291">
        <v>5.5999999999999999E-5</v>
      </c>
      <c r="DT104" s="290">
        <v>211.78</v>
      </c>
      <c r="DU104" s="290" t="s">
        <v>505</v>
      </c>
      <c r="DV104" s="291" t="s">
        <v>510</v>
      </c>
      <c r="DW104" s="81" t="s">
        <v>510</v>
      </c>
    </row>
    <row r="105" spans="120:127" thickTop="1" thickBot="1" x14ac:dyDescent="0.3">
      <c r="DP105" s="290" t="s">
        <v>506</v>
      </c>
      <c r="DQ105" s="290" t="s">
        <v>494</v>
      </c>
      <c r="DR105" s="291">
        <v>105</v>
      </c>
      <c r="DS105" s="291">
        <v>1.1000000000000001</v>
      </c>
      <c r="DT105" s="290">
        <v>95.51</v>
      </c>
      <c r="DU105" s="290" t="s">
        <v>505</v>
      </c>
      <c r="DV105" s="291" t="s">
        <v>510</v>
      </c>
      <c r="DW105" s="81" t="s">
        <v>510</v>
      </c>
    </row>
    <row r="106" spans="120:127" thickTop="1" thickBot="1" x14ac:dyDescent="0.3">
      <c r="DP106" s="290" t="s">
        <v>506</v>
      </c>
      <c r="DQ106" s="290" t="s">
        <v>495</v>
      </c>
      <c r="DR106" s="291">
        <v>194</v>
      </c>
      <c r="DS106" s="291">
        <v>344</v>
      </c>
      <c r="DT106" s="290">
        <v>0.56000000000000005</v>
      </c>
      <c r="DU106" s="290">
        <v>0.57369999999999999</v>
      </c>
    </row>
    <row r="107" spans="120:127" thickTop="1" thickBot="1" x14ac:dyDescent="0.3">
      <c r="DR107" s="291"/>
      <c r="DS107" s="291"/>
    </row>
    <row r="108" spans="120:127" thickTop="1" thickBot="1" x14ac:dyDescent="0.3">
      <c r="DP108" s="290" t="s">
        <v>565</v>
      </c>
    </row>
    <row r="109" spans="120:127" thickTop="1" thickBot="1" x14ac:dyDescent="0.3">
      <c r="DP109" s="290" t="s">
        <v>506</v>
      </c>
      <c r="DQ109" s="290" t="s">
        <v>499</v>
      </c>
    </row>
    <row r="110" spans="120:127" thickTop="1" thickBot="1" x14ac:dyDescent="0.3">
      <c r="DP110" s="290" t="s">
        <v>506</v>
      </c>
      <c r="DQ110" s="290" t="s">
        <v>500</v>
      </c>
      <c r="DR110" s="290" t="s">
        <v>501</v>
      </c>
      <c r="DS110" s="290" t="s">
        <v>502</v>
      </c>
      <c r="DT110" s="290" t="s">
        <v>503</v>
      </c>
      <c r="DU110" s="290" t="s">
        <v>504</v>
      </c>
      <c r="DV110" s="290" t="s">
        <v>508</v>
      </c>
      <c r="DW110" s="81" t="s">
        <v>510</v>
      </c>
    </row>
    <row r="111" spans="120:127" thickTop="1" thickBot="1" x14ac:dyDescent="0.3">
      <c r="DP111" s="290" t="s">
        <v>506</v>
      </c>
      <c r="DQ111" s="290" t="s">
        <v>513</v>
      </c>
      <c r="DR111" s="291">
        <v>290</v>
      </c>
      <c r="DS111" s="291">
        <v>5.7799999999999997E-2</v>
      </c>
      <c r="DT111" s="290">
        <v>5021.6499999999996</v>
      </c>
      <c r="DU111" s="290" t="s">
        <v>505</v>
      </c>
      <c r="DV111" s="290" t="s">
        <v>510</v>
      </c>
      <c r="DW111" s="81" t="s">
        <v>510</v>
      </c>
    </row>
    <row r="112" spans="120:127" thickTop="1" thickBot="1" x14ac:dyDescent="0.3">
      <c r="DP112" s="290" t="s">
        <v>506</v>
      </c>
      <c r="DQ112" s="290" t="s">
        <v>514</v>
      </c>
      <c r="DR112" s="291">
        <v>295</v>
      </c>
      <c r="DS112" s="291">
        <v>5.62E-2</v>
      </c>
      <c r="DT112" s="290">
        <v>5235.87</v>
      </c>
      <c r="DU112" s="290" t="s">
        <v>505</v>
      </c>
      <c r="DV112" s="291" t="s">
        <v>510</v>
      </c>
      <c r="DW112" s="81" t="s">
        <v>510</v>
      </c>
    </row>
    <row r="113" spans="120:134" thickTop="1" thickBot="1" x14ac:dyDescent="0.3">
      <c r="DP113" s="290" t="s">
        <v>506</v>
      </c>
      <c r="DQ113" s="290" t="s">
        <v>423</v>
      </c>
      <c r="DR113" s="291">
        <v>7.5899999999999995E-2</v>
      </c>
      <c r="DS113" s="291">
        <v>2.0999999999999999E-3</v>
      </c>
      <c r="DT113" s="290">
        <v>36.11</v>
      </c>
      <c r="DU113" s="290" t="s">
        <v>505</v>
      </c>
      <c r="DV113" s="291" t="s">
        <v>510</v>
      </c>
    </row>
    <row r="114" spans="120:134" thickTop="1" thickBot="1" x14ac:dyDescent="0.3">
      <c r="DP114" s="290" t="s">
        <v>506</v>
      </c>
      <c r="DQ114" s="290" t="s">
        <v>424</v>
      </c>
      <c r="DR114" s="291">
        <v>0.222</v>
      </c>
      <c r="DS114" s="291">
        <v>2.0100000000000001E-3</v>
      </c>
      <c r="DT114" s="290">
        <v>110.49</v>
      </c>
      <c r="DU114" s="290" t="s">
        <v>505</v>
      </c>
      <c r="DV114" s="291" t="s">
        <v>510</v>
      </c>
      <c r="DW114" s="81" t="s">
        <v>510</v>
      </c>
    </row>
    <row r="115" spans="120:134" thickTop="1" thickBot="1" x14ac:dyDescent="0.3">
      <c r="DP115" s="290" t="s">
        <v>506</v>
      </c>
      <c r="DQ115" s="290" t="s">
        <v>515</v>
      </c>
      <c r="DR115" s="291">
        <v>995000000</v>
      </c>
      <c r="DS115" s="291">
        <v>20700000</v>
      </c>
      <c r="DT115" s="290">
        <v>48.19</v>
      </c>
      <c r="DU115" s="291" t="s">
        <v>505</v>
      </c>
      <c r="DV115" s="290" t="s">
        <v>510</v>
      </c>
    </row>
    <row r="116" spans="120:134" thickTop="1" thickBot="1" x14ac:dyDescent="0.3">
      <c r="DP116" s="290" t="s">
        <v>506</v>
      </c>
      <c r="DQ116" s="290" t="s">
        <v>426</v>
      </c>
      <c r="DR116" s="291">
        <v>995000000</v>
      </c>
      <c r="DS116" s="291">
        <v>24000000</v>
      </c>
      <c r="DT116" s="290">
        <v>41.42</v>
      </c>
      <c r="DU116" s="290" t="s">
        <v>505</v>
      </c>
      <c r="DV116" s="291" t="s">
        <v>510</v>
      </c>
    </row>
    <row r="117" spans="120:134" thickTop="1" thickBot="1" x14ac:dyDescent="0.3">
      <c r="DP117" s="290" t="s">
        <v>506</v>
      </c>
      <c r="DQ117" s="290" t="s">
        <v>480</v>
      </c>
      <c r="DR117" s="291">
        <v>-16.7</v>
      </c>
      <c r="DS117" s="291">
        <v>18.399999999999999</v>
      </c>
      <c r="DT117" s="290">
        <v>-0.91</v>
      </c>
      <c r="DU117" s="290">
        <v>0.36</v>
      </c>
      <c r="DW117" s="81" t="s">
        <v>510</v>
      </c>
    </row>
    <row r="118" spans="120:134" thickTop="1" thickBot="1" x14ac:dyDescent="0.3">
      <c r="DP118" s="290" t="s">
        <v>506</v>
      </c>
      <c r="DQ118" s="290" t="s">
        <v>517</v>
      </c>
      <c r="DR118" s="291">
        <v>-16.899999999999999</v>
      </c>
      <c r="DS118" s="291">
        <v>94.3</v>
      </c>
      <c r="DT118" s="290">
        <v>-0.18</v>
      </c>
      <c r="DU118" s="290">
        <v>0.86</v>
      </c>
      <c r="DW118" s="81" t="s">
        <v>510</v>
      </c>
    </row>
    <row r="119" spans="120:134" thickTop="1" thickBot="1" x14ac:dyDescent="0.3">
      <c r="DP119" s="290" t="s">
        <v>506</v>
      </c>
      <c r="DQ119" s="290" t="s">
        <v>518</v>
      </c>
      <c r="DR119" s="291">
        <v>2.4899999999999999E-2</v>
      </c>
      <c r="DS119" s="291">
        <v>1.4899999999999999E-4</v>
      </c>
      <c r="DT119" s="290">
        <v>167.15</v>
      </c>
      <c r="DU119" s="290" t="s">
        <v>505</v>
      </c>
      <c r="DV119" s="291" t="s">
        <v>510</v>
      </c>
      <c r="DW119" s="81" t="s">
        <v>510</v>
      </c>
    </row>
    <row r="120" spans="120:134" thickTop="1" thickBot="1" x14ac:dyDescent="0.3">
      <c r="DP120" s="290" t="s">
        <v>506</v>
      </c>
      <c r="DQ120" s="290" t="s">
        <v>519</v>
      </c>
      <c r="DR120" s="291">
        <v>5.7200000000000001E-2</v>
      </c>
      <c r="DS120" s="291">
        <v>2.5099999999999998E-4</v>
      </c>
      <c r="DT120" s="290">
        <v>227.58</v>
      </c>
      <c r="DU120" s="290" t="s">
        <v>505</v>
      </c>
      <c r="DV120" s="291" t="s">
        <v>510</v>
      </c>
      <c r="DW120" s="81" t="s">
        <v>510</v>
      </c>
    </row>
    <row r="121" spans="120:134" thickTop="1" thickBot="1" x14ac:dyDescent="0.3">
      <c r="DP121" s="290" t="s">
        <v>506</v>
      </c>
      <c r="DQ121" s="290" t="s">
        <v>492</v>
      </c>
      <c r="DR121" s="291">
        <v>-6.45</v>
      </c>
      <c r="DS121" s="291">
        <v>1.7500000000000002E-2</v>
      </c>
      <c r="DT121" s="290">
        <v>-367.7</v>
      </c>
      <c r="DU121" s="290" t="s">
        <v>505</v>
      </c>
      <c r="DV121" s="291" t="s">
        <v>510</v>
      </c>
      <c r="DW121" s="81" t="s">
        <v>510</v>
      </c>
    </row>
    <row r="122" spans="120:134" thickTop="1" thickBot="1" x14ac:dyDescent="0.3">
      <c r="DP122" s="290" t="s">
        <v>506</v>
      </c>
      <c r="DQ122" s="290" t="s">
        <v>520</v>
      </c>
      <c r="DR122" s="291">
        <v>-6.24</v>
      </c>
      <c r="DS122" s="291">
        <v>1.6199999999999999E-2</v>
      </c>
      <c r="DT122" s="290">
        <v>-384.86</v>
      </c>
      <c r="DU122" s="290" t="s">
        <v>505</v>
      </c>
      <c r="DV122" s="291" t="s">
        <v>510</v>
      </c>
      <c r="DW122" s="81" t="s">
        <v>510</v>
      </c>
    </row>
    <row r="123" spans="120:134" thickTop="1" thickBot="1" x14ac:dyDescent="0.3">
      <c r="DP123" s="290" t="s">
        <v>506</v>
      </c>
      <c r="DQ123" s="290" t="s">
        <v>429</v>
      </c>
      <c r="DR123" s="291">
        <v>82.2</v>
      </c>
      <c r="DS123" s="291">
        <v>0.47</v>
      </c>
      <c r="DT123" s="290">
        <v>174.75</v>
      </c>
      <c r="DU123" s="290" t="s">
        <v>505</v>
      </c>
      <c r="DV123" s="291" t="s">
        <v>510</v>
      </c>
      <c r="DW123" s="81" t="s">
        <v>510</v>
      </c>
    </row>
    <row r="124" spans="120:134" thickTop="1" thickBot="1" x14ac:dyDescent="0.3">
      <c r="DP124" s="290" t="s">
        <v>506</v>
      </c>
      <c r="DQ124" s="290" t="s">
        <v>430</v>
      </c>
      <c r="DR124" s="291">
        <v>9.8799999999999995E-4</v>
      </c>
      <c r="DS124" s="291">
        <v>0.16900000000000001</v>
      </c>
      <c r="DT124" s="290">
        <v>0.01</v>
      </c>
      <c r="DU124" s="290">
        <v>1</v>
      </c>
      <c r="DV124" s="291"/>
    </row>
    <row r="125" spans="120:134" thickTop="1" thickBot="1" x14ac:dyDescent="0.3">
      <c r="DP125" s="290" t="s">
        <v>506</v>
      </c>
      <c r="DQ125" s="290" t="s">
        <v>431</v>
      </c>
      <c r="DR125" s="291">
        <v>105</v>
      </c>
      <c r="DS125" s="291">
        <v>1.01</v>
      </c>
      <c r="DT125" s="290">
        <v>103.42</v>
      </c>
      <c r="DU125" s="290" t="s">
        <v>505</v>
      </c>
      <c r="DV125" s="291" t="s">
        <v>510</v>
      </c>
      <c r="DW125" s="81">
        <v>0.01</v>
      </c>
      <c r="EC125" s="81" t="s">
        <v>564</v>
      </c>
      <c r="ED125" s="81">
        <v>1</v>
      </c>
    </row>
    <row r="126" spans="120:134" thickTop="1" thickBot="1" x14ac:dyDescent="0.3">
      <c r="DP126" s="290" t="s">
        <v>506</v>
      </c>
      <c r="DQ126" s="290" t="s">
        <v>559</v>
      </c>
    </row>
    <row r="127" spans="120:134" thickTop="1" thickBot="1" x14ac:dyDescent="0.3">
      <c r="DP127" s="290" t="s">
        <v>506</v>
      </c>
      <c r="DQ127" s="290" t="s">
        <v>560</v>
      </c>
      <c r="DR127" s="290" t="s">
        <v>561</v>
      </c>
      <c r="DS127" s="290">
        <v>0</v>
      </c>
      <c r="DT127" s="290" t="s">
        <v>562</v>
      </c>
      <c r="DU127" s="290">
        <v>1E-3</v>
      </c>
      <c r="DV127" s="290" t="s">
        <v>563</v>
      </c>
    </row>
  </sheetData>
  <mergeCells count="7">
    <mergeCell ref="E36:F36"/>
    <mergeCell ref="A1:G1"/>
    <mergeCell ref="A3:H3"/>
    <mergeCell ref="J3:T3"/>
    <mergeCell ref="V3:AG3"/>
    <mergeCell ref="K4:O4"/>
    <mergeCell ref="E33:F33"/>
  </mergeCells>
  <pageMargins left="0.25" right="0.25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D127"/>
  <sheetViews>
    <sheetView zoomScale="85" zoomScaleNormal="85" workbookViewId="0">
      <selection activeCell="C46" sqref="C46"/>
    </sheetView>
  </sheetViews>
  <sheetFormatPr defaultRowHeight="16.5" thickTop="1" thickBottom="1" x14ac:dyDescent="0.3"/>
  <cols>
    <col min="1" max="5" width="9.140625" style="81"/>
    <col min="6" max="6" width="8.28515625" style="81" bestFit="1" customWidth="1"/>
    <col min="7" max="7" width="6.85546875" style="81" bestFit="1" customWidth="1"/>
    <col min="8" max="8" width="9.140625" style="81"/>
    <col min="9" max="9" width="9.140625" style="1"/>
    <col min="10" max="10" width="9.140625" style="81"/>
    <col min="11" max="13" width="9.140625" style="2"/>
    <col min="14" max="15" width="9.140625" style="81"/>
    <col min="16" max="17" width="9.140625" style="3"/>
    <col min="18" max="20" width="9.140625" style="81"/>
    <col min="21" max="21" width="9.140625" style="1"/>
    <col min="22" max="34" width="9.140625" style="81"/>
    <col min="35" max="36" width="9.140625" style="173"/>
    <col min="37" max="37" width="9.140625" style="154"/>
    <col min="38" max="38" width="10.28515625" style="154" bestFit="1" customWidth="1"/>
    <col min="39" max="40" width="9.140625" style="81"/>
    <col min="41" max="41" width="12.7109375" style="81" bestFit="1" customWidth="1"/>
    <col min="42" max="42" width="12.7109375" style="81" customWidth="1"/>
    <col min="43" max="46" width="9.140625" style="81"/>
    <col min="47" max="50" width="9.140625" style="199"/>
    <col min="51" max="51" width="16.140625" style="206" customWidth="1"/>
    <col min="52" max="52" width="9.140625" style="199"/>
    <col min="53" max="64" width="9.140625" style="81" customWidth="1"/>
    <col min="65" max="66" width="9.140625" style="173"/>
    <col min="67" max="67" width="9.140625" style="154"/>
    <col min="68" max="68" width="10.28515625" style="154" bestFit="1" customWidth="1"/>
    <col min="69" max="70" width="9.140625" style="81"/>
    <col min="71" max="71" width="12.7109375" style="81" bestFit="1" customWidth="1"/>
    <col min="72" max="73" width="12.7109375" style="81" customWidth="1"/>
    <col min="74" max="76" width="9.140625" style="81"/>
    <col min="77" max="77" width="10.42578125" style="210" bestFit="1" customWidth="1"/>
    <col min="78" max="78" width="10.42578125" style="210" customWidth="1"/>
    <col min="79" max="79" width="9.140625" style="81"/>
    <col min="80" max="80" width="10.5703125" style="81" bestFit="1" customWidth="1"/>
    <col min="81" max="85" width="9.140625" style="81"/>
    <col min="86" max="86" width="11" style="81" customWidth="1"/>
    <col min="87" max="91" width="9.140625" style="81"/>
    <col min="92" max="92" width="19.42578125" style="81" bestFit="1" customWidth="1"/>
    <col min="93" max="93" width="12" style="81" customWidth="1"/>
    <col min="94" max="94" width="11" style="81" customWidth="1"/>
    <col min="95" max="98" width="9.140625" style="81"/>
    <col min="99" max="99" width="9.140625" style="212"/>
    <col min="100" max="100" width="9.140625" style="81"/>
    <col min="101" max="101" width="19.42578125" style="81" bestFit="1" customWidth="1"/>
    <col min="102" max="112" width="9.140625" style="81"/>
    <col min="113" max="113" width="9.7109375" style="81" bestFit="1" customWidth="1"/>
    <col min="114" max="115" width="9.140625" style="81"/>
    <col min="116" max="118" width="9.85546875" style="81" bestFit="1" customWidth="1"/>
    <col min="119" max="119" width="9.140625" style="81"/>
    <col min="120" max="126" width="9.140625" style="290"/>
    <col min="127" max="127" width="9.140625" style="81"/>
    <col min="128" max="128" width="15.5703125" style="212" bestFit="1" customWidth="1"/>
    <col min="129" max="132" width="9.140625" style="212"/>
    <col min="133" max="16384" width="9.140625" style="81"/>
  </cols>
  <sheetData>
    <row r="1" spans="1:132" ht="20.25" customHeight="1" thickTop="1" thickBot="1" x14ac:dyDescent="0.35">
      <c r="A1" s="341" t="s">
        <v>0</v>
      </c>
      <c r="B1" s="341"/>
      <c r="C1" s="341"/>
      <c r="D1" s="341"/>
      <c r="E1" s="341"/>
      <c r="F1" s="341"/>
      <c r="G1" s="341"/>
      <c r="AN1" s="191" t="s">
        <v>384</v>
      </c>
      <c r="BC1" s="81" t="s">
        <v>435</v>
      </c>
      <c r="BD1" s="191"/>
      <c r="BE1" s="191" t="s">
        <v>436</v>
      </c>
      <c r="BR1" s="191" t="s">
        <v>384</v>
      </c>
    </row>
    <row r="2" spans="1:132" thickTop="1" thickBot="1" x14ac:dyDescent="0.3">
      <c r="AN2" s="81" t="s">
        <v>385</v>
      </c>
      <c r="BR2" s="81" t="s">
        <v>385</v>
      </c>
      <c r="DK2" s="81" t="s">
        <v>386</v>
      </c>
      <c r="DL2" s="79" t="s">
        <v>534</v>
      </c>
      <c r="DM2" s="79" t="s">
        <v>535</v>
      </c>
      <c r="DN2" s="79" t="s">
        <v>536</v>
      </c>
      <c r="DP2" s="290" t="s">
        <v>537</v>
      </c>
    </row>
    <row r="3" spans="1:132" thickTop="1" thickBot="1" x14ac:dyDescent="0.3">
      <c r="A3" s="347" t="s">
        <v>1</v>
      </c>
      <c r="B3" s="348"/>
      <c r="C3" s="348"/>
      <c r="D3" s="348"/>
      <c r="E3" s="348"/>
      <c r="F3" s="348"/>
      <c r="G3" s="348"/>
      <c r="H3" s="349"/>
      <c r="J3" s="338" t="s">
        <v>2</v>
      </c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4"/>
      <c r="V3" s="338" t="s">
        <v>3</v>
      </c>
      <c r="W3" s="338"/>
      <c r="X3" s="338"/>
      <c r="Y3" s="338"/>
      <c r="Z3" s="338"/>
      <c r="AA3" s="338"/>
      <c r="AB3" s="338"/>
      <c r="AC3" s="338"/>
      <c r="AD3" s="338"/>
      <c r="AE3" s="338"/>
      <c r="AF3" s="338"/>
      <c r="AG3" s="338"/>
      <c r="AN3" s="200" t="s">
        <v>386</v>
      </c>
      <c r="AO3" s="201" t="s">
        <v>387</v>
      </c>
      <c r="AP3" s="201"/>
      <c r="AQ3" s="209" t="s">
        <v>458</v>
      </c>
      <c r="AR3" s="202"/>
      <c r="AS3" s="202"/>
      <c r="AU3" s="203" t="s">
        <v>388</v>
      </c>
      <c r="BD3" s="208"/>
      <c r="BE3" s="208" t="s">
        <v>437</v>
      </c>
      <c r="BI3" s="208" t="s">
        <v>438</v>
      </c>
      <c r="BJ3" s="208"/>
      <c r="BR3" s="200" t="s">
        <v>386</v>
      </c>
      <c r="BS3" s="201" t="s">
        <v>387</v>
      </c>
      <c r="BT3" s="201"/>
      <c r="BU3" s="213" t="s">
        <v>533</v>
      </c>
      <c r="CA3" s="81" t="s">
        <v>465</v>
      </c>
      <c r="CB3" s="204">
        <v>292</v>
      </c>
      <c r="CC3" s="204">
        <v>0.10299999999999999</v>
      </c>
      <c r="DK3" s="81" t="s">
        <v>391</v>
      </c>
      <c r="DL3" s="286">
        <f>AO4</f>
        <v>0.19330695832358544</v>
      </c>
      <c r="DM3" s="286">
        <f>BU4</f>
        <v>0.1641929</v>
      </c>
      <c r="DN3" s="286">
        <f>BY4</f>
        <v>0.19500000000000001</v>
      </c>
      <c r="DX3" s="212" t="s">
        <v>567</v>
      </c>
    </row>
    <row r="4" spans="1:132" ht="15.75" customHeight="1" thickTop="1" thickBot="1" x14ac:dyDescent="0.3">
      <c r="A4" s="214" t="s">
        <v>6</v>
      </c>
      <c r="B4" s="215">
        <f>'Tabula data'!B5</f>
        <v>615.9</v>
      </c>
      <c r="C4" s="215" t="s">
        <v>7</v>
      </c>
      <c r="D4" s="214" t="s">
        <v>8</v>
      </c>
      <c r="E4" s="215"/>
      <c r="F4" s="215"/>
      <c r="G4" s="216">
        <f>SUM(H6:H13)</f>
        <v>34.1</v>
      </c>
      <c r="H4" s="217" t="s">
        <v>9</v>
      </c>
      <c r="K4" s="350" t="s">
        <v>2</v>
      </c>
      <c r="L4" s="351"/>
      <c r="M4" s="351"/>
      <c r="N4" s="351"/>
      <c r="O4" s="352"/>
      <c r="W4" s="258"/>
      <c r="X4" s="258"/>
      <c r="Y4" s="259" t="s">
        <v>4</v>
      </c>
      <c r="Z4" s="259">
        <v>0.6</v>
      </c>
      <c r="AA4" s="259" t="s">
        <v>5</v>
      </c>
      <c r="AB4" s="258"/>
      <c r="AC4" s="258"/>
      <c r="AD4" s="258"/>
      <c r="AL4" s="154" t="s">
        <v>389</v>
      </c>
      <c r="AM4" s="81" t="s">
        <v>390</v>
      </c>
      <c r="AN4" s="81" t="s">
        <v>391</v>
      </c>
      <c r="AO4" s="81">
        <f>SUM(N6:N9)/SUM($N$6:$N$14,$N$26:$N$27)</f>
        <v>0.19330695832358544</v>
      </c>
      <c r="AP4" s="81" t="s">
        <v>392</v>
      </c>
      <c r="AQ4" s="204">
        <v>0.1641929</v>
      </c>
      <c r="AU4" s="205" t="s">
        <v>389</v>
      </c>
      <c r="AV4" s="205" t="s">
        <v>390</v>
      </c>
      <c r="AW4" s="205" t="s">
        <v>391</v>
      </c>
      <c r="AX4" s="207" t="s">
        <v>434</v>
      </c>
      <c r="AY4" s="206">
        <f>BY4</f>
        <v>0.19500000000000001</v>
      </c>
      <c r="AZ4" s="205" t="s">
        <v>392</v>
      </c>
      <c r="BE4" s="81" t="s">
        <v>281</v>
      </c>
      <c r="BF4" s="81">
        <f>1/(1/AO19+1/AO23)</f>
        <v>28.420203004265311</v>
      </c>
      <c r="BI4" s="81" t="s">
        <v>439</v>
      </c>
      <c r="BJ4" s="81">
        <f>BF4</f>
        <v>28.420203004265311</v>
      </c>
      <c r="BP4" s="154" t="s">
        <v>389</v>
      </c>
      <c r="BQ4" s="81" t="s">
        <v>390</v>
      </c>
      <c r="BR4" s="81" t="s">
        <v>391</v>
      </c>
      <c r="BS4" s="204">
        <f>AQ4</f>
        <v>0.1641929</v>
      </c>
      <c r="BT4" s="81" t="s">
        <v>392</v>
      </c>
      <c r="BU4" s="204">
        <v>0.1641929</v>
      </c>
      <c r="BY4" s="211">
        <f>CB8</f>
        <v>0.19500000000000001</v>
      </c>
      <c r="BZ4" s="211"/>
      <c r="CA4" s="81" t="s">
        <v>466</v>
      </c>
      <c r="CB4" s="204">
        <v>291</v>
      </c>
      <c r="CC4" s="204">
        <v>0.105</v>
      </c>
      <c r="CG4" s="81" t="s">
        <v>497</v>
      </c>
      <c r="CH4" s="81" t="s">
        <v>498</v>
      </c>
      <c r="CM4" s="81" t="s">
        <v>497</v>
      </c>
      <c r="CN4" s="81" t="s">
        <v>507</v>
      </c>
      <c r="DK4" s="81" t="s">
        <v>393</v>
      </c>
      <c r="DL4" s="286">
        <f t="shared" ref="DL4:DL49" si="0">AO5</f>
        <v>0.19330695832358544</v>
      </c>
      <c r="DM4" s="286">
        <f t="shared" ref="DM4:DM49" si="1">BU5</f>
        <v>0.32600000000000001</v>
      </c>
      <c r="DN4" s="286">
        <f t="shared" ref="DN4:DN48" si="2">BY5</f>
        <v>0.38800000000000001</v>
      </c>
      <c r="DP4" s="290" t="s">
        <v>506</v>
      </c>
      <c r="DQ4" s="290" t="s">
        <v>497</v>
      </c>
      <c r="DR4" s="290" t="s">
        <v>540</v>
      </c>
    </row>
    <row r="5" spans="1:132" ht="15" customHeight="1" thickTop="1" thickBot="1" x14ac:dyDescent="0.3">
      <c r="A5" s="218"/>
      <c r="B5" s="219"/>
      <c r="C5" s="219"/>
      <c r="D5" s="220"/>
      <c r="E5" s="221"/>
      <c r="F5" s="221"/>
      <c r="G5" s="221"/>
      <c r="H5" s="222"/>
      <c r="J5" s="81" t="s">
        <v>10</v>
      </c>
      <c r="K5" s="243" t="s">
        <v>11</v>
      </c>
      <c r="L5" s="244" t="s">
        <v>12</v>
      </c>
      <c r="M5" s="244" t="s">
        <v>13</v>
      </c>
      <c r="N5" s="244" t="s">
        <v>14</v>
      </c>
      <c r="O5" s="245" t="s">
        <v>15</v>
      </c>
      <c r="P5" s="13" t="s">
        <v>16</v>
      </c>
      <c r="Q5" s="13" t="s">
        <v>17</v>
      </c>
      <c r="R5" s="14" t="s">
        <v>18</v>
      </c>
      <c r="S5" s="14"/>
      <c r="T5" s="14" t="s">
        <v>19</v>
      </c>
      <c r="U5" s="15"/>
      <c r="W5" s="260" t="s">
        <v>20</v>
      </c>
      <c r="X5" s="261"/>
      <c r="Y5" s="262" t="s">
        <v>21</v>
      </c>
      <c r="Z5" s="263">
        <f>1/(1/10+SUM(AC7:AC10)+1/23)</f>
        <v>0.16141672417624836</v>
      </c>
      <c r="AA5" s="261" t="s">
        <v>5</v>
      </c>
      <c r="AB5" s="261"/>
      <c r="AC5" s="261" t="s">
        <v>22</v>
      </c>
      <c r="AD5" s="264">
        <f>SUM(AD7:AD10)</f>
        <v>76776</v>
      </c>
      <c r="AE5" s="14" t="s">
        <v>23</v>
      </c>
      <c r="AF5" s="14">
        <f>SUM(AD9:AD10)</f>
        <v>41076</v>
      </c>
      <c r="AG5" s="14"/>
      <c r="AL5" s="154" t="s">
        <v>389</v>
      </c>
      <c r="AM5" s="81" t="s">
        <v>390</v>
      </c>
      <c r="AN5" s="81" t="s">
        <v>393</v>
      </c>
      <c r="AO5" s="81">
        <f>SUM(N27)/SUM($N$6:$N$14,$N$26:$N$27)</f>
        <v>0.19330695832358544</v>
      </c>
      <c r="AP5" s="81" t="s">
        <v>392</v>
      </c>
      <c r="AQ5" s="204">
        <v>0.32600000000000001</v>
      </c>
      <c r="AU5" s="205" t="s">
        <v>389</v>
      </c>
      <c r="AV5" s="205" t="s">
        <v>390</v>
      </c>
      <c r="AW5" s="205" t="s">
        <v>393</v>
      </c>
      <c r="AX5" s="207" t="s">
        <v>434</v>
      </c>
      <c r="AY5" s="206">
        <f t="shared" ref="AY5:AY50" si="3">BY5</f>
        <v>0.38800000000000001</v>
      </c>
      <c r="AZ5" s="205" t="s">
        <v>392</v>
      </c>
      <c r="BE5" s="81" t="s">
        <v>291</v>
      </c>
      <c r="BF5" s="204">
        <f>AO10</f>
        <v>8856365.1000000015</v>
      </c>
      <c r="BI5" s="81" t="s">
        <v>440</v>
      </c>
      <c r="BJ5" s="81">
        <f>BF24</f>
        <v>47.57155683567084</v>
      </c>
      <c r="BP5" s="154" t="s">
        <v>389</v>
      </c>
      <c r="BQ5" s="81" t="s">
        <v>390</v>
      </c>
      <c r="BR5" s="81" t="s">
        <v>393</v>
      </c>
      <c r="BS5" s="204">
        <f t="shared" ref="BS5:BS7" si="4">AQ5</f>
        <v>0.32600000000000001</v>
      </c>
      <c r="BT5" s="81" t="s">
        <v>392</v>
      </c>
      <c r="BU5" s="204">
        <v>0.32600000000000001</v>
      </c>
      <c r="BY5" s="211">
        <f>CB9</f>
        <v>0.38800000000000001</v>
      </c>
      <c r="BZ5" s="211"/>
      <c r="CA5" s="81" t="s">
        <v>467</v>
      </c>
      <c r="CB5" s="204">
        <v>294</v>
      </c>
      <c r="CC5" s="204">
        <v>5.4199999999999998E-2</v>
      </c>
      <c r="CG5" s="81" t="s">
        <v>499</v>
      </c>
      <c r="CM5" s="81" t="s">
        <v>499</v>
      </c>
      <c r="DK5" s="81" t="s">
        <v>394</v>
      </c>
      <c r="DL5" s="286">
        <f t="shared" si="0"/>
        <v>4.9860465893519591E-2</v>
      </c>
      <c r="DM5" s="286">
        <f t="shared" si="1"/>
        <v>0.251</v>
      </c>
      <c r="DN5" s="286">
        <f t="shared" si="2"/>
        <v>6.13E-2</v>
      </c>
      <c r="DP5" s="290" t="s">
        <v>506</v>
      </c>
      <c r="DQ5" s="290" t="s">
        <v>499</v>
      </c>
      <c r="DX5" s="212" t="s">
        <v>568</v>
      </c>
      <c r="DY5" s="292" t="s">
        <v>569</v>
      </c>
      <c r="DZ5" s="292" t="s">
        <v>434</v>
      </c>
      <c r="EA5" s="293">
        <f>DR12</f>
        <v>1.1000000000000001</v>
      </c>
      <c r="EB5" s="212" t="s">
        <v>392</v>
      </c>
    </row>
    <row r="6" spans="1:132" ht="15" customHeight="1" thickTop="1" thickBot="1" x14ac:dyDescent="0.3">
      <c r="A6" s="223" t="s">
        <v>34</v>
      </c>
      <c r="B6" s="224">
        <f>'Tabula data'!B4</f>
        <v>224</v>
      </c>
      <c r="C6" s="225" t="s">
        <v>9</v>
      </c>
      <c r="D6" s="226" t="s">
        <v>35</v>
      </c>
      <c r="E6" s="221" t="s">
        <v>36</v>
      </c>
      <c r="F6" s="227">
        <f t="shared" ref="F6:F13" si="5">H6/$G$4</f>
        <v>0.11876832844574779</v>
      </c>
      <c r="G6" s="221"/>
      <c r="H6" s="228">
        <f>'Tabula data'!B22*'Tabula 2zone Ref 2'!C45</f>
        <v>4.05</v>
      </c>
      <c r="J6" s="81" t="s">
        <v>24</v>
      </c>
      <c r="K6" s="246">
        <v>0</v>
      </c>
      <c r="L6" s="247">
        <v>1</v>
      </c>
      <c r="M6" s="247" t="s">
        <v>25</v>
      </c>
      <c r="N6" s="248">
        <f>'[1]Tabula data'!B19*C43</f>
        <v>17.590457494591035</v>
      </c>
      <c r="O6" s="249" t="s">
        <v>26</v>
      </c>
      <c r="P6" s="30">
        <f t="shared" ref="P6:P28" si="6">VLOOKUP(M6,$W$5:$Z$393,4,0)</f>
        <v>0.22509582884017654</v>
      </c>
      <c r="Q6" s="30">
        <f t="shared" ref="Q6:Q28" si="7">P6*N6</f>
        <v>3.9595386094228644</v>
      </c>
      <c r="R6" s="30">
        <f t="shared" ref="R6:R14" si="8">VLOOKUP(M6,$W$5:$AD$393,8,0)*N6</f>
        <v>4469107.2700430248</v>
      </c>
      <c r="S6" s="30">
        <f t="shared" ref="S6:S14" si="9">R6/N6</f>
        <v>254064.3</v>
      </c>
      <c r="T6" s="30">
        <f t="shared" ref="T6:T14" si="10">VLOOKUP(M6,$W$5:$AF$393,10,0)*N6</f>
        <v>2356769.4951253068</v>
      </c>
      <c r="U6" s="31"/>
      <c r="V6" s="3"/>
      <c r="W6" s="265"/>
      <c r="X6" s="266" t="s">
        <v>27</v>
      </c>
      <c r="Y6" s="266" t="s">
        <v>28</v>
      </c>
      <c r="Z6" s="266" t="s">
        <v>29</v>
      </c>
      <c r="AA6" s="266" t="s">
        <v>30</v>
      </c>
      <c r="AB6" s="266" t="s">
        <v>31</v>
      </c>
      <c r="AC6" s="266" t="s">
        <v>32</v>
      </c>
      <c r="AD6" s="267" t="s">
        <v>33</v>
      </c>
      <c r="AE6" s="14"/>
      <c r="AF6" s="14"/>
      <c r="AG6" s="14"/>
      <c r="AL6" s="154" t="s">
        <v>389</v>
      </c>
      <c r="AM6" s="81" t="s">
        <v>390</v>
      </c>
      <c r="AN6" s="81" t="s">
        <v>394</v>
      </c>
      <c r="AO6" s="81">
        <f>SUM(N10:N13)/SUM($N$6:$N$14,$N$26:$N$27)</f>
        <v>4.9860465893519591E-2</v>
      </c>
      <c r="AP6" s="81" t="s">
        <v>392</v>
      </c>
      <c r="AQ6" s="204">
        <v>0.251</v>
      </c>
      <c r="AU6" s="205" t="s">
        <v>389</v>
      </c>
      <c r="AV6" s="205" t="s">
        <v>390</v>
      </c>
      <c r="AW6" s="205" t="s">
        <v>394</v>
      </c>
      <c r="AX6" s="207" t="s">
        <v>434</v>
      </c>
      <c r="AY6" s="206">
        <f t="shared" si="3"/>
        <v>6.13E-2</v>
      </c>
      <c r="AZ6" s="205" t="s">
        <v>392</v>
      </c>
      <c r="BE6" s="81" t="s">
        <v>282</v>
      </c>
      <c r="BF6" s="3">
        <f>AO22</f>
        <v>67.901478324403314</v>
      </c>
      <c r="BI6" s="81" t="s">
        <v>441</v>
      </c>
      <c r="BJ6" s="3">
        <f>BF6</f>
        <v>67.901478324403314</v>
      </c>
      <c r="BP6" s="154" t="s">
        <v>389</v>
      </c>
      <c r="BQ6" s="81" t="s">
        <v>390</v>
      </c>
      <c r="BR6" s="81" t="s">
        <v>394</v>
      </c>
      <c r="BS6" s="204">
        <f t="shared" si="4"/>
        <v>0.251</v>
      </c>
      <c r="BT6" s="81" t="s">
        <v>392</v>
      </c>
      <c r="BU6" s="204">
        <v>0.251</v>
      </c>
      <c r="BY6" s="211">
        <f>CB10</f>
        <v>6.13E-2</v>
      </c>
      <c r="BZ6" s="211"/>
      <c r="CA6" s="81" t="s">
        <v>468</v>
      </c>
      <c r="CB6" s="204">
        <v>290</v>
      </c>
      <c r="CC6" s="204">
        <v>0.111</v>
      </c>
      <c r="CG6" s="81" t="s">
        <v>500</v>
      </c>
      <c r="CH6" s="81" t="s">
        <v>501</v>
      </c>
      <c r="CI6" s="81" t="s">
        <v>502</v>
      </c>
      <c r="CJ6" s="81" t="s">
        <v>503</v>
      </c>
      <c r="CK6" s="81" t="s">
        <v>504</v>
      </c>
      <c r="CM6" s="81" t="s">
        <v>500</v>
      </c>
      <c r="CN6" s="81" t="s">
        <v>501</v>
      </c>
      <c r="CO6" s="81" t="s">
        <v>502</v>
      </c>
      <c r="CP6" s="81" t="s">
        <v>503</v>
      </c>
      <c r="CQ6" s="81" t="s">
        <v>504</v>
      </c>
      <c r="CR6" s="81" t="s">
        <v>508</v>
      </c>
      <c r="CU6" s="212" t="s">
        <v>506</v>
      </c>
      <c r="CV6" s="81" t="s">
        <v>497</v>
      </c>
      <c r="CW6" s="81" t="s">
        <v>521</v>
      </c>
      <c r="DK6" s="81" t="s">
        <v>395</v>
      </c>
      <c r="DL6" s="286">
        <f t="shared" si="0"/>
        <v>0.30237959961231237</v>
      </c>
      <c r="DM6" s="286">
        <f t="shared" si="1"/>
        <v>0.13800000000000001</v>
      </c>
      <c r="DN6" s="286">
        <f t="shared" si="2"/>
        <v>0.17799999999999999</v>
      </c>
      <c r="DP6" s="290" t="s">
        <v>506</v>
      </c>
      <c r="DQ6" s="290" t="s">
        <v>500</v>
      </c>
      <c r="DR6" s="290" t="s">
        <v>501</v>
      </c>
      <c r="DS6" s="290" t="s">
        <v>502</v>
      </c>
      <c r="DT6" s="290" t="s">
        <v>503</v>
      </c>
      <c r="DU6" s="290" t="s">
        <v>504</v>
      </c>
      <c r="DV6" s="290" t="s">
        <v>508</v>
      </c>
      <c r="DX6" s="212" t="s">
        <v>568</v>
      </c>
      <c r="DY6" s="292" t="s">
        <v>570</v>
      </c>
      <c r="DZ6" s="292" t="s">
        <v>434</v>
      </c>
      <c r="EA6" s="293">
        <f t="shared" ref="EA6:EA24" si="11">DR13</f>
        <v>0.81100000000000005</v>
      </c>
      <c r="EB6" s="212" t="s">
        <v>392</v>
      </c>
    </row>
    <row r="7" spans="1:132" ht="15" customHeight="1" thickTop="1" thickBot="1" x14ac:dyDescent="0.3">
      <c r="A7" s="226" t="s">
        <v>42</v>
      </c>
      <c r="B7" s="229">
        <f>'Tabula data'!B14</f>
        <v>103.4</v>
      </c>
      <c r="C7" s="230" t="s">
        <v>9</v>
      </c>
      <c r="D7" s="226" t="s">
        <v>43</v>
      </c>
      <c r="E7" s="221" t="s">
        <v>36</v>
      </c>
      <c r="F7" s="227">
        <f t="shared" si="5"/>
        <v>0.10117302052785924</v>
      </c>
      <c r="G7" s="221"/>
      <c r="H7" s="228">
        <f>'Tabula data'!B23*'Tabula 2zone Ref 2'!C45</f>
        <v>3.45</v>
      </c>
      <c r="J7" s="81" t="s">
        <v>38</v>
      </c>
      <c r="K7" s="250">
        <v>0</v>
      </c>
      <c r="L7" s="251">
        <v>1</v>
      </c>
      <c r="M7" s="251" t="s">
        <v>25</v>
      </c>
      <c r="N7" s="252">
        <f>'[1]Tabula data'!B20*C43</f>
        <v>30.921227867960802</v>
      </c>
      <c r="O7" s="253" t="s">
        <v>39</v>
      </c>
      <c r="P7" s="30">
        <f t="shared" si="6"/>
        <v>0.22509582884017654</v>
      </c>
      <c r="Q7" s="30">
        <f t="shared" si="7"/>
        <v>6.9602394156946019</v>
      </c>
      <c r="R7" s="30">
        <f t="shared" si="8"/>
        <v>7855980.1134139532</v>
      </c>
      <c r="S7" s="30">
        <f t="shared" si="9"/>
        <v>254064.3</v>
      </c>
      <c r="T7" s="30">
        <f t="shared" si="10"/>
        <v>4142826.1097493884</v>
      </c>
      <c r="U7" s="31"/>
      <c r="V7" s="3"/>
      <c r="W7" s="220"/>
      <c r="X7" s="221" t="s">
        <v>40</v>
      </c>
      <c r="Y7" s="221">
        <v>2.5000000000000001E-2</v>
      </c>
      <c r="Z7" s="221">
        <v>1</v>
      </c>
      <c r="AA7" s="221">
        <v>1700</v>
      </c>
      <c r="AB7" s="221">
        <v>840</v>
      </c>
      <c r="AC7" s="268">
        <f>Y7/Z7</f>
        <v>2.5000000000000001E-2</v>
      </c>
      <c r="AD7" s="222">
        <f>Y7*AA7*AB7</f>
        <v>35700</v>
      </c>
      <c r="AE7" s="14" t="s">
        <v>41</v>
      </c>
      <c r="AF7" s="14"/>
      <c r="AG7" s="14"/>
      <c r="AL7" s="154" t="s">
        <v>389</v>
      </c>
      <c r="AM7" s="81" t="s">
        <v>390</v>
      </c>
      <c r="AN7" s="81" t="s">
        <v>395</v>
      </c>
      <c r="AO7" s="81">
        <f>SUM(N14)/SUM(N6:N14,N27,N26)</f>
        <v>0.30237959961231237</v>
      </c>
      <c r="AP7" s="81" t="s">
        <v>392</v>
      </c>
      <c r="AQ7" s="204">
        <v>0.13800000000000001</v>
      </c>
      <c r="AU7" s="205" t="s">
        <v>389</v>
      </c>
      <c r="AV7" s="205" t="s">
        <v>390</v>
      </c>
      <c r="AW7" s="205" t="s">
        <v>395</v>
      </c>
      <c r="AX7" s="207" t="s">
        <v>434</v>
      </c>
      <c r="AY7" s="206">
        <f t="shared" si="3"/>
        <v>0.17799999999999999</v>
      </c>
      <c r="AZ7" s="205" t="s">
        <v>392</v>
      </c>
      <c r="BE7" s="81" t="s">
        <v>122</v>
      </c>
      <c r="BF7" s="204">
        <f>AO9</f>
        <v>1904462.5600000003</v>
      </c>
      <c r="BI7" s="81" t="s">
        <v>442</v>
      </c>
      <c r="BJ7" s="3">
        <f>BF25</f>
        <v>53.248521675596692</v>
      </c>
      <c r="BP7" s="154" t="s">
        <v>389</v>
      </c>
      <c r="BQ7" s="81" t="s">
        <v>390</v>
      </c>
      <c r="BR7" s="81" t="s">
        <v>395</v>
      </c>
      <c r="BS7" s="204">
        <f t="shared" si="4"/>
        <v>0.13800000000000001</v>
      </c>
      <c r="BT7" s="81" t="s">
        <v>392</v>
      </c>
      <c r="BU7" s="204">
        <v>0.13800000000000001</v>
      </c>
      <c r="BY7" s="211">
        <f>CB11</f>
        <v>0.17799999999999999</v>
      </c>
      <c r="BZ7" s="211"/>
      <c r="CA7" s="81" t="s">
        <v>469</v>
      </c>
      <c r="CB7" s="204">
        <v>292</v>
      </c>
      <c r="CC7" s="204">
        <v>6.6199999999999995E-2</v>
      </c>
      <c r="CG7" s="81" t="s">
        <v>465</v>
      </c>
      <c r="CH7" s="204">
        <v>292</v>
      </c>
      <c r="CI7" s="204">
        <v>0.10299999999999999</v>
      </c>
      <c r="CJ7" s="81">
        <v>2836.8</v>
      </c>
      <c r="CK7" s="81" t="s">
        <v>505</v>
      </c>
      <c r="CM7" s="81" t="s">
        <v>465</v>
      </c>
      <c r="CN7" s="204">
        <v>290</v>
      </c>
      <c r="CO7" s="204">
        <v>0.23599999999999999</v>
      </c>
      <c r="CP7" s="81">
        <v>1228.6600000000001</v>
      </c>
      <c r="CQ7" s="81" t="s">
        <v>509</v>
      </c>
      <c r="CR7" s="204">
        <v>2E-16</v>
      </c>
      <c r="CS7" s="81" t="s">
        <v>510</v>
      </c>
      <c r="CU7" s="212" t="s">
        <v>506</v>
      </c>
      <c r="CV7" s="81" t="s">
        <v>499</v>
      </c>
      <c r="DL7" s="287">
        <f t="shared" si="0"/>
        <v>0</v>
      </c>
      <c r="DM7" s="287">
        <f t="shared" si="1"/>
        <v>0</v>
      </c>
      <c r="DN7" s="287">
        <f t="shared" si="2"/>
        <v>0</v>
      </c>
      <c r="DP7" s="290" t="s">
        <v>506</v>
      </c>
      <c r="DQ7" s="290" t="s">
        <v>465</v>
      </c>
      <c r="DR7" s="291">
        <v>292</v>
      </c>
      <c r="DS7" s="291">
        <v>0.11</v>
      </c>
      <c r="DT7" s="290">
        <v>2660.75</v>
      </c>
      <c r="DU7" s="290" t="s">
        <v>509</v>
      </c>
      <c r="DV7" s="291">
        <v>2E-16</v>
      </c>
      <c r="DW7" s="81" t="s">
        <v>510</v>
      </c>
      <c r="DX7" s="212" t="s">
        <v>568</v>
      </c>
      <c r="DY7" s="294" t="s">
        <v>571</v>
      </c>
      <c r="DZ7" s="292" t="s">
        <v>434</v>
      </c>
      <c r="EA7" s="293">
        <f t="shared" si="11"/>
        <v>1.17</v>
      </c>
      <c r="EB7" s="212" t="s">
        <v>392</v>
      </c>
    </row>
    <row r="8" spans="1:132" ht="15" customHeight="1" thickTop="1" thickBot="1" x14ac:dyDescent="0.3">
      <c r="A8" s="226" t="s">
        <v>47</v>
      </c>
      <c r="B8" s="229">
        <f>B6-B7</f>
        <v>120.6</v>
      </c>
      <c r="C8" s="221"/>
      <c r="D8" s="226" t="s">
        <v>48</v>
      </c>
      <c r="E8" s="221" t="s">
        <v>36</v>
      </c>
      <c r="F8" s="227">
        <f t="shared" si="5"/>
        <v>0.13196480938416422</v>
      </c>
      <c r="G8" s="221"/>
      <c r="H8" s="228">
        <f>'Tabula data'!B24*C45</f>
        <v>4.5</v>
      </c>
      <c r="J8" s="81" t="s">
        <v>44</v>
      </c>
      <c r="K8" s="250">
        <v>0</v>
      </c>
      <c r="L8" s="251">
        <v>1</v>
      </c>
      <c r="M8" s="251" t="s">
        <v>25</v>
      </c>
      <c r="N8" s="252">
        <f>N6</f>
        <v>17.590457494591035</v>
      </c>
      <c r="O8" s="253" t="s">
        <v>45</v>
      </c>
      <c r="P8" s="30">
        <f t="shared" si="6"/>
        <v>0.22509582884017654</v>
      </c>
      <c r="Q8" s="30">
        <f t="shared" si="7"/>
        <v>3.9595386094228644</v>
      </c>
      <c r="R8" s="30">
        <f t="shared" si="8"/>
        <v>4469107.2700430248</v>
      </c>
      <c r="S8" s="30">
        <f t="shared" si="9"/>
        <v>254064.3</v>
      </c>
      <c r="T8" s="30">
        <f t="shared" si="10"/>
        <v>2356769.4951253068</v>
      </c>
      <c r="U8" s="31"/>
      <c r="V8" s="3"/>
      <c r="W8" s="220"/>
      <c r="X8" s="221" t="s">
        <v>46</v>
      </c>
      <c r="Y8" s="221">
        <v>0</v>
      </c>
      <c r="Z8" s="221">
        <v>0</v>
      </c>
      <c r="AA8" s="221">
        <v>0</v>
      </c>
      <c r="AB8" s="221">
        <v>0</v>
      </c>
      <c r="AC8" s="268">
        <v>0.16</v>
      </c>
      <c r="AD8" s="222">
        <f>Y8*AA8*AB8</f>
        <v>0</v>
      </c>
      <c r="AE8" s="14"/>
      <c r="AF8" s="14"/>
      <c r="AG8" s="14"/>
      <c r="AP8" s="81" t="s">
        <v>392</v>
      </c>
      <c r="AQ8" s="204"/>
      <c r="AU8" s="205"/>
      <c r="AV8" s="205"/>
      <c r="AW8" s="205"/>
      <c r="AX8" s="207"/>
      <c r="AZ8" s="205"/>
      <c r="BS8" s="204">
        <f>AQ8</f>
        <v>0</v>
      </c>
      <c r="BT8" s="81" t="s">
        <v>392</v>
      </c>
      <c r="BU8" s="204"/>
      <c r="CA8" s="81" t="s">
        <v>470</v>
      </c>
      <c r="CB8" s="204">
        <v>0.19500000000000001</v>
      </c>
      <c r="CC8" s="204">
        <v>1.0499999999999999E-3</v>
      </c>
      <c r="CG8" s="81" t="s">
        <v>466</v>
      </c>
      <c r="CH8" s="204">
        <v>291</v>
      </c>
      <c r="CI8" s="204">
        <v>0.105</v>
      </c>
      <c r="CJ8" s="81">
        <v>2780.29</v>
      </c>
      <c r="CK8" s="81" t="s">
        <v>505</v>
      </c>
      <c r="CM8" s="81" t="s">
        <v>466</v>
      </c>
      <c r="CN8" s="204">
        <v>285</v>
      </c>
      <c r="CO8" s="204">
        <v>0.35499999999999998</v>
      </c>
      <c r="CP8" s="81">
        <v>802.92</v>
      </c>
      <c r="CQ8" s="81" t="s">
        <v>509</v>
      </c>
      <c r="CR8" s="204">
        <v>2E-16</v>
      </c>
      <c r="CS8" s="81" t="s">
        <v>510</v>
      </c>
      <c r="CU8" s="212" t="s">
        <v>506</v>
      </c>
      <c r="CV8" s="81" t="s">
        <v>500</v>
      </c>
      <c r="CW8" s="81" t="s">
        <v>501</v>
      </c>
      <c r="CX8" s="81" t="s">
        <v>502</v>
      </c>
      <c r="CY8" s="81" t="s">
        <v>503</v>
      </c>
      <c r="CZ8" s="81" t="s">
        <v>504</v>
      </c>
      <c r="DA8" s="81" t="s">
        <v>508</v>
      </c>
      <c r="DK8" s="81" t="s">
        <v>396</v>
      </c>
      <c r="DL8" s="288">
        <f t="shared" si="0"/>
        <v>1904462.5600000003</v>
      </c>
      <c r="DM8" s="288">
        <f t="shared" si="1"/>
        <v>2850000</v>
      </c>
      <c r="DN8" s="288">
        <f t="shared" si="2"/>
        <v>3460000</v>
      </c>
      <c r="DP8" s="290" t="s">
        <v>506</v>
      </c>
      <c r="DQ8" s="290" t="s">
        <v>466</v>
      </c>
      <c r="DR8" s="291">
        <v>291</v>
      </c>
      <c r="DS8" s="291">
        <v>9.2899999999999996E-2</v>
      </c>
      <c r="DT8" s="290">
        <v>3129.74</v>
      </c>
      <c r="DU8" s="290" t="s">
        <v>509</v>
      </c>
      <c r="DV8" s="291">
        <v>2E-16</v>
      </c>
      <c r="DW8" s="81" t="s">
        <v>510</v>
      </c>
      <c r="DX8" s="212" t="s">
        <v>568</v>
      </c>
      <c r="DY8" s="295" t="s">
        <v>572</v>
      </c>
      <c r="DZ8" s="292" t="s">
        <v>434</v>
      </c>
      <c r="EA8" s="293">
        <f t="shared" si="11"/>
        <v>0.99</v>
      </c>
      <c r="EB8" s="212" t="s">
        <v>392</v>
      </c>
    </row>
    <row r="9" spans="1:132" ht="15" customHeight="1" thickTop="1" thickBot="1" x14ac:dyDescent="0.3">
      <c r="A9" s="220"/>
      <c r="B9" s="221"/>
      <c r="C9" s="221"/>
      <c r="D9" s="226" t="s">
        <v>52</v>
      </c>
      <c r="E9" s="231" t="s">
        <v>36</v>
      </c>
      <c r="F9" s="227">
        <f t="shared" si="5"/>
        <v>0.14809384164222872</v>
      </c>
      <c r="G9" s="221"/>
      <c r="H9" s="228">
        <f>'Tabula data'!B25*'Tabula 2zone Ref 2'!C45</f>
        <v>5.05</v>
      </c>
      <c r="J9" s="81" t="s">
        <v>49</v>
      </c>
      <c r="K9" s="250">
        <v>0</v>
      </c>
      <c r="L9" s="251">
        <v>1</v>
      </c>
      <c r="M9" s="251" t="s">
        <v>25</v>
      </c>
      <c r="N9" s="252">
        <v>0</v>
      </c>
      <c r="O9" s="253" t="s">
        <v>50</v>
      </c>
      <c r="P9" s="30">
        <f t="shared" si="6"/>
        <v>0.22509582884017654</v>
      </c>
      <c r="Q9" s="30">
        <f t="shared" si="7"/>
        <v>0</v>
      </c>
      <c r="R9" s="30">
        <f t="shared" si="8"/>
        <v>0</v>
      </c>
      <c r="S9" s="30" t="e">
        <f t="shared" si="9"/>
        <v>#DIV/0!</v>
      </c>
      <c r="T9" s="30">
        <f t="shared" si="10"/>
        <v>0</v>
      </c>
      <c r="U9" s="31"/>
      <c r="V9" s="3"/>
      <c r="W9" s="220"/>
      <c r="X9" s="231" t="s">
        <v>267</v>
      </c>
      <c r="Y9" s="320">
        <v>0.21</v>
      </c>
      <c r="Z9" s="221">
        <v>3.5999999999999997E-2</v>
      </c>
      <c r="AA9" s="221">
        <v>80</v>
      </c>
      <c r="AB9" s="221">
        <v>1470</v>
      </c>
      <c r="AC9" s="268">
        <f>Y9/Z9</f>
        <v>5.8333333333333339</v>
      </c>
      <c r="AD9" s="222">
        <f>Y9*AA9*AB9</f>
        <v>24696</v>
      </c>
      <c r="AE9" s="14"/>
      <c r="AF9" s="14"/>
      <c r="AG9" s="14"/>
      <c r="AL9" s="154" t="s">
        <v>389</v>
      </c>
      <c r="AM9" s="81" t="s">
        <v>390</v>
      </c>
      <c r="AN9" s="81" t="s">
        <v>396</v>
      </c>
      <c r="AO9" s="204">
        <f>B34*1.04*1012*5</f>
        <v>1904462.5600000003</v>
      </c>
      <c r="AP9" s="81" t="s">
        <v>392</v>
      </c>
      <c r="AQ9" s="204">
        <v>2850000</v>
      </c>
      <c r="AU9" s="205" t="s">
        <v>389</v>
      </c>
      <c r="AV9" s="205" t="s">
        <v>390</v>
      </c>
      <c r="AW9" s="205" t="s">
        <v>396</v>
      </c>
      <c r="AX9" s="207" t="s">
        <v>434</v>
      </c>
      <c r="AY9" s="206">
        <f t="shared" si="3"/>
        <v>3460000</v>
      </c>
      <c r="AZ9" s="205" t="s">
        <v>392</v>
      </c>
      <c r="BE9" s="81" t="s">
        <v>285</v>
      </c>
      <c r="BF9" s="81">
        <f>AO21</f>
        <v>459.10169958658707</v>
      </c>
      <c r="BI9" s="81" t="s">
        <v>443</v>
      </c>
      <c r="BJ9" s="204">
        <f>BF5</f>
        <v>8856365.1000000015</v>
      </c>
      <c r="BP9" s="154" t="s">
        <v>389</v>
      </c>
      <c r="BQ9" s="81" t="s">
        <v>390</v>
      </c>
      <c r="BR9" s="81" t="s">
        <v>396</v>
      </c>
      <c r="BS9" s="204">
        <f>AQ9</f>
        <v>2850000</v>
      </c>
      <c r="BT9" s="81" t="s">
        <v>392</v>
      </c>
      <c r="BU9" s="204">
        <v>2850000</v>
      </c>
      <c r="BY9" s="211">
        <f>CB15</f>
        <v>3460000</v>
      </c>
      <c r="BZ9" s="211"/>
      <c r="CA9" s="81" t="s">
        <v>471</v>
      </c>
      <c r="CB9" s="204">
        <v>0.38800000000000001</v>
      </c>
      <c r="CC9" s="204">
        <v>1.15E-3</v>
      </c>
      <c r="CG9" s="81" t="s">
        <v>467</v>
      </c>
      <c r="CH9" s="204">
        <v>294</v>
      </c>
      <c r="CI9" s="204">
        <v>5.4199999999999998E-2</v>
      </c>
      <c r="CJ9" s="81">
        <v>5435.78</v>
      </c>
      <c r="CK9" s="81" t="s">
        <v>505</v>
      </c>
      <c r="CM9" s="81" t="s">
        <v>467</v>
      </c>
      <c r="CN9" s="204">
        <v>291</v>
      </c>
      <c r="CO9" s="204">
        <v>0.127</v>
      </c>
      <c r="CP9" s="81">
        <v>2291.35</v>
      </c>
      <c r="CQ9" s="81" t="s">
        <v>509</v>
      </c>
      <c r="CR9" s="204">
        <v>2E-16</v>
      </c>
      <c r="CS9" s="81" t="s">
        <v>510</v>
      </c>
      <c r="CU9" s="212" t="s">
        <v>506</v>
      </c>
      <c r="CV9" s="81" t="s">
        <v>522</v>
      </c>
      <c r="CW9" s="204">
        <v>294</v>
      </c>
      <c r="CX9" s="204">
        <v>3.8399999999999998E-5</v>
      </c>
      <c r="CY9" s="81">
        <v>7667965</v>
      </c>
      <c r="CZ9" s="81" t="s">
        <v>505</v>
      </c>
      <c r="DA9" s="81" t="s">
        <v>510</v>
      </c>
      <c r="DK9" s="81" t="s">
        <v>397</v>
      </c>
      <c r="DL9" s="288">
        <f t="shared" si="0"/>
        <v>8856365.1000000015</v>
      </c>
      <c r="DM9" s="288">
        <f t="shared" si="1"/>
        <v>19700000</v>
      </c>
      <c r="DN9" s="288">
        <f t="shared" si="2"/>
        <v>23000000</v>
      </c>
      <c r="DP9" s="290" t="s">
        <v>506</v>
      </c>
      <c r="DQ9" s="290" t="s">
        <v>467</v>
      </c>
      <c r="DR9" s="291">
        <v>294</v>
      </c>
      <c r="DS9" s="291">
        <v>4.9799999999999997E-2</v>
      </c>
      <c r="DT9" s="290">
        <v>5913.11</v>
      </c>
      <c r="DU9" s="290" t="s">
        <v>509</v>
      </c>
      <c r="DV9" s="291">
        <v>2E-16</v>
      </c>
      <c r="DW9" s="81" t="s">
        <v>510</v>
      </c>
      <c r="DX9" s="212" t="s">
        <v>568</v>
      </c>
      <c r="DY9" s="295" t="s">
        <v>573</v>
      </c>
      <c r="DZ9" s="292" t="s">
        <v>434</v>
      </c>
      <c r="EA9" s="293">
        <f t="shared" si="11"/>
        <v>2.17</v>
      </c>
      <c r="EB9" s="212" t="s">
        <v>392</v>
      </c>
    </row>
    <row r="10" spans="1:132" ht="15" customHeight="1" thickTop="1" thickBot="1" x14ac:dyDescent="0.3">
      <c r="A10" s="220"/>
      <c r="B10" s="221"/>
      <c r="C10" s="221"/>
      <c r="D10" s="226" t="s">
        <v>35</v>
      </c>
      <c r="E10" s="231" t="s">
        <v>56</v>
      </c>
      <c r="F10" s="227">
        <f t="shared" si="5"/>
        <v>0.11876832844574779</v>
      </c>
      <c r="G10" s="221"/>
      <c r="H10" s="232">
        <f>'Tabula data'!B22*(1-C45)</f>
        <v>4.05</v>
      </c>
      <c r="J10" s="81" t="s">
        <v>53</v>
      </c>
      <c r="K10" s="250">
        <v>0</v>
      </c>
      <c r="L10" s="251">
        <v>1</v>
      </c>
      <c r="M10" s="251" t="s">
        <v>54</v>
      </c>
      <c r="N10" s="252">
        <f>H6</f>
        <v>4.05</v>
      </c>
      <c r="O10" s="253" t="s">
        <v>26</v>
      </c>
      <c r="P10" s="30">
        <f t="shared" si="6"/>
        <v>1.1000000000000001</v>
      </c>
      <c r="Q10" s="30">
        <f t="shared" si="7"/>
        <v>4.4550000000000001</v>
      </c>
      <c r="R10" s="30">
        <f t="shared" si="8"/>
        <v>0</v>
      </c>
      <c r="S10" s="30">
        <f t="shared" si="9"/>
        <v>0</v>
      </c>
      <c r="T10" s="30">
        <f t="shared" si="10"/>
        <v>0</v>
      </c>
      <c r="U10" s="31"/>
      <c r="V10" s="3"/>
      <c r="W10" s="237"/>
      <c r="X10" s="219" t="s">
        <v>58</v>
      </c>
      <c r="Y10" s="219">
        <v>0.02</v>
      </c>
      <c r="Z10" s="219">
        <v>0.6</v>
      </c>
      <c r="AA10" s="219">
        <v>975</v>
      </c>
      <c r="AB10" s="219">
        <v>840</v>
      </c>
      <c r="AC10" s="269">
        <f>Y10/Z10</f>
        <v>3.3333333333333333E-2</v>
      </c>
      <c r="AD10" s="242">
        <f>Y10*AA10*AB10</f>
        <v>16380</v>
      </c>
      <c r="AE10" s="14"/>
      <c r="AF10" s="14"/>
      <c r="AG10" s="14"/>
      <c r="AL10" s="154" t="s">
        <v>389</v>
      </c>
      <c r="AM10" s="81" t="s">
        <v>390</v>
      </c>
      <c r="AN10" s="81" t="s">
        <v>397</v>
      </c>
      <c r="AO10" s="204">
        <f>SUM(T6:T9)</f>
        <v>8856365.1000000015</v>
      </c>
      <c r="AP10" s="81" t="s">
        <v>392</v>
      </c>
      <c r="AQ10" s="204">
        <v>19700000</v>
      </c>
      <c r="AU10" s="205" t="s">
        <v>389</v>
      </c>
      <c r="AV10" s="205" t="s">
        <v>390</v>
      </c>
      <c r="AW10" s="205" t="s">
        <v>397</v>
      </c>
      <c r="AX10" s="207" t="s">
        <v>434</v>
      </c>
      <c r="AY10" s="206">
        <f t="shared" si="3"/>
        <v>23000000</v>
      </c>
      <c r="AZ10" s="205" t="s">
        <v>392</v>
      </c>
      <c r="BE10" s="81" t="s">
        <v>293</v>
      </c>
      <c r="BF10" s="204">
        <f>AO11</f>
        <v>13048563.000000004</v>
      </c>
      <c r="BI10" s="81" t="s">
        <v>444</v>
      </c>
      <c r="BJ10" s="204">
        <f>BF26</f>
        <v>30005433.900000006</v>
      </c>
      <c r="BP10" s="154" t="s">
        <v>389</v>
      </c>
      <c r="BQ10" s="81" t="s">
        <v>390</v>
      </c>
      <c r="BR10" s="81" t="s">
        <v>397</v>
      </c>
      <c r="BS10" s="204">
        <f t="shared" ref="BS10:BS12" si="12">AQ10</f>
        <v>19700000</v>
      </c>
      <c r="BT10" s="81" t="s">
        <v>392</v>
      </c>
      <c r="BU10" s="204">
        <v>19700000</v>
      </c>
      <c r="BY10" s="211">
        <f>CB16</f>
        <v>23000000</v>
      </c>
      <c r="BZ10" s="211"/>
      <c r="CA10" s="81" t="s">
        <v>472</v>
      </c>
      <c r="CB10" s="204">
        <v>6.13E-2</v>
      </c>
      <c r="CC10" s="204">
        <v>5.5399999999999998E-3</v>
      </c>
      <c r="CG10" s="81" t="s">
        <v>468</v>
      </c>
      <c r="CH10" s="204">
        <v>290</v>
      </c>
      <c r="CI10" s="204">
        <v>0.111</v>
      </c>
      <c r="CJ10" s="81">
        <v>2606.75</v>
      </c>
      <c r="CK10" s="81" t="s">
        <v>505</v>
      </c>
      <c r="CM10" s="81" t="s">
        <v>468</v>
      </c>
      <c r="CN10" s="204">
        <v>294</v>
      </c>
      <c r="CO10" s="204">
        <v>0.20300000000000001</v>
      </c>
      <c r="CP10" s="81">
        <v>1448.79</v>
      </c>
      <c r="CQ10" s="81" t="s">
        <v>509</v>
      </c>
      <c r="CR10" s="204">
        <v>2E-16</v>
      </c>
      <c r="CS10" s="81" t="s">
        <v>510</v>
      </c>
      <c r="CU10" s="212" t="s">
        <v>506</v>
      </c>
      <c r="CV10" s="81" t="s">
        <v>523</v>
      </c>
      <c r="CW10" s="204">
        <v>294</v>
      </c>
      <c r="CX10" s="204">
        <v>2.7399999999999999E-5</v>
      </c>
      <c r="CY10" s="81">
        <v>10703458</v>
      </c>
      <c r="CZ10" s="81" t="s">
        <v>505</v>
      </c>
      <c r="DA10" s="81" t="s">
        <v>510</v>
      </c>
      <c r="DE10" s="81" t="s">
        <v>389</v>
      </c>
      <c r="DF10" s="81" t="s">
        <v>390</v>
      </c>
      <c r="DG10" s="81" t="str">
        <f>CV17</f>
        <v>abs1D</v>
      </c>
      <c r="DH10" s="81" t="s">
        <v>434</v>
      </c>
      <c r="DI10" s="204">
        <f>CW17</f>
        <v>0.17</v>
      </c>
      <c r="DJ10" s="81" t="s">
        <v>392</v>
      </c>
      <c r="DK10" s="81" t="s">
        <v>398</v>
      </c>
      <c r="DL10" s="288">
        <f t="shared" si="0"/>
        <v>13048563.000000004</v>
      </c>
      <c r="DM10" s="288">
        <f t="shared" si="1"/>
        <v>33400000</v>
      </c>
      <c r="DN10" s="288">
        <f t="shared" si="2"/>
        <v>28700000</v>
      </c>
      <c r="DP10" s="290" t="s">
        <v>506</v>
      </c>
      <c r="DQ10" s="290" t="s">
        <v>468</v>
      </c>
      <c r="DR10" s="291">
        <v>290</v>
      </c>
      <c r="DS10" s="291">
        <v>8.9300000000000004E-2</v>
      </c>
      <c r="DT10" s="290">
        <v>3249.93</v>
      </c>
      <c r="DU10" s="290" t="s">
        <v>509</v>
      </c>
      <c r="DV10" s="291">
        <v>2E-16</v>
      </c>
      <c r="DW10" s="81" t="s">
        <v>510</v>
      </c>
      <c r="DX10" s="212" t="s">
        <v>568</v>
      </c>
      <c r="DY10" s="295" t="s">
        <v>574</v>
      </c>
      <c r="DZ10" s="292" t="s">
        <v>434</v>
      </c>
      <c r="EA10" s="293">
        <f t="shared" si="11"/>
        <v>1.49</v>
      </c>
      <c r="EB10" s="212" t="s">
        <v>392</v>
      </c>
    </row>
    <row r="11" spans="1:132" ht="15" customHeight="1" thickTop="1" thickBot="1" x14ac:dyDescent="0.3">
      <c r="A11" s="220"/>
      <c r="B11" s="221"/>
      <c r="C11" s="221"/>
      <c r="D11" s="226" t="s">
        <v>43</v>
      </c>
      <c r="E11" s="231" t="s">
        <v>56</v>
      </c>
      <c r="F11" s="227">
        <f t="shared" si="5"/>
        <v>0.10117302052785924</v>
      </c>
      <c r="G11" s="221"/>
      <c r="H11" s="232">
        <f>'Tabula data'!B23*(1-'Tabula 2zone Ref 2'!C45)</f>
        <v>3.45</v>
      </c>
      <c r="J11" s="81" t="s">
        <v>57</v>
      </c>
      <c r="K11" s="250">
        <v>0</v>
      </c>
      <c r="L11" s="251">
        <v>1</v>
      </c>
      <c r="M11" s="251" t="s">
        <v>54</v>
      </c>
      <c r="N11" s="252">
        <f>H7</f>
        <v>3.45</v>
      </c>
      <c r="O11" s="253" t="s">
        <v>39</v>
      </c>
      <c r="P11" s="30">
        <f t="shared" si="6"/>
        <v>1.1000000000000001</v>
      </c>
      <c r="Q11" s="30">
        <f t="shared" si="7"/>
        <v>3.7950000000000004</v>
      </c>
      <c r="R11" s="30">
        <f t="shared" si="8"/>
        <v>0</v>
      </c>
      <c r="S11" s="30">
        <f t="shared" si="9"/>
        <v>0</v>
      </c>
      <c r="T11" s="30">
        <f t="shared" si="10"/>
        <v>0</v>
      </c>
      <c r="U11" s="31"/>
      <c r="V11" s="3"/>
      <c r="W11" s="221"/>
      <c r="X11" s="221"/>
      <c r="Y11" s="270"/>
      <c r="Z11" s="270"/>
      <c r="AA11" s="270"/>
      <c r="AB11" s="221"/>
      <c r="AC11" s="268"/>
      <c r="AD11" s="221"/>
      <c r="AE11" s="14"/>
      <c r="AF11" s="14"/>
      <c r="AG11" s="14"/>
      <c r="AL11" s="154" t="s">
        <v>389</v>
      </c>
      <c r="AM11" s="81" t="s">
        <v>390</v>
      </c>
      <c r="AN11" s="81" t="s">
        <v>398</v>
      </c>
      <c r="AO11" s="204">
        <f>SUM(T27)</f>
        <v>13048563.000000004</v>
      </c>
      <c r="AP11" s="81" t="s">
        <v>392</v>
      </c>
      <c r="AQ11" s="204">
        <v>33400000</v>
      </c>
      <c r="AU11" s="205" t="s">
        <v>389</v>
      </c>
      <c r="AV11" s="205" t="s">
        <v>390</v>
      </c>
      <c r="AW11" s="205" t="s">
        <v>398</v>
      </c>
      <c r="AX11" s="207" t="s">
        <v>434</v>
      </c>
      <c r="AY11" s="206">
        <f t="shared" si="3"/>
        <v>28700000</v>
      </c>
      <c r="AZ11" s="205" t="s">
        <v>392</v>
      </c>
      <c r="BE11" s="81" t="s">
        <v>297</v>
      </c>
      <c r="BF11" s="81">
        <f>1/(1/AO48+1/AO49+1/AO50)</f>
        <v>129.92840646651271</v>
      </c>
      <c r="BI11" s="81" t="s">
        <v>445</v>
      </c>
      <c r="BJ11" s="204">
        <f>BF10</f>
        <v>13048563.000000004</v>
      </c>
      <c r="BP11" s="154" t="s">
        <v>389</v>
      </c>
      <c r="BQ11" s="81" t="s">
        <v>390</v>
      </c>
      <c r="BR11" s="81" t="s">
        <v>398</v>
      </c>
      <c r="BS11" s="204">
        <f t="shared" si="12"/>
        <v>33400000</v>
      </c>
      <c r="BT11" s="81" t="s">
        <v>392</v>
      </c>
      <c r="BU11" s="204">
        <v>33400000</v>
      </c>
      <c r="BY11" s="211">
        <f>CB17</f>
        <v>28700000</v>
      </c>
      <c r="BZ11" s="211"/>
      <c r="CA11" s="81" t="s">
        <v>473</v>
      </c>
      <c r="CB11" s="204">
        <v>0.17799999999999999</v>
      </c>
      <c r="CC11" s="204">
        <v>5.53E-4</v>
      </c>
      <c r="CG11" s="81" t="s">
        <v>469</v>
      </c>
      <c r="CH11" s="204">
        <v>292</v>
      </c>
      <c r="CI11" s="204">
        <v>6.6199999999999995E-2</v>
      </c>
      <c r="CJ11" s="81">
        <v>4411.26</v>
      </c>
      <c r="CK11" s="81" t="s">
        <v>505</v>
      </c>
      <c r="CM11" s="81" t="s">
        <v>470</v>
      </c>
      <c r="CN11" s="204">
        <v>0.44800000000000001</v>
      </c>
      <c r="CO11" s="204">
        <v>1.03E-2</v>
      </c>
      <c r="CP11" s="81">
        <v>43.34</v>
      </c>
      <c r="CQ11" s="81" t="s">
        <v>509</v>
      </c>
      <c r="CR11" s="204">
        <v>2E-16</v>
      </c>
      <c r="CS11" s="81" t="s">
        <v>510</v>
      </c>
      <c r="CU11" s="212" t="s">
        <v>506</v>
      </c>
      <c r="CV11" s="81" t="s">
        <v>524</v>
      </c>
      <c r="CW11" s="204">
        <v>296</v>
      </c>
      <c r="CX11" s="204">
        <v>2.55E-5</v>
      </c>
      <c r="CY11" s="81">
        <v>11580092</v>
      </c>
      <c r="CZ11" s="81" t="s">
        <v>505</v>
      </c>
      <c r="DA11" s="81" t="s">
        <v>510</v>
      </c>
      <c r="DE11" s="81" t="s">
        <v>389</v>
      </c>
      <c r="DF11" s="81" t="s">
        <v>390</v>
      </c>
      <c r="DG11" s="81" t="str">
        <f t="shared" ref="DG11:DG56" si="13">CV18</f>
        <v>abs1N</v>
      </c>
      <c r="DH11" s="81" t="s">
        <v>434</v>
      </c>
      <c r="DI11" s="204">
        <f t="shared" ref="DI11:DI56" si="14">CW18</f>
        <v>0.45</v>
      </c>
      <c r="DJ11" s="81" t="s">
        <v>392</v>
      </c>
      <c r="DK11" s="81" t="s">
        <v>399</v>
      </c>
      <c r="DL11" s="288">
        <f t="shared" si="0"/>
        <v>11473264</v>
      </c>
      <c r="DM11" s="288">
        <f t="shared" si="1"/>
        <v>14800000</v>
      </c>
      <c r="DN11" s="288">
        <f t="shared" si="2"/>
        <v>14600000</v>
      </c>
      <c r="DP11" s="290" t="s">
        <v>506</v>
      </c>
      <c r="DQ11" s="290" t="s">
        <v>469</v>
      </c>
      <c r="DR11" s="291">
        <v>292</v>
      </c>
      <c r="DS11" s="291">
        <v>5.7599999999999998E-2</v>
      </c>
      <c r="DT11" s="290">
        <v>5073.26</v>
      </c>
      <c r="DU11" s="290" t="s">
        <v>509</v>
      </c>
      <c r="DV11" s="291">
        <v>2E-16</v>
      </c>
      <c r="DW11" s="81" t="s">
        <v>510</v>
      </c>
      <c r="DX11" s="212" t="s">
        <v>568</v>
      </c>
      <c r="DY11" s="295" t="s">
        <v>575</v>
      </c>
      <c r="DZ11" s="292" t="s">
        <v>434</v>
      </c>
      <c r="EA11" s="293">
        <f t="shared" si="11"/>
        <v>2.33</v>
      </c>
      <c r="EB11" s="212" t="s">
        <v>392</v>
      </c>
    </row>
    <row r="12" spans="1:132" ht="15" customHeight="1" thickTop="1" thickBot="1" x14ac:dyDescent="0.3">
      <c r="A12" s="220"/>
      <c r="B12" s="221"/>
      <c r="C12" s="221"/>
      <c r="D12" s="226" t="s">
        <v>48</v>
      </c>
      <c r="E12" s="231" t="s">
        <v>56</v>
      </c>
      <c r="F12" s="227">
        <f t="shared" si="5"/>
        <v>0.13196480938416422</v>
      </c>
      <c r="G12" s="221"/>
      <c r="H12" s="232">
        <f>'Tabula data'!B24*(1-'Tabula 2zone Ref 2'!C45)</f>
        <v>4.5</v>
      </c>
      <c r="J12" s="81" t="s">
        <v>59</v>
      </c>
      <c r="K12" s="250">
        <v>0</v>
      </c>
      <c r="L12" s="251">
        <v>1</v>
      </c>
      <c r="M12" s="251" t="s">
        <v>54</v>
      </c>
      <c r="N12" s="252">
        <f>H8</f>
        <v>4.5</v>
      </c>
      <c r="O12" s="253" t="s">
        <v>45</v>
      </c>
      <c r="P12" s="30">
        <f t="shared" si="6"/>
        <v>1.1000000000000001</v>
      </c>
      <c r="Q12" s="30">
        <f t="shared" si="7"/>
        <v>4.95</v>
      </c>
      <c r="R12" s="30">
        <f t="shared" si="8"/>
        <v>0</v>
      </c>
      <c r="S12" s="30">
        <f t="shared" si="9"/>
        <v>0</v>
      </c>
      <c r="T12" s="30">
        <f t="shared" si="10"/>
        <v>0</v>
      </c>
      <c r="U12" s="31"/>
      <c r="V12" s="3"/>
      <c r="W12" s="258"/>
      <c r="X12" s="258"/>
      <c r="Y12" s="259" t="s">
        <v>4</v>
      </c>
      <c r="Z12" s="259">
        <v>0.6</v>
      </c>
      <c r="AA12" s="259" t="s">
        <v>5</v>
      </c>
      <c r="AB12" s="258"/>
      <c r="AC12" s="258"/>
      <c r="AD12" s="258"/>
      <c r="AE12" s="14"/>
      <c r="AF12" s="14"/>
      <c r="AG12" s="14"/>
      <c r="AL12" s="154" t="s">
        <v>389</v>
      </c>
      <c r="AM12" s="81" t="s">
        <v>390</v>
      </c>
      <c r="AN12" s="81" t="s">
        <v>399</v>
      </c>
      <c r="AO12" s="204">
        <f>SUM(T14)</f>
        <v>11473264</v>
      </c>
      <c r="AP12" s="81" t="s">
        <v>392</v>
      </c>
      <c r="AQ12" s="204">
        <v>14800000</v>
      </c>
      <c r="AU12" s="205" t="s">
        <v>389</v>
      </c>
      <c r="AV12" s="205" t="s">
        <v>390</v>
      </c>
      <c r="AW12" s="205" t="s">
        <v>399</v>
      </c>
      <c r="AX12" s="207" t="s">
        <v>434</v>
      </c>
      <c r="AY12" s="206">
        <f t="shared" si="3"/>
        <v>14600000</v>
      </c>
      <c r="AZ12" s="205" t="s">
        <v>392</v>
      </c>
      <c r="BE12" s="81" t="s">
        <v>298</v>
      </c>
      <c r="BF12" s="81">
        <f>AO44+AO45</f>
        <v>41572722.000000007</v>
      </c>
      <c r="BI12" s="81" t="s">
        <v>446</v>
      </c>
      <c r="BJ12" s="204">
        <f>BF26</f>
        <v>30005433.900000006</v>
      </c>
      <c r="BP12" s="154" t="s">
        <v>389</v>
      </c>
      <c r="BQ12" s="81" t="s">
        <v>390</v>
      </c>
      <c r="BR12" s="81" t="s">
        <v>399</v>
      </c>
      <c r="BS12" s="204">
        <f t="shared" si="12"/>
        <v>14800000</v>
      </c>
      <c r="BT12" s="81" t="s">
        <v>392</v>
      </c>
      <c r="BU12" s="204">
        <v>14800000</v>
      </c>
      <c r="BY12" s="211">
        <f>CB14</f>
        <v>14600000</v>
      </c>
      <c r="BZ12" s="211"/>
      <c r="CA12" s="81" t="s">
        <v>474</v>
      </c>
      <c r="CB12" s="204">
        <v>0.14199999999999999</v>
      </c>
      <c r="CC12" s="204">
        <v>6.4000000000000005E-4</v>
      </c>
      <c r="CG12" s="81" t="s">
        <v>470</v>
      </c>
      <c r="CH12" s="204">
        <v>0.19500000000000001</v>
      </c>
      <c r="CI12" s="204">
        <v>1.0499999999999999E-3</v>
      </c>
      <c r="CJ12" s="81">
        <v>184.38</v>
      </c>
      <c r="CK12" s="81" t="s">
        <v>505</v>
      </c>
      <c r="CM12" s="81" t="s">
        <v>471</v>
      </c>
      <c r="CN12" s="204">
        <v>0.15</v>
      </c>
      <c r="CO12" s="204">
        <v>2E-3</v>
      </c>
      <c r="CP12" s="81">
        <v>75.25</v>
      </c>
      <c r="CQ12" s="81" t="s">
        <v>509</v>
      </c>
      <c r="CR12" s="204">
        <v>2E-16</v>
      </c>
      <c r="CS12" s="81" t="s">
        <v>510</v>
      </c>
      <c r="CU12" s="212" t="s">
        <v>506</v>
      </c>
      <c r="CV12" s="81" t="s">
        <v>513</v>
      </c>
      <c r="CW12" s="204">
        <v>295</v>
      </c>
      <c r="CX12" s="204">
        <v>2.5500000000000002E-4</v>
      </c>
      <c r="CY12" s="81">
        <v>1156688</v>
      </c>
      <c r="CZ12" s="81" t="s">
        <v>505</v>
      </c>
      <c r="DA12" s="81" t="s">
        <v>510</v>
      </c>
      <c r="DE12" s="81" t="s">
        <v>389</v>
      </c>
      <c r="DF12" s="81" t="s">
        <v>390</v>
      </c>
      <c r="DG12" s="81" t="str">
        <f t="shared" si="13"/>
        <v>abs2D</v>
      </c>
      <c r="DH12" s="81" t="s">
        <v>434</v>
      </c>
      <c r="DI12" s="204">
        <f t="shared" si="14"/>
        <v>0.42</v>
      </c>
      <c r="DJ12" s="81" t="s">
        <v>392</v>
      </c>
      <c r="DL12" s="287">
        <f t="shared" si="0"/>
        <v>0</v>
      </c>
      <c r="DM12" s="287">
        <f t="shared" si="1"/>
        <v>0</v>
      </c>
      <c r="DN12" s="287">
        <f t="shared" si="2"/>
        <v>0</v>
      </c>
      <c r="DP12" s="290" t="s">
        <v>506</v>
      </c>
      <c r="DQ12" s="290" t="s">
        <v>541</v>
      </c>
      <c r="DR12" s="291">
        <v>1.1000000000000001</v>
      </c>
      <c r="DS12" s="291">
        <v>2.7099999999999999E-2</v>
      </c>
      <c r="DT12" s="290">
        <v>40.450000000000003</v>
      </c>
      <c r="DU12" s="290" t="s">
        <v>509</v>
      </c>
      <c r="DV12" s="291">
        <v>2E-16</v>
      </c>
      <c r="DW12" s="81" t="s">
        <v>510</v>
      </c>
      <c r="DX12" s="212" t="s">
        <v>568</v>
      </c>
      <c r="DY12" s="294" t="s">
        <v>576</v>
      </c>
      <c r="DZ12" s="292" t="s">
        <v>434</v>
      </c>
      <c r="EA12" s="293">
        <f t="shared" si="11"/>
        <v>2.0099999999999998</v>
      </c>
      <c r="EB12" s="212" t="s">
        <v>392</v>
      </c>
    </row>
    <row r="13" spans="1:132" ht="15" customHeight="1" thickTop="1" thickBot="1" x14ac:dyDescent="0.3">
      <c r="A13" s="220"/>
      <c r="B13" s="221"/>
      <c r="C13" s="221"/>
      <c r="D13" s="226" t="s">
        <v>52</v>
      </c>
      <c r="E13" s="231" t="s">
        <v>56</v>
      </c>
      <c r="F13" s="227">
        <f t="shared" si="5"/>
        <v>0.14809384164222872</v>
      </c>
      <c r="G13" s="221"/>
      <c r="H13" s="232">
        <f>'Tabula data'!B25*(1-'Tabula 2zone Ref 2'!C45)</f>
        <v>5.05</v>
      </c>
      <c r="J13" s="81" t="s">
        <v>60</v>
      </c>
      <c r="K13" s="250">
        <v>0</v>
      </c>
      <c r="L13" s="251">
        <v>1</v>
      </c>
      <c r="M13" s="251" t="s">
        <v>54</v>
      </c>
      <c r="N13" s="252">
        <f>H9</f>
        <v>5.05</v>
      </c>
      <c r="O13" s="253" t="s">
        <v>50</v>
      </c>
      <c r="P13" s="30">
        <f t="shared" si="6"/>
        <v>1.1000000000000001</v>
      </c>
      <c r="Q13" s="30">
        <f t="shared" si="7"/>
        <v>5.5550000000000006</v>
      </c>
      <c r="R13" s="30">
        <f t="shared" si="8"/>
        <v>0</v>
      </c>
      <c r="S13" s="30">
        <f t="shared" si="9"/>
        <v>0</v>
      </c>
      <c r="T13" s="30">
        <f t="shared" si="10"/>
        <v>0</v>
      </c>
      <c r="U13" s="31"/>
      <c r="V13" s="3"/>
      <c r="W13" s="260" t="s">
        <v>64</v>
      </c>
      <c r="X13" s="261"/>
      <c r="Y13" s="262" t="s">
        <v>21</v>
      </c>
      <c r="Z13" s="263">
        <f>1/(1/8+SUM(AC15:AC21)+1/23)</f>
        <v>0.22509582884017654</v>
      </c>
      <c r="AA13" s="261" t="s">
        <v>5</v>
      </c>
      <c r="AB13" s="261"/>
      <c r="AC13" s="261" t="s">
        <v>22</v>
      </c>
      <c r="AD13" s="264">
        <f>SUM(AD17:AD22)</f>
        <v>254064.3</v>
      </c>
      <c r="AE13" s="14" t="s">
        <v>23</v>
      </c>
      <c r="AF13" s="14">
        <f>SUM(AD20:AD21)</f>
        <v>133980</v>
      </c>
      <c r="AG13" s="14"/>
      <c r="AO13" s="204"/>
      <c r="AP13" s="81" t="s">
        <v>392</v>
      </c>
      <c r="AQ13" s="204"/>
      <c r="AU13" s="205"/>
      <c r="AV13" s="205"/>
      <c r="AW13" s="205"/>
      <c r="AX13" s="207"/>
      <c r="AZ13" s="205"/>
      <c r="BS13" s="204"/>
      <c r="BT13" s="81" t="s">
        <v>392</v>
      </c>
      <c r="BU13" s="204"/>
      <c r="CA13" s="81" t="s">
        <v>298</v>
      </c>
      <c r="CB13" s="204">
        <v>995000000</v>
      </c>
      <c r="CC13" s="204">
        <v>22500000</v>
      </c>
      <c r="CG13" s="81" t="s">
        <v>471</v>
      </c>
      <c r="CH13" s="204">
        <v>0.38800000000000001</v>
      </c>
      <c r="CI13" s="204">
        <v>1.15E-3</v>
      </c>
      <c r="CJ13" s="81">
        <v>338.41</v>
      </c>
      <c r="CK13" s="81" t="s">
        <v>505</v>
      </c>
      <c r="CM13" s="81" t="s">
        <v>472</v>
      </c>
      <c r="CN13" s="204">
        <v>4.4699999999999997E-2</v>
      </c>
      <c r="CO13" s="204">
        <v>0.02</v>
      </c>
      <c r="CP13" s="81">
        <v>2.23</v>
      </c>
      <c r="CQ13" s="81">
        <v>2.5999999999999999E-2</v>
      </c>
      <c r="CR13" s="81" t="s">
        <v>511</v>
      </c>
      <c r="CU13" s="212" t="s">
        <v>506</v>
      </c>
      <c r="CV13" s="81" t="s">
        <v>514</v>
      </c>
      <c r="CW13" s="204">
        <v>294</v>
      </c>
      <c r="CX13" s="204">
        <v>2.5700000000000001E-4</v>
      </c>
      <c r="CY13" s="81">
        <v>1144487</v>
      </c>
      <c r="CZ13" s="81" t="s">
        <v>505</v>
      </c>
      <c r="DA13" s="81" t="s">
        <v>510</v>
      </c>
      <c r="DE13" s="81" t="s">
        <v>389</v>
      </c>
      <c r="DF13" s="81" t="s">
        <v>390</v>
      </c>
      <c r="DG13" s="81" t="str">
        <f t="shared" si="13"/>
        <v>abs2N</v>
      </c>
      <c r="DH13" s="81" t="s">
        <v>434</v>
      </c>
      <c r="DI13" s="204">
        <f t="shared" si="14"/>
        <v>0.15</v>
      </c>
      <c r="DJ13" s="81" t="s">
        <v>392</v>
      </c>
      <c r="DK13" s="81" t="s">
        <v>400</v>
      </c>
      <c r="DL13" s="286">
        <f t="shared" si="0"/>
        <v>5.7992087497075628E-2</v>
      </c>
      <c r="DM13" s="286">
        <f t="shared" si="1"/>
        <v>0.112</v>
      </c>
      <c r="DN13" s="286">
        <f t="shared" si="2"/>
        <v>6.9400000000000003E-2</v>
      </c>
      <c r="DP13" s="290" t="s">
        <v>506</v>
      </c>
      <c r="DQ13" s="290" t="s">
        <v>410</v>
      </c>
      <c r="DR13" s="291">
        <v>0.81100000000000005</v>
      </c>
      <c r="DS13" s="291">
        <v>0.109</v>
      </c>
      <c r="DT13" s="290">
        <v>7.44</v>
      </c>
      <c r="DU13" s="291">
        <v>1.1999999999999999E-13</v>
      </c>
      <c r="DV13" s="290" t="s">
        <v>510</v>
      </c>
      <c r="DX13" s="212" t="s">
        <v>568</v>
      </c>
      <c r="DY13" s="296" t="s">
        <v>577</v>
      </c>
      <c r="DZ13" s="292" t="s">
        <v>434</v>
      </c>
      <c r="EA13" s="293">
        <f t="shared" si="11"/>
        <v>0.85799999999999998</v>
      </c>
      <c r="EB13" s="212" t="s">
        <v>392</v>
      </c>
    </row>
    <row r="14" spans="1:132" ht="15" customHeight="1" thickTop="1" thickBot="1" x14ac:dyDescent="0.3">
      <c r="A14" s="220"/>
      <c r="B14" s="221"/>
      <c r="C14" s="221"/>
      <c r="D14" s="233" t="s">
        <v>65</v>
      </c>
      <c r="E14" s="234"/>
      <c r="F14" s="234"/>
      <c r="G14" s="234"/>
      <c r="H14" s="235"/>
      <c r="J14" s="81" t="s">
        <v>61</v>
      </c>
      <c r="K14" s="250" t="s">
        <v>62</v>
      </c>
      <c r="L14" s="251">
        <v>1</v>
      </c>
      <c r="M14" s="251" t="s">
        <v>63</v>
      </c>
      <c r="N14" s="252">
        <f>B7</f>
        <v>103.4</v>
      </c>
      <c r="O14" s="253"/>
      <c r="P14" s="30">
        <f t="shared" si="6"/>
        <v>0.22994798795510538</v>
      </c>
      <c r="Q14" s="30">
        <f t="shared" si="7"/>
        <v>23.776621954557896</v>
      </c>
      <c r="R14" s="30">
        <f t="shared" si="8"/>
        <v>48328219.060000002</v>
      </c>
      <c r="S14" s="30">
        <f t="shared" si="9"/>
        <v>467390.9</v>
      </c>
      <c r="T14" s="30">
        <f t="shared" si="10"/>
        <v>11473264</v>
      </c>
      <c r="U14" s="31"/>
      <c r="V14" s="3"/>
      <c r="W14" s="265"/>
      <c r="X14" s="266" t="s">
        <v>27</v>
      </c>
      <c r="Y14" s="266" t="s">
        <v>28</v>
      </c>
      <c r="Z14" s="266" t="s">
        <v>29</v>
      </c>
      <c r="AA14" s="266" t="s">
        <v>30</v>
      </c>
      <c r="AB14" s="266" t="s">
        <v>31</v>
      </c>
      <c r="AC14" s="266" t="s">
        <v>32</v>
      </c>
      <c r="AD14" s="267" t="s">
        <v>33</v>
      </c>
      <c r="AE14" s="14"/>
      <c r="AF14" s="14"/>
      <c r="AG14" s="14"/>
      <c r="AL14" s="154" t="s">
        <v>389</v>
      </c>
      <c r="AM14" s="81" t="s">
        <v>390</v>
      </c>
      <c r="AN14" s="81" t="s">
        <v>400</v>
      </c>
      <c r="AO14" s="81">
        <f>AO4*0.3</f>
        <v>5.7992087497075628E-2</v>
      </c>
      <c r="AP14" s="81" t="s">
        <v>392</v>
      </c>
      <c r="AQ14" s="204">
        <v>0.112</v>
      </c>
      <c r="AU14" s="205" t="s">
        <v>389</v>
      </c>
      <c r="AV14" s="205" t="s">
        <v>390</v>
      </c>
      <c r="AW14" s="205" t="s">
        <v>400</v>
      </c>
      <c r="AX14" s="207" t="s">
        <v>434</v>
      </c>
      <c r="AY14" s="206">
        <f t="shared" si="3"/>
        <v>6.9400000000000003E-2</v>
      </c>
      <c r="AZ14" s="205" t="s">
        <v>392</v>
      </c>
      <c r="BE14" s="81" t="s">
        <v>286</v>
      </c>
      <c r="BF14" s="81">
        <f>1/(1/AO20+1/AO24)</f>
        <v>23.417632785117281</v>
      </c>
      <c r="BI14" s="81" t="s">
        <v>447</v>
      </c>
      <c r="BJ14" s="81">
        <f>BF9</f>
        <v>459.10169958658707</v>
      </c>
      <c r="BP14" s="154" t="s">
        <v>389</v>
      </c>
      <c r="BQ14" s="81" t="s">
        <v>390</v>
      </c>
      <c r="BR14" s="81" t="s">
        <v>400</v>
      </c>
      <c r="BS14" s="204">
        <f>AQ14</f>
        <v>0.112</v>
      </c>
      <c r="BT14" s="81" t="s">
        <v>392</v>
      </c>
      <c r="BU14" s="204">
        <v>0.112</v>
      </c>
      <c r="BY14" s="211">
        <f>CB23</f>
        <v>6.9400000000000003E-2</v>
      </c>
      <c r="BZ14" s="211"/>
      <c r="CA14" s="81" t="s">
        <v>294</v>
      </c>
      <c r="CB14" s="204">
        <v>14600000</v>
      </c>
      <c r="CC14" s="204">
        <v>300000</v>
      </c>
      <c r="CG14" s="81" t="s">
        <v>472</v>
      </c>
      <c r="CH14" s="204">
        <v>6.13E-2</v>
      </c>
      <c r="CI14" s="204">
        <v>5.5399999999999998E-3</v>
      </c>
      <c r="CJ14" s="81">
        <v>11.07</v>
      </c>
      <c r="CK14" s="81" t="s">
        <v>505</v>
      </c>
      <c r="CM14" s="81" t="s">
        <v>473</v>
      </c>
      <c r="CN14" s="204">
        <v>0.34599999999999997</v>
      </c>
      <c r="CO14" s="204">
        <v>6.0699999999999999E-3</v>
      </c>
      <c r="CP14" s="81">
        <v>57.03</v>
      </c>
      <c r="CQ14" s="81" t="s">
        <v>509</v>
      </c>
      <c r="CR14" s="204">
        <v>2E-16</v>
      </c>
      <c r="CS14" s="81" t="s">
        <v>510</v>
      </c>
      <c r="CU14" s="212" t="s">
        <v>506</v>
      </c>
      <c r="CV14" s="81" t="s">
        <v>525</v>
      </c>
      <c r="CW14" s="204">
        <v>293</v>
      </c>
      <c r="CX14" s="204">
        <v>1.5299999999999999E-5</v>
      </c>
      <c r="CY14" s="81">
        <v>19154623</v>
      </c>
      <c r="CZ14" s="81" t="s">
        <v>505</v>
      </c>
      <c r="DA14" s="81" t="s">
        <v>510</v>
      </c>
      <c r="DE14" s="81" t="s">
        <v>389</v>
      </c>
      <c r="DF14" s="81" t="s">
        <v>390</v>
      </c>
      <c r="DG14" s="81" t="str">
        <f t="shared" si="13"/>
        <v>abs3D</v>
      </c>
      <c r="DH14" s="81" t="s">
        <v>434</v>
      </c>
      <c r="DI14" s="204">
        <f t="shared" si="14"/>
        <v>0.14000000000000001</v>
      </c>
      <c r="DJ14" s="81" t="s">
        <v>392</v>
      </c>
      <c r="DK14" s="81" t="s">
        <v>401</v>
      </c>
      <c r="DL14" s="286">
        <f t="shared" si="0"/>
        <v>5.7992087497075628E-2</v>
      </c>
      <c r="DM14" s="286">
        <f t="shared" si="1"/>
        <v>0.216</v>
      </c>
      <c r="DN14" s="286">
        <f t="shared" si="2"/>
        <v>0.14099999999999999</v>
      </c>
      <c r="DP14" s="290" t="s">
        <v>506</v>
      </c>
      <c r="DQ14" s="290" t="s">
        <v>542</v>
      </c>
      <c r="DR14" s="291">
        <v>1.17</v>
      </c>
      <c r="DS14" s="291">
        <v>1.52E-2</v>
      </c>
      <c r="DT14" s="290">
        <v>76.77</v>
      </c>
      <c r="DU14" s="290" t="s">
        <v>509</v>
      </c>
      <c r="DV14" s="291">
        <v>2E-16</v>
      </c>
      <c r="DW14" s="81" t="s">
        <v>510</v>
      </c>
      <c r="DX14" s="212" t="s">
        <v>568</v>
      </c>
      <c r="DY14" s="296" t="s">
        <v>578</v>
      </c>
      <c r="DZ14" s="292" t="s">
        <v>434</v>
      </c>
      <c r="EA14" s="293">
        <f t="shared" si="11"/>
        <v>8.8800000000000001E-7</v>
      </c>
      <c r="EB14" s="212" t="s">
        <v>392</v>
      </c>
    </row>
    <row r="15" spans="1:132" ht="15" customHeight="1" thickTop="1" thickBot="1" x14ac:dyDescent="0.3">
      <c r="A15" s="220"/>
      <c r="B15" s="221"/>
      <c r="C15" s="221"/>
      <c r="D15" s="236"/>
      <c r="E15" s="221"/>
      <c r="F15" s="221"/>
      <c r="G15" s="221"/>
      <c r="H15" s="222"/>
      <c r="J15" s="81" t="s">
        <v>66</v>
      </c>
      <c r="K15" s="250">
        <v>0</v>
      </c>
      <c r="L15" s="251">
        <v>1</v>
      </c>
      <c r="M15" s="251" t="s">
        <v>20</v>
      </c>
      <c r="N15" s="254">
        <v>0</v>
      </c>
      <c r="O15" s="253"/>
      <c r="P15" s="30">
        <f t="shared" si="6"/>
        <v>0.16141672417624836</v>
      </c>
      <c r="Q15" s="30">
        <f t="shared" si="7"/>
        <v>0</v>
      </c>
      <c r="R15" s="30">
        <f>VLOOKUP(M15,$W$5:$AD$393,8,0)*N25</f>
        <v>8330196</v>
      </c>
      <c r="S15" s="30">
        <f>R15/N25</f>
        <v>76776</v>
      </c>
      <c r="T15" s="30">
        <f>VLOOKUP(M15,$W$5:$AF$393,10,0)*N25</f>
        <v>4456746</v>
      </c>
      <c r="U15" s="31"/>
      <c r="V15" s="3"/>
      <c r="W15" s="220"/>
      <c r="X15" s="300" t="s">
        <v>609</v>
      </c>
      <c r="Y15" s="300">
        <v>0.02</v>
      </c>
      <c r="Z15" s="300">
        <v>0.6</v>
      </c>
      <c r="AA15" s="300"/>
      <c r="AB15" s="300"/>
      <c r="AC15" s="268">
        <f t="shared" ref="AC15:AC16" si="15">Y15/Z15</f>
        <v>3.3333333333333333E-2</v>
      </c>
      <c r="AD15" s="301"/>
      <c r="AE15" s="14"/>
      <c r="AF15" s="14"/>
      <c r="AG15" s="14"/>
      <c r="AL15" s="154" t="s">
        <v>389</v>
      </c>
      <c r="AM15" s="81" t="s">
        <v>390</v>
      </c>
      <c r="AN15" s="81" t="s">
        <v>401</v>
      </c>
      <c r="AO15" s="81">
        <f>AO5*0.3</f>
        <v>5.7992087497075628E-2</v>
      </c>
      <c r="AP15" s="81" t="s">
        <v>392</v>
      </c>
      <c r="AQ15" s="204">
        <v>0.216</v>
      </c>
      <c r="AU15" s="205" t="s">
        <v>389</v>
      </c>
      <c r="AV15" s="205" t="s">
        <v>390</v>
      </c>
      <c r="AW15" s="205" t="s">
        <v>401</v>
      </c>
      <c r="AX15" s="207" t="s">
        <v>434</v>
      </c>
      <c r="AY15" s="206">
        <f t="shared" si="3"/>
        <v>0.14099999999999999</v>
      </c>
      <c r="AZ15" s="205" t="s">
        <v>392</v>
      </c>
      <c r="BE15" s="81" t="s">
        <v>294</v>
      </c>
      <c r="BF15" s="204">
        <f>AO12</f>
        <v>11473264</v>
      </c>
      <c r="BI15" s="81" t="s">
        <v>448</v>
      </c>
      <c r="BJ15" s="81">
        <f>AO38</f>
        <v>535.47064768029406</v>
      </c>
      <c r="BP15" s="154" t="s">
        <v>389</v>
      </c>
      <c r="BQ15" s="81" t="s">
        <v>390</v>
      </c>
      <c r="BR15" s="81" t="s">
        <v>401</v>
      </c>
      <c r="BS15" s="204">
        <f t="shared" ref="BS15:BS17" si="16">AQ15</f>
        <v>0.216</v>
      </c>
      <c r="BT15" s="81" t="s">
        <v>392</v>
      </c>
      <c r="BU15" s="204">
        <v>0.216</v>
      </c>
      <c r="BY15" s="211">
        <f>CB24</f>
        <v>0.14099999999999999</v>
      </c>
      <c r="BZ15" s="211"/>
      <c r="CA15" s="81" t="s">
        <v>475</v>
      </c>
      <c r="CB15" s="204">
        <v>3460000</v>
      </c>
      <c r="CC15" s="204">
        <v>48400</v>
      </c>
      <c r="CG15" s="81" t="s">
        <v>473</v>
      </c>
      <c r="CH15" s="204">
        <v>0.17799999999999999</v>
      </c>
      <c r="CI15" s="204">
        <v>5.53E-4</v>
      </c>
      <c r="CJ15" s="81">
        <v>322.19</v>
      </c>
      <c r="CK15" s="81" t="s">
        <v>505</v>
      </c>
      <c r="CM15" s="81" t="s">
        <v>298</v>
      </c>
      <c r="CN15" s="204">
        <v>992000000</v>
      </c>
      <c r="CO15" s="204">
        <v>51400000</v>
      </c>
      <c r="CP15" s="81">
        <v>19.29</v>
      </c>
      <c r="CQ15" s="81" t="s">
        <v>509</v>
      </c>
      <c r="CR15" s="204">
        <v>2E-16</v>
      </c>
      <c r="CS15" s="81" t="s">
        <v>510</v>
      </c>
      <c r="CU15" s="212" t="s">
        <v>506</v>
      </c>
      <c r="CV15" s="81" t="s">
        <v>526</v>
      </c>
      <c r="CW15" s="204">
        <v>293</v>
      </c>
      <c r="CX15" s="204">
        <v>5.8999999999999998E-5</v>
      </c>
      <c r="CY15" s="81">
        <v>4966969</v>
      </c>
      <c r="CZ15" s="81" t="s">
        <v>505</v>
      </c>
      <c r="DA15" s="81" t="s">
        <v>510</v>
      </c>
      <c r="DE15" s="81" t="s">
        <v>389</v>
      </c>
      <c r="DF15" s="81" t="s">
        <v>390</v>
      </c>
      <c r="DG15" s="81" t="str">
        <f t="shared" si="13"/>
        <v>abs3N</v>
      </c>
      <c r="DH15" s="81" t="s">
        <v>434</v>
      </c>
      <c r="DI15" s="204">
        <f t="shared" si="14"/>
        <v>0.11</v>
      </c>
      <c r="DJ15" s="81" t="s">
        <v>392</v>
      </c>
      <c r="DK15" s="81" t="s">
        <v>402</v>
      </c>
      <c r="DL15" s="286">
        <f t="shared" si="0"/>
        <v>0.71495813976805578</v>
      </c>
      <c r="DM15" s="286">
        <f t="shared" si="1"/>
        <v>0.49</v>
      </c>
      <c r="DN15" s="286">
        <f t="shared" si="2"/>
        <v>0.76</v>
      </c>
      <c r="DP15" s="290" t="s">
        <v>506</v>
      </c>
      <c r="DQ15" s="290" t="s">
        <v>543</v>
      </c>
      <c r="DR15" s="291">
        <v>0.99</v>
      </c>
      <c r="DS15" s="291">
        <v>2.8199999999999999E-2</v>
      </c>
      <c r="DT15" s="290">
        <v>35.17</v>
      </c>
      <c r="DU15" s="290" t="s">
        <v>509</v>
      </c>
      <c r="DV15" s="291">
        <v>2E-16</v>
      </c>
      <c r="DW15" s="81" t="s">
        <v>510</v>
      </c>
      <c r="DX15" s="212" t="s">
        <v>568</v>
      </c>
      <c r="DY15" s="296" t="s">
        <v>579</v>
      </c>
      <c r="DZ15" s="292" t="s">
        <v>434</v>
      </c>
      <c r="EA15" s="293">
        <f t="shared" si="11"/>
        <v>0.32600000000000001</v>
      </c>
      <c r="EB15" s="212" t="s">
        <v>392</v>
      </c>
    </row>
    <row r="16" spans="1:132" ht="15" customHeight="1" thickTop="1" thickBot="1" x14ac:dyDescent="0.3">
      <c r="A16" s="237"/>
      <c r="B16" s="219"/>
      <c r="C16" s="219"/>
      <c r="D16" s="226" t="s">
        <v>69</v>
      </c>
      <c r="E16" s="221"/>
      <c r="F16" s="238">
        <f>B4/B26</f>
        <v>1.5021951219512195</v>
      </c>
      <c r="G16" s="231" t="s">
        <v>70</v>
      </c>
      <c r="H16" s="222"/>
      <c r="J16" s="81" t="s">
        <v>67</v>
      </c>
      <c r="K16" s="250">
        <v>0</v>
      </c>
      <c r="L16" s="251">
        <v>1</v>
      </c>
      <c r="M16" s="251" t="s">
        <v>68</v>
      </c>
      <c r="N16" s="252">
        <f>'[1]Tabula data'!B21</f>
        <v>9.5</v>
      </c>
      <c r="O16" s="253"/>
      <c r="P16" s="30">
        <f t="shared" si="6"/>
        <v>3.5</v>
      </c>
      <c r="Q16" s="30">
        <f t="shared" si="7"/>
        <v>33.25</v>
      </c>
      <c r="R16" s="30">
        <f t="shared" ref="R16:R28" si="17">VLOOKUP(M16,$W$5:$AD$393,8,0)*N16</f>
        <v>346940</v>
      </c>
      <c r="S16" s="30">
        <f t="shared" ref="S16:S28" si="18">R16/N16</f>
        <v>36520</v>
      </c>
      <c r="T16" s="30">
        <f t="shared" ref="T16:T28" si="19">VLOOKUP(M16,$W$5:$AF$393,10,0)*N16</f>
        <v>1719690.0000000002</v>
      </c>
      <c r="U16" s="31"/>
      <c r="V16" s="3"/>
      <c r="W16" s="220"/>
      <c r="X16" s="300" t="s">
        <v>269</v>
      </c>
      <c r="Y16" s="300">
        <v>0.05</v>
      </c>
      <c r="Z16" s="300">
        <v>2.4E-2</v>
      </c>
      <c r="AA16" s="300"/>
      <c r="AB16" s="300"/>
      <c r="AC16" s="268">
        <f t="shared" si="15"/>
        <v>2.0833333333333335</v>
      </c>
      <c r="AD16" s="301"/>
      <c r="AE16" s="14"/>
      <c r="AF16" s="14"/>
      <c r="AG16" s="14"/>
      <c r="AL16" s="154" t="s">
        <v>389</v>
      </c>
      <c r="AM16" s="81" t="s">
        <v>390</v>
      </c>
      <c r="AN16" s="81" t="s">
        <v>402</v>
      </c>
      <c r="AO16" s="81">
        <f>AO6*0.3+0.7</f>
        <v>0.71495813976805578</v>
      </c>
      <c r="AP16" s="81" t="s">
        <v>392</v>
      </c>
      <c r="AQ16" s="204">
        <v>0.49</v>
      </c>
      <c r="AU16" s="205" t="s">
        <v>389</v>
      </c>
      <c r="AV16" s="205" t="s">
        <v>390</v>
      </c>
      <c r="AW16" s="205" t="s">
        <v>402</v>
      </c>
      <c r="AX16" s="207" t="s">
        <v>434</v>
      </c>
      <c r="AY16" s="206">
        <f t="shared" si="3"/>
        <v>0.76</v>
      </c>
      <c r="AZ16" s="205" t="s">
        <v>392</v>
      </c>
      <c r="BP16" s="154" t="s">
        <v>389</v>
      </c>
      <c r="BQ16" s="81" t="s">
        <v>390</v>
      </c>
      <c r="BR16" s="81" t="s">
        <v>402</v>
      </c>
      <c r="BS16" s="204">
        <f t="shared" si="16"/>
        <v>0.49</v>
      </c>
      <c r="BT16" s="81" t="s">
        <v>392</v>
      </c>
      <c r="BU16" s="204">
        <v>0.49</v>
      </c>
      <c r="BY16" s="211">
        <f>CB25</f>
        <v>0.76</v>
      </c>
      <c r="BZ16" s="211"/>
      <c r="CA16" s="81" t="s">
        <v>291</v>
      </c>
      <c r="CB16" s="204">
        <v>23000000</v>
      </c>
      <c r="CC16" s="204">
        <v>709000</v>
      </c>
      <c r="CG16" s="81" t="s">
        <v>474</v>
      </c>
      <c r="CH16" s="204">
        <v>0.14199999999999999</v>
      </c>
      <c r="CI16" s="204">
        <v>6.4000000000000005E-4</v>
      </c>
      <c r="CJ16" s="81">
        <v>221.71</v>
      </c>
      <c r="CK16" s="81" t="s">
        <v>505</v>
      </c>
      <c r="CM16" s="81" t="s">
        <v>475</v>
      </c>
      <c r="CN16" s="204">
        <v>1130000</v>
      </c>
      <c r="CO16" s="204">
        <v>29900</v>
      </c>
      <c r="CP16" s="81">
        <v>37.909999999999997</v>
      </c>
      <c r="CQ16" s="81" t="s">
        <v>509</v>
      </c>
      <c r="CR16" s="204">
        <v>2E-16</v>
      </c>
      <c r="CS16" s="81" t="s">
        <v>510</v>
      </c>
      <c r="CU16" s="212" t="s">
        <v>506</v>
      </c>
      <c r="CV16" s="81" t="s">
        <v>527</v>
      </c>
      <c r="CW16" s="204">
        <v>294</v>
      </c>
      <c r="CX16" s="204">
        <v>5.7000000000000003E-5</v>
      </c>
      <c r="CY16" s="81">
        <v>5160670</v>
      </c>
      <c r="CZ16" s="81" t="s">
        <v>505</v>
      </c>
      <c r="DA16" s="81" t="s">
        <v>510</v>
      </c>
      <c r="DI16" s="204"/>
      <c r="DK16" s="81" t="s">
        <v>403</v>
      </c>
      <c r="DL16" s="286">
        <f t="shared" si="0"/>
        <v>9.0713879883693713E-2</v>
      </c>
      <c r="DM16" s="286">
        <f t="shared" si="1"/>
        <v>9.01E-2</v>
      </c>
      <c r="DN16" s="286">
        <f t="shared" si="2"/>
        <v>6.4100000000000004E-2</v>
      </c>
      <c r="DP16" s="290" t="s">
        <v>506</v>
      </c>
      <c r="DQ16" s="290" t="s">
        <v>544</v>
      </c>
      <c r="DR16" s="291">
        <v>2.17</v>
      </c>
      <c r="DS16" s="291">
        <v>2.8899999999999999E-2</v>
      </c>
      <c r="DT16" s="290">
        <v>74.87</v>
      </c>
      <c r="DU16" s="290" t="s">
        <v>509</v>
      </c>
      <c r="DV16" s="291">
        <v>2E-16</v>
      </c>
      <c r="DW16" s="81" t="s">
        <v>510</v>
      </c>
      <c r="DX16" s="212" t="s">
        <v>568</v>
      </c>
      <c r="DY16" s="296" t="s">
        <v>580</v>
      </c>
      <c r="DZ16" s="292" t="s">
        <v>434</v>
      </c>
      <c r="EA16" s="293">
        <f t="shared" si="11"/>
        <v>0.28599999999999998</v>
      </c>
      <c r="EB16" s="212" t="s">
        <v>392</v>
      </c>
    </row>
    <row r="17" spans="1:132" ht="15" customHeight="1" thickTop="1" thickBot="1" x14ac:dyDescent="0.3">
      <c r="A17" s="223" t="s">
        <v>73</v>
      </c>
      <c r="B17" s="224">
        <v>0</v>
      </c>
      <c r="C17" s="234" t="s">
        <v>9</v>
      </c>
      <c r="D17" s="226" t="s">
        <v>74</v>
      </c>
      <c r="E17" s="221"/>
      <c r="F17" s="238">
        <f>B26/B23</f>
        <v>1.8303571428571428</v>
      </c>
      <c r="G17" s="231"/>
      <c r="H17" s="222"/>
      <c r="J17" s="81" t="s">
        <v>71</v>
      </c>
      <c r="K17" s="250">
        <v>0</v>
      </c>
      <c r="L17" s="251">
        <v>2</v>
      </c>
      <c r="M17" s="251" t="s">
        <v>25</v>
      </c>
      <c r="N17" s="252">
        <f>'[1]Tabula data'!B19*(1-C43)</f>
        <v>20.516529727733833</v>
      </c>
      <c r="O17" s="253" t="s">
        <v>26</v>
      </c>
      <c r="P17" s="30">
        <f t="shared" si="6"/>
        <v>0.22509582884017654</v>
      </c>
      <c r="Q17" s="30">
        <f t="shared" si="7"/>
        <v>4.6181852639883685</v>
      </c>
      <c r="R17" s="30">
        <f t="shared" si="17"/>
        <v>5212517.7637058869</v>
      </c>
      <c r="S17" s="30">
        <f t="shared" si="18"/>
        <v>254064.30000000002</v>
      </c>
      <c r="T17" s="30">
        <f t="shared" si="19"/>
        <v>2748804.6529217791</v>
      </c>
      <c r="U17" s="31"/>
      <c r="V17" s="3"/>
      <c r="W17" s="220"/>
      <c r="X17" s="221" t="s">
        <v>268</v>
      </c>
      <c r="Y17" s="221">
        <v>0.1</v>
      </c>
      <c r="Z17" s="221">
        <v>0.75</v>
      </c>
      <c r="AA17" s="221">
        <v>1400</v>
      </c>
      <c r="AB17" s="231">
        <v>840</v>
      </c>
      <c r="AC17" s="268">
        <f>Y17/Z17</f>
        <v>0.13333333333333333</v>
      </c>
      <c r="AD17" s="222">
        <f>AA17*AB17*Y17</f>
        <v>117600</v>
      </c>
      <c r="AE17" s="14"/>
      <c r="AF17" s="14"/>
      <c r="AG17" s="14"/>
      <c r="AL17" s="154" t="s">
        <v>389</v>
      </c>
      <c r="AM17" s="81" t="s">
        <v>390</v>
      </c>
      <c r="AN17" s="81" t="s">
        <v>403</v>
      </c>
      <c r="AO17" s="81">
        <f>AO7*0.3</f>
        <v>9.0713879883693713E-2</v>
      </c>
      <c r="AP17" s="81" t="s">
        <v>392</v>
      </c>
      <c r="AQ17" s="204">
        <v>9.01E-2</v>
      </c>
      <c r="AU17" s="205" t="s">
        <v>389</v>
      </c>
      <c r="AV17" s="205" t="s">
        <v>390</v>
      </c>
      <c r="AW17" s="205" t="s">
        <v>403</v>
      </c>
      <c r="AX17" s="207" t="s">
        <v>434</v>
      </c>
      <c r="AY17" s="206">
        <f t="shared" si="3"/>
        <v>6.4100000000000004E-2</v>
      </c>
      <c r="AZ17" s="205" t="s">
        <v>392</v>
      </c>
      <c r="BE17" s="81" t="s">
        <v>295</v>
      </c>
      <c r="BF17" s="204">
        <f>SUM(BF12+BF5+BF10)</f>
        <v>63477650.100000009</v>
      </c>
      <c r="BI17" s="81" t="s">
        <v>297</v>
      </c>
      <c r="BJ17" s="81">
        <f>BF11</f>
        <v>129.92840646651271</v>
      </c>
      <c r="BP17" s="154" t="s">
        <v>389</v>
      </c>
      <c r="BQ17" s="81" t="s">
        <v>390</v>
      </c>
      <c r="BR17" s="81" t="s">
        <v>403</v>
      </c>
      <c r="BS17" s="204">
        <f t="shared" si="16"/>
        <v>9.01E-2</v>
      </c>
      <c r="BT17" s="81" t="s">
        <v>392</v>
      </c>
      <c r="BU17" s="204">
        <v>9.01E-2</v>
      </c>
      <c r="BY17" s="211">
        <f>CB26</f>
        <v>6.4100000000000004E-2</v>
      </c>
      <c r="BZ17" s="211"/>
      <c r="CA17" s="81" t="s">
        <v>293</v>
      </c>
      <c r="CB17" s="204">
        <v>28700000</v>
      </c>
      <c r="CC17" s="204">
        <v>324000</v>
      </c>
      <c r="CG17" s="81" t="s">
        <v>298</v>
      </c>
      <c r="CH17" s="204">
        <v>995000000</v>
      </c>
      <c r="CI17" s="204">
        <v>22500000</v>
      </c>
      <c r="CJ17" s="81">
        <v>44.3</v>
      </c>
      <c r="CK17" s="81" t="s">
        <v>505</v>
      </c>
      <c r="CM17" s="81" t="s">
        <v>291</v>
      </c>
      <c r="CN17" s="204">
        <v>6980000</v>
      </c>
      <c r="CO17" s="204">
        <v>679000</v>
      </c>
      <c r="CP17" s="81">
        <v>10.29</v>
      </c>
      <c r="CQ17" s="81" t="s">
        <v>509</v>
      </c>
      <c r="CR17" s="204">
        <v>2E-16</v>
      </c>
      <c r="CS17" s="81" t="s">
        <v>510</v>
      </c>
      <c r="CU17" s="212" t="s">
        <v>506</v>
      </c>
      <c r="CV17" s="81" t="s">
        <v>391</v>
      </c>
      <c r="CW17" s="204">
        <v>0.17</v>
      </c>
      <c r="CX17" s="204">
        <v>2.6400000000000001E-6</v>
      </c>
      <c r="CY17" s="81">
        <v>64508</v>
      </c>
      <c r="CZ17" s="81" t="s">
        <v>505</v>
      </c>
      <c r="DA17" s="81" t="s">
        <v>510</v>
      </c>
      <c r="DE17" s="81" t="s">
        <v>389</v>
      </c>
      <c r="DF17" s="81" t="s">
        <v>390</v>
      </c>
      <c r="DG17" s="81" t="str">
        <f t="shared" si="13"/>
        <v>abs5D</v>
      </c>
      <c r="DH17" s="81" t="s">
        <v>434</v>
      </c>
      <c r="DI17" s="204">
        <f t="shared" si="14"/>
        <v>0.17</v>
      </c>
      <c r="DJ17" s="81" t="s">
        <v>392</v>
      </c>
      <c r="DL17" s="287">
        <f t="shared" si="0"/>
        <v>0</v>
      </c>
      <c r="DM17" s="287">
        <f t="shared" si="1"/>
        <v>0</v>
      </c>
      <c r="DN17" s="287">
        <f t="shared" si="2"/>
        <v>0</v>
      </c>
      <c r="DP17" s="290" t="s">
        <v>506</v>
      </c>
      <c r="DQ17" s="290" t="s">
        <v>411</v>
      </c>
      <c r="DR17" s="291">
        <v>1.49</v>
      </c>
      <c r="DS17" s="291">
        <v>8.77E-2</v>
      </c>
      <c r="DT17" s="290">
        <v>17</v>
      </c>
      <c r="DU17" s="290" t="s">
        <v>509</v>
      </c>
      <c r="DV17" s="291">
        <v>2E-16</v>
      </c>
      <c r="DW17" s="81" t="s">
        <v>510</v>
      </c>
      <c r="DX17" s="212" t="s">
        <v>568</v>
      </c>
      <c r="DY17" s="296" t="s">
        <v>581</v>
      </c>
      <c r="DZ17" s="292" t="s">
        <v>434</v>
      </c>
      <c r="EA17" s="293">
        <f t="shared" si="11"/>
        <v>1</v>
      </c>
      <c r="EB17" s="212" t="s">
        <v>392</v>
      </c>
    </row>
    <row r="18" spans="1:132" ht="15" customHeight="1" thickTop="1" thickBot="1" x14ac:dyDescent="0.3">
      <c r="A18" s="220" t="s">
        <v>77</v>
      </c>
      <c r="B18" s="221">
        <v>0</v>
      </c>
      <c r="C18" s="221"/>
      <c r="D18" s="226" t="s">
        <v>78</v>
      </c>
      <c r="E18" s="221"/>
      <c r="F18" s="238">
        <f>B26/B6</f>
        <v>1.8303571428571428</v>
      </c>
      <c r="G18" s="231"/>
      <c r="H18" s="222"/>
      <c r="J18" s="81" t="s">
        <v>75</v>
      </c>
      <c r="K18" s="250">
        <v>0</v>
      </c>
      <c r="L18" s="251">
        <v>2</v>
      </c>
      <c r="M18" s="251" t="s">
        <v>25</v>
      </c>
      <c r="N18" s="252">
        <f>'[1]Tabula data'!B20*(1-C43)</f>
        <v>36.064797687389479</v>
      </c>
      <c r="O18" s="253" t="s">
        <v>39</v>
      </c>
      <c r="P18" s="30">
        <f t="shared" si="6"/>
        <v>0.22509582884017654</v>
      </c>
      <c r="Q18" s="30">
        <f t="shared" si="7"/>
        <v>8.1180355273962164</v>
      </c>
      <c r="R18" s="30">
        <f t="shared" si="17"/>
        <v>9162777.579088226</v>
      </c>
      <c r="S18" s="30">
        <f t="shared" si="18"/>
        <v>254064.3</v>
      </c>
      <c r="T18" s="30">
        <f t="shared" si="19"/>
        <v>4831961.5941564422</v>
      </c>
      <c r="U18" s="31"/>
      <c r="V18" s="3"/>
      <c r="W18" s="220"/>
      <c r="X18" s="221"/>
      <c r="Y18" s="221"/>
      <c r="Z18" s="221"/>
      <c r="AA18" s="221"/>
      <c r="AB18" s="221"/>
      <c r="AC18" s="268"/>
      <c r="AD18" s="222"/>
      <c r="AE18" s="14"/>
      <c r="AF18" s="14"/>
      <c r="AG18" s="14"/>
      <c r="AP18" s="81" t="s">
        <v>392</v>
      </c>
      <c r="AQ18" s="204"/>
      <c r="AU18" s="205"/>
      <c r="AV18" s="205"/>
      <c r="AW18" s="205"/>
      <c r="AX18" s="207"/>
      <c r="AZ18" s="205"/>
      <c r="BE18" s="81" t="s">
        <v>449</v>
      </c>
      <c r="BF18" s="204">
        <f>BF17+BF7</f>
        <v>65382112.660000011</v>
      </c>
      <c r="BI18" s="81" t="s">
        <v>298</v>
      </c>
      <c r="BJ18" s="81">
        <f>BF12</f>
        <v>41572722.000000007</v>
      </c>
      <c r="BS18" s="204"/>
      <c r="BT18" s="81" t="s">
        <v>392</v>
      </c>
      <c r="BU18" s="204"/>
      <c r="CA18" s="81" t="s">
        <v>476</v>
      </c>
      <c r="CB18" s="204">
        <v>-6.33</v>
      </c>
      <c r="CC18" s="204">
        <v>8.6699999999999999E-2</v>
      </c>
      <c r="CG18" s="81" t="s">
        <v>294</v>
      </c>
      <c r="CH18" s="204">
        <v>14600000</v>
      </c>
      <c r="CI18" s="204">
        <v>300000</v>
      </c>
      <c r="CJ18" s="81">
        <v>48.77</v>
      </c>
      <c r="CK18" s="81" t="s">
        <v>505</v>
      </c>
      <c r="CM18" s="81" t="s">
        <v>293</v>
      </c>
      <c r="CN18" s="204">
        <v>11000000</v>
      </c>
      <c r="CO18" s="204">
        <v>1930000</v>
      </c>
      <c r="CP18" s="81">
        <v>5.67</v>
      </c>
      <c r="CQ18" s="204">
        <v>1.4999999999999999E-8</v>
      </c>
      <c r="CR18" s="81" t="s">
        <v>510</v>
      </c>
      <c r="CU18" s="212" t="s">
        <v>506</v>
      </c>
      <c r="CV18" s="81" t="s">
        <v>410</v>
      </c>
      <c r="CW18" s="204">
        <v>0.45</v>
      </c>
      <c r="CX18" s="204">
        <v>6.7800000000000003E-6</v>
      </c>
      <c r="CY18" s="81">
        <v>66399</v>
      </c>
      <c r="CZ18" s="81" t="s">
        <v>505</v>
      </c>
      <c r="DA18" s="81" t="s">
        <v>510</v>
      </c>
      <c r="DE18" s="81" t="s">
        <v>389</v>
      </c>
      <c r="DF18" s="81" t="s">
        <v>390</v>
      </c>
      <c r="DG18" s="81" t="str">
        <f t="shared" si="13"/>
        <v>abs5N</v>
      </c>
      <c r="DH18" s="81" t="s">
        <v>434</v>
      </c>
      <c r="DI18" s="204">
        <f t="shared" si="14"/>
        <v>0.34</v>
      </c>
      <c r="DJ18" s="81" t="s">
        <v>392</v>
      </c>
      <c r="DK18" s="81" t="s">
        <v>404</v>
      </c>
      <c r="DL18" s="289">
        <f t="shared" si="0"/>
        <v>282.17515527950314</v>
      </c>
      <c r="DM18" s="289">
        <f t="shared" si="1"/>
        <v>654</v>
      </c>
      <c r="DN18" s="289">
        <f t="shared" si="2"/>
        <v>259</v>
      </c>
      <c r="DP18" s="290" t="s">
        <v>506</v>
      </c>
      <c r="DQ18" s="290" t="s">
        <v>545</v>
      </c>
      <c r="DR18" s="291">
        <v>2.33</v>
      </c>
      <c r="DS18" s="291">
        <v>1.6899999999999998E-2</v>
      </c>
      <c r="DT18" s="290">
        <v>137.82</v>
      </c>
      <c r="DU18" s="290" t="s">
        <v>509</v>
      </c>
      <c r="DV18" s="291">
        <v>2E-16</v>
      </c>
      <c r="DW18" s="81" t="s">
        <v>510</v>
      </c>
      <c r="DX18" s="212" t="s">
        <v>568</v>
      </c>
      <c r="DY18" s="296" t="s">
        <v>582</v>
      </c>
      <c r="DZ18" s="292" t="s">
        <v>434</v>
      </c>
      <c r="EA18" s="293">
        <f t="shared" si="11"/>
        <v>0.107</v>
      </c>
      <c r="EB18" s="212" t="s">
        <v>392</v>
      </c>
    </row>
    <row r="19" spans="1:132" ht="15" customHeight="1" thickTop="1" thickBot="1" x14ac:dyDescent="0.3">
      <c r="A19" s="220" t="s">
        <v>81</v>
      </c>
      <c r="B19" s="229">
        <f>B17-B18</f>
        <v>0</v>
      </c>
      <c r="C19" s="221"/>
      <c r="D19" s="236"/>
      <c r="E19" s="231"/>
      <c r="F19" s="231"/>
      <c r="G19" s="231"/>
      <c r="H19" s="230"/>
      <c r="J19" s="81" t="s">
        <v>79</v>
      </c>
      <c r="K19" s="250">
        <v>0</v>
      </c>
      <c r="L19" s="251">
        <v>2</v>
      </c>
      <c r="M19" s="251" t="s">
        <v>25</v>
      </c>
      <c r="N19" s="252">
        <f>N17</f>
        <v>20.516529727733833</v>
      </c>
      <c r="O19" s="253" t="s">
        <v>45</v>
      </c>
      <c r="P19" s="30">
        <f t="shared" si="6"/>
        <v>0.22509582884017654</v>
      </c>
      <c r="Q19" s="30">
        <f t="shared" si="7"/>
        <v>4.6181852639883685</v>
      </c>
      <c r="R19" s="30">
        <f t="shared" si="17"/>
        <v>5212517.7637058869</v>
      </c>
      <c r="S19" s="30">
        <f t="shared" si="18"/>
        <v>254064.30000000002</v>
      </c>
      <c r="T19" s="30">
        <f t="shared" si="19"/>
        <v>2748804.6529217791</v>
      </c>
      <c r="U19" s="31"/>
      <c r="V19" s="3"/>
      <c r="W19" s="220"/>
      <c r="X19" s="221" t="s">
        <v>269</v>
      </c>
      <c r="Y19" s="302">
        <f>0.03+0.035</f>
        <v>6.5000000000000002E-2</v>
      </c>
      <c r="Z19" s="302">
        <v>3.5999999999999997E-2</v>
      </c>
      <c r="AA19" s="221">
        <v>26</v>
      </c>
      <c r="AB19" s="221">
        <v>1470</v>
      </c>
      <c r="AC19" s="268">
        <f>Y19/Z19</f>
        <v>1.8055555555555558</v>
      </c>
      <c r="AD19" s="222">
        <f>Y19*AA19*AB19</f>
        <v>2484.2999999999997</v>
      </c>
      <c r="AE19" s="14"/>
      <c r="AF19" s="14"/>
      <c r="AG19" s="14"/>
      <c r="AL19" s="154" t="s">
        <v>389</v>
      </c>
      <c r="AM19" s="81" t="s">
        <v>390</v>
      </c>
      <c r="AN19" s="81" t="s">
        <v>404</v>
      </c>
      <c r="AO19" s="81">
        <f>SUM(N6:N9)*(1/(SUM(AC20:AC21)*0.5+1/8))</f>
        <v>282.17515527950314</v>
      </c>
      <c r="AP19" s="81" t="s">
        <v>392</v>
      </c>
      <c r="AQ19" s="204">
        <v>654</v>
      </c>
      <c r="AU19" s="205" t="s">
        <v>389</v>
      </c>
      <c r="AV19" s="205" t="s">
        <v>390</v>
      </c>
      <c r="AW19" s="205" t="s">
        <v>404</v>
      </c>
      <c r="AX19" s="207" t="s">
        <v>434</v>
      </c>
      <c r="AY19" s="206">
        <f t="shared" si="3"/>
        <v>259</v>
      </c>
      <c r="AZ19" s="205" t="s">
        <v>392</v>
      </c>
      <c r="BE19" s="81" t="s">
        <v>450</v>
      </c>
      <c r="BF19" s="3">
        <f>BF4+BF6</f>
        <v>96.321681328668632</v>
      </c>
      <c r="BP19" s="154" t="s">
        <v>389</v>
      </c>
      <c r="BQ19" s="81" t="s">
        <v>390</v>
      </c>
      <c r="BR19" s="81" t="s">
        <v>404</v>
      </c>
      <c r="BS19" s="204">
        <f>SUM(N6:N9)*(1/(SUM(AC20:AC21)*0.5+1/3.5))</f>
        <v>167.35840589417282</v>
      </c>
      <c r="BT19" s="81" t="s">
        <v>392</v>
      </c>
      <c r="BU19" s="204">
        <v>654</v>
      </c>
      <c r="BW19" s="81" t="s">
        <v>459</v>
      </c>
      <c r="BX19" s="81">
        <f>AVERAGE(SUM(N6:N9),2*N27)*(1/(1/8+SUM(AC20:AC21)/2+SUM(AC25:AC27)/4))</f>
        <v>314.03364055299545</v>
      </c>
      <c r="BY19" s="211">
        <f>CB28</f>
        <v>259</v>
      </c>
      <c r="BZ19" s="211"/>
      <c r="CA19" s="81" t="s">
        <v>477</v>
      </c>
      <c r="CB19" s="204">
        <v>-24.6</v>
      </c>
      <c r="CC19" s="204">
        <v>1360</v>
      </c>
      <c r="CG19" s="81" t="s">
        <v>475</v>
      </c>
      <c r="CH19" s="204">
        <v>3460000</v>
      </c>
      <c r="CI19" s="204">
        <v>48400</v>
      </c>
      <c r="CJ19" s="81">
        <v>71.56</v>
      </c>
      <c r="CK19" s="81" t="s">
        <v>505</v>
      </c>
      <c r="CM19" s="81" t="s">
        <v>476</v>
      </c>
      <c r="CN19" s="204">
        <v>-6.06</v>
      </c>
      <c r="CO19" s="204">
        <v>0.14799999999999999</v>
      </c>
      <c r="CP19" s="81">
        <v>-40.880000000000003</v>
      </c>
      <c r="CQ19" s="81" t="s">
        <v>509</v>
      </c>
      <c r="CR19" s="204">
        <v>2E-16</v>
      </c>
      <c r="CS19" s="81" t="s">
        <v>510</v>
      </c>
      <c r="CU19" s="212" t="s">
        <v>506</v>
      </c>
      <c r="CV19" s="81" t="s">
        <v>393</v>
      </c>
      <c r="CW19" s="204">
        <v>0.42</v>
      </c>
      <c r="CX19" s="204">
        <v>6.3500000000000002E-6</v>
      </c>
      <c r="CY19" s="81">
        <v>66191</v>
      </c>
      <c r="CZ19" s="81" t="s">
        <v>505</v>
      </c>
      <c r="DA19" s="81" t="s">
        <v>510</v>
      </c>
      <c r="DE19" s="81" t="s">
        <v>389</v>
      </c>
      <c r="DF19" s="81" t="s">
        <v>390</v>
      </c>
      <c r="DG19" s="81" t="str">
        <f t="shared" si="13"/>
        <v>CfiD</v>
      </c>
      <c r="DH19" s="81" t="s">
        <v>434</v>
      </c>
      <c r="DI19" s="204">
        <f t="shared" si="14"/>
        <v>31500000</v>
      </c>
      <c r="DJ19" s="81" t="s">
        <v>392</v>
      </c>
      <c r="DK19" s="81" t="s">
        <v>405</v>
      </c>
      <c r="DL19" s="289">
        <f t="shared" si="0"/>
        <v>429.98019801980206</v>
      </c>
      <c r="DM19" s="289">
        <f t="shared" si="1"/>
        <v>701</v>
      </c>
      <c r="DN19" s="289">
        <f t="shared" si="2"/>
        <v>197</v>
      </c>
      <c r="DP19" s="290" t="s">
        <v>506</v>
      </c>
      <c r="DQ19" s="290" t="s">
        <v>546</v>
      </c>
      <c r="DR19" s="291">
        <v>2.0099999999999998</v>
      </c>
      <c r="DS19" s="291">
        <v>3.2099999999999997E-2</v>
      </c>
      <c r="DT19" s="290">
        <v>62.53</v>
      </c>
      <c r="DU19" s="290" t="s">
        <v>509</v>
      </c>
      <c r="DV19" s="291">
        <v>2E-16</v>
      </c>
      <c r="DW19" s="81" t="s">
        <v>510</v>
      </c>
      <c r="DX19" s="212" t="s">
        <v>568</v>
      </c>
      <c r="DY19" s="294" t="s">
        <v>583</v>
      </c>
      <c r="DZ19" s="292" t="s">
        <v>434</v>
      </c>
      <c r="EA19" s="293">
        <f t="shared" si="11"/>
        <v>1.0900000000000001</v>
      </c>
      <c r="EB19" s="212" t="s">
        <v>392</v>
      </c>
    </row>
    <row r="20" spans="1:132" ht="15" customHeight="1" thickTop="1" thickBot="1" x14ac:dyDescent="0.3">
      <c r="A20" s="220"/>
      <c r="B20" s="221"/>
      <c r="C20" s="221"/>
      <c r="D20" s="226" t="s">
        <v>83</v>
      </c>
      <c r="E20" s="231"/>
      <c r="F20" s="239">
        <f>G4/B23</f>
        <v>0.15223214285714287</v>
      </c>
      <c r="G20" s="231"/>
      <c r="H20" s="222"/>
      <c r="J20" s="81" t="s">
        <v>82</v>
      </c>
      <c r="K20" s="250">
        <v>0</v>
      </c>
      <c r="L20" s="251">
        <v>2</v>
      </c>
      <c r="M20" s="251" t="s">
        <v>25</v>
      </c>
      <c r="N20" s="252">
        <v>0</v>
      </c>
      <c r="O20" s="253" t="s">
        <v>50</v>
      </c>
      <c r="P20" s="30">
        <f t="shared" si="6"/>
        <v>0.22509582884017654</v>
      </c>
      <c r="Q20" s="30">
        <f t="shared" si="7"/>
        <v>0</v>
      </c>
      <c r="R20" s="30">
        <f t="shared" si="17"/>
        <v>0</v>
      </c>
      <c r="S20" s="30" t="e">
        <f t="shared" si="18"/>
        <v>#DIV/0!</v>
      </c>
      <c r="T20" s="30">
        <f t="shared" si="19"/>
        <v>0</v>
      </c>
      <c r="U20" s="31"/>
      <c r="V20" s="3"/>
      <c r="W20" s="220"/>
      <c r="X20" s="231" t="s">
        <v>270</v>
      </c>
      <c r="Y20" s="221">
        <v>0.1</v>
      </c>
      <c r="Z20" s="221">
        <v>0.54</v>
      </c>
      <c r="AA20" s="221">
        <v>1400</v>
      </c>
      <c r="AB20" s="231">
        <v>840</v>
      </c>
      <c r="AC20" s="268">
        <f>Y20/Z20</f>
        <v>0.18518518518518517</v>
      </c>
      <c r="AD20" s="222">
        <f>Y20*AA20*AB20</f>
        <v>117600</v>
      </c>
      <c r="AE20" s="14"/>
      <c r="AF20" s="14"/>
      <c r="AG20" s="14"/>
      <c r="AL20" s="154" t="s">
        <v>389</v>
      </c>
      <c r="AM20" s="81" t="s">
        <v>390</v>
      </c>
      <c r="AN20" s="81" t="s">
        <v>405</v>
      </c>
      <c r="AO20" s="81">
        <f>SUM(N14)*1/(0.5*SUM(AC44:AC45)+1/6)</f>
        <v>429.98019801980206</v>
      </c>
      <c r="AP20" s="81" t="s">
        <v>392</v>
      </c>
      <c r="AQ20" s="204">
        <v>701</v>
      </c>
      <c r="AU20" s="205" t="s">
        <v>389</v>
      </c>
      <c r="AV20" s="205" t="s">
        <v>390</v>
      </c>
      <c r="AW20" s="205" t="s">
        <v>405</v>
      </c>
      <c r="AX20" s="207" t="s">
        <v>434</v>
      </c>
      <c r="AY20" s="206">
        <f t="shared" si="3"/>
        <v>197</v>
      </c>
      <c r="AZ20" s="205" t="s">
        <v>392</v>
      </c>
      <c r="BI20" s="81" t="s">
        <v>451</v>
      </c>
      <c r="BJ20" s="204">
        <f>BF7</f>
        <v>1904462.5600000003</v>
      </c>
      <c r="BP20" s="154" t="s">
        <v>389</v>
      </c>
      <c r="BQ20" s="81" t="s">
        <v>390</v>
      </c>
      <c r="BR20" s="81" t="s">
        <v>405</v>
      </c>
      <c r="BS20" s="204">
        <f>SUM(N14)*1/(0.5*SUM(AC44:AC45)+1/3.5)</f>
        <v>287.60264900662253</v>
      </c>
      <c r="BT20" s="81" t="s">
        <v>392</v>
      </c>
      <c r="BU20" s="204">
        <v>701</v>
      </c>
      <c r="BW20" s="81" t="s">
        <v>460</v>
      </c>
      <c r="BX20" s="81">
        <f>AVERAGE(SUM(N6:N9),N26)*(1/(1/8+SUM(AC33:AC34)/2+SUM(AC20:AC21)/2))</f>
        <v>241.04230611407471</v>
      </c>
      <c r="BY20" s="211">
        <f>CB29</f>
        <v>197</v>
      </c>
      <c r="BZ20" s="211"/>
      <c r="CA20" s="81" t="s">
        <v>478</v>
      </c>
      <c r="CB20" s="204">
        <v>-13.1</v>
      </c>
      <c r="CC20" s="204">
        <v>157</v>
      </c>
      <c r="CG20" s="81" t="s">
        <v>291</v>
      </c>
      <c r="CH20" s="204">
        <v>23000000</v>
      </c>
      <c r="CI20" s="204">
        <v>709000</v>
      </c>
      <c r="CJ20" s="81">
        <v>32.450000000000003</v>
      </c>
      <c r="CK20" s="81" t="s">
        <v>505</v>
      </c>
      <c r="CM20" s="81" t="s">
        <v>477</v>
      </c>
      <c r="CN20" s="204">
        <v>-11.2</v>
      </c>
      <c r="CO20" s="204">
        <v>112</v>
      </c>
      <c r="CP20" s="81">
        <v>-0.1</v>
      </c>
      <c r="CQ20" s="81">
        <v>0.92</v>
      </c>
      <c r="CU20" s="212" t="s">
        <v>506</v>
      </c>
      <c r="CV20" s="81" t="s">
        <v>411</v>
      </c>
      <c r="CW20" s="204">
        <v>0.15</v>
      </c>
      <c r="CX20" s="204">
        <v>2.3300000000000001E-6</v>
      </c>
      <c r="CY20" s="81">
        <v>64377</v>
      </c>
      <c r="CZ20" s="81" t="s">
        <v>505</v>
      </c>
      <c r="DA20" s="81" t="s">
        <v>510</v>
      </c>
      <c r="DE20" s="81" t="s">
        <v>389</v>
      </c>
      <c r="DF20" s="81" t="s">
        <v>390</v>
      </c>
      <c r="DG20" s="81" t="str">
        <f t="shared" si="13"/>
        <v>CfiN</v>
      </c>
      <c r="DH20" s="81" t="s">
        <v>434</v>
      </c>
      <c r="DI20" s="204">
        <f t="shared" si="14"/>
        <v>67000000</v>
      </c>
      <c r="DJ20" s="81" t="s">
        <v>392</v>
      </c>
      <c r="DK20" s="81" t="s">
        <v>406</v>
      </c>
      <c r="DL20" s="289">
        <f t="shared" si="0"/>
        <v>459.10169958658707</v>
      </c>
      <c r="DM20" s="289">
        <f t="shared" si="1"/>
        <v>1380</v>
      </c>
      <c r="DN20" s="289">
        <f t="shared" si="2"/>
        <v>487</v>
      </c>
      <c r="DP20" s="290" t="s">
        <v>506</v>
      </c>
      <c r="DQ20" s="290" t="s">
        <v>547</v>
      </c>
      <c r="DR20" s="291">
        <v>0.85799999999999998</v>
      </c>
      <c r="DS20" s="291">
        <v>0.17399999999999999</v>
      </c>
      <c r="DT20" s="290">
        <v>4.92</v>
      </c>
      <c r="DU20" s="291">
        <v>8.9999999999999996E-7</v>
      </c>
      <c r="DV20" s="290" t="s">
        <v>510</v>
      </c>
      <c r="DX20" s="212" t="s">
        <v>568</v>
      </c>
      <c r="DY20" s="295" t="s">
        <v>584</v>
      </c>
      <c r="DZ20" s="292" t="s">
        <v>434</v>
      </c>
      <c r="EA20" s="293">
        <f t="shared" si="11"/>
        <v>0.95799999999999996</v>
      </c>
      <c r="EB20" s="212" t="s">
        <v>392</v>
      </c>
    </row>
    <row r="21" spans="1:132" ht="15" customHeight="1" thickTop="1" thickBot="1" x14ac:dyDescent="0.3">
      <c r="A21" s="220"/>
      <c r="B21" s="221"/>
      <c r="C21" s="221"/>
      <c r="D21" s="226" t="s">
        <v>86</v>
      </c>
      <c r="E21" s="231"/>
      <c r="F21" s="239">
        <f>G4/B6</f>
        <v>0.15223214285714287</v>
      </c>
      <c r="G21" s="231"/>
      <c r="H21" s="222"/>
      <c r="J21" s="81" t="s">
        <v>84</v>
      </c>
      <c r="K21" s="250">
        <v>0</v>
      </c>
      <c r="L21" s="251">
        <v>2</v>
      </c>
      <c r="M21" s="251" t="s">
        <v>54</v>
      </c>
      <c r="N21" s="252">
        <f>H10</f>
        <v>4.05</v>
      </c>
      <c r="O21" s="253" t="s">
        <v>26</v>
      </c>
      <c r="P21" s="30">
        <f t="shared" si="6"/>
        <v>1.1000000000000001</v>
      </c>
      <c r="Q21" s="30">
        <f t="shared" si="7"/>
        <v>4.4550000000000001</v>
      </c>
      <c r="R21" s="30">
        <f t="shared" si="17"/>
        <v>0</v>
      </c>
      <c r="S21" s="30">
        <f t="shared" si="18"/>
        <v>0</v>
      </c>
      <c r="T21" s="30">
        <f t="shared" si="19"/>
        <v>0</v>
      </c>
      <c r="U21" s="31"/>
      <c r="V21" s="3"/>
      <c r="W21" s="237"/>
      <c r="X21" s="219" t="s">
        <v>80</v>
      </c>
      <c r="Y21" s="219">
        <v>0.02</v>
      </c>
      <c r="Z21" s="219">
        <v>0.6</v>
      </c>
      <c r="AA21" s="219">
        <v>975</v>
      </c>
      <c r="AB21" s="219">
        <v>840</v>
      </c>
      <c r="AC21" s="269">
        <f>Y21/Z21</f>
        <v>3.3333333333333333E-2</v>
      </c>
      <c r="AD21" s="242">
        <f>Y21*AA21*AB21</f>
        <v>16380</v>
      </c>
      <c r="AE21" s="14"/>
      <c r="AF21" s="14"/>
      <c r="AG21" s="14"/>
      <c r="AL21" s="154" t="s">
        <v>389</v>
      </c>
      <c r="AM21" s="81" t="s">
        <v>390</v>
      </c>
      <c r="AN21" s="81" t="s">
        <v>406</v>
      </c>
      <c r="AO21" s="81">
        <f>4*Z23*N27</f>
        <v>459.10169958658707</v>
      </c>
      <c r="AP21" s="81" t="s">
        <v>392</v>
      </c>
      <c r="AQ21" s="204">
        <v>1380</v>
      </c>
      <c r="AU21" s="205" t="s">
        <v>389</v>
      </c>
      <c r="AV21" s="205" t="s">
        <v>390</v>
      </c>
      <c r="AW21" s="205" t="s">
        <v>406</v>
      </c>
      <c r="AX21" s="207" t="s">
        <v>434</v>
      </c>
      <c r="AY21" s="206">
        <f t="shared" si="3"/>
        <v>487</v>
      </c>
      <c r="AZ21" s="205" t="s">
        <v>392</v>
      </c>
      <c r="BI21" s="81" t="s">
        <v>452</v>
      </c>
      <c r="BJ21" s="204">
        <f>BF27</f>
        <v>1336649.5999999999</v>
      </c>
      <c r="BP21" s="154" t="s">
        <v>389</v>
      </c>
      <c r="BQ21" s="81" t="s">
        <v>390</v>
      </c>
      <c r="BR21" s="81" t="s">
        <v>406</v>
      </c>
      <c r="BS21" s="204">
        <f>2*N27*1/(1/3.5+SUM(AC25:AC27)/2)</f>
        <v>294.65341981132082</v>
      </c>
      <c r="BT21" s="81" t="s">
        <v>392</v>
      </c>
      <c r="BU21" s="204">
        <v>1380</v>
      </c>
      <c r="BW21" s="81" t="s">
        <v>461</v>
      </c>
      <c r="BX21" s="81">
        <f>AVERAGE(SUM(N6:N9),N14)*(1/(1/8+SUM(AC44:AC45)/2+SUM(AC20:AC21)/2))</f>
        <v>275.10437956204385</v>
      </c>
      <c r="BY21" s="211">
        <f>CB30</f>
        <v>487</v>
      </c>
      <c r="BZ21" s="211"/>
      <c r="CA21" s="81" t="s">
        <v>479</v>
      </c>
      <c r="CB21" s="204">
        <v>-14.4</v>
      </c>
      <c r="CC21" s="204">
        <v>199</v>
      </c>
      <c r="CG21" s="81" t="s">
        <v>293</v>
      </c>
      <c r="CH21" s="204">
        <v>28700000</v>
      </c>
      <c r="CI21" s="204">
        <v>324000</v>
      </c>
      <c r="CJ21" s="81">
        <v>88.56</v>
      </c>
      <c r="CK21" s="81" t="s">
        <v>505</v>
      </c>
      <c r="CM21" s="81" t="s">
        <v>478</v>
      </c>
      <c r="CN21" s="204">
        <v>-15.5</v>
      </c>
      <c r="CO21" s="204">
        <v>201</v>
      </c>
      <c r="CP21" s="81">
        <v>-0.08</v>
      </c>
      <c r="CQ21" s="81">
        <v>0.93799999999999994</v>
      </c>
      <c r="CU21" s="212" t="s">
        <v>506</v>
      </c>
      <c r="CV21" s="81" t="s">
        <v>394</v>
      </c>
      <c r="CW21" s="204">
        <v>0.14000000000000001</v>
      </c>
      <c r="CX21" s="204">
        <v>2.1799999999999999E-6</v>
      </c>
      <c r="CY21" s="81">
        <v>64312</v>
      </c>
      <c r="CZ21" s="81" t="s">
        <v>505</v>
      </c>
      <c r="DA21" s="81" t="s">
        <v>510</v>
      </c>
      <c r="DE21" s="81" t="s">
        <v>389</v>
      </c>
      <c r="DF21" s="81" t="s">
        <v>390</v>
      </c>
      <c r="DG21" s="81" t="str">
        <f t="shared" si="13"/>
        <v>CiD</v>
      </c>
      <c r="DH21" s="81" t="s">
        <v>434</v>
      </c>
      <c r="DI21" s="204">
        <f t="shared" si="14"/>
        <v>2700000</v>
      </c>
      <c r="DJ21" s="81" t="s">
        <v>392</v>
      </c>
      <c r="DK21" s="81" t="s">
        <v>407</v>
      </c>
      <c r="DL21" s="289">
        <f t="shared" si="0"/>
        <v>67.901478324403314</v>
      </c>
      <c r="DM21" s="289">
        <f t="shared" si="1"/>
        <v>259</v>
      </c>
      <c r="DN21" s="289">
        <f t="shared" si="2"/>
        <v>274</v>
      </c>
      <c r="DP21" s="290" t="s">
        <v>506</v>
      </c>
      <c r="DQ21" s="290" t="s">
        <v>412</v>
      </c>
      <c r="DR21" s="291">
        <v>8.8800000000000001E-7</v>
      </c>
      <c r="DS21" s="291">
        <v>6.4099999999999996E-6</v>
      </c>
      <c r="DT21" s="290">
        <v>0.14000000000000001</v>
      </c>
      <c r="DU21" s="290">
        <v>0.88970000000000005</v>
      </c>
      <c r="DX21" s="212" t="s">
        <v>568</v>
      </c>
      <c r="DY21" s="295" t="s">
        <v>585</v>
      </c>
      <c r="DZ21" s="292" t="s">
        <v>434</v>
      </c>
      <c r="EA21" s="293">
        <f t="shared" si="11"/>
        <v>0.78400000000000003</v>
      </c>
      <c r="EB21" s="212" t="s">
        <v>392</v>
      </c>
    </row>
    <row r="22" spans="1:132" ht="15" customHeight="1" thickTop="1" thickBot="1" x14ac:dyDescent="0.3">
      <c r="A22" s="237"/>
      <c r="B22" s="219"/>
      <c r="C22" s="219"/>
      <c r="D22" s="220" t="s">
        <v>88</v>
      </c>
      <c r="E22" s="221"/>
      <c r="F22" s="227">
        <f>G4/B26</f>
        <v>8.3170731707317078E-2</v>
      </c>
      <c r="G22" s="221"/>
      <c r="H22" s="222"/>
      <c r="J22" s="81" t="s">
        <v>87</v>
      </c>
      <c r="K22" s="250">
        <v>0</v>
      </c>
      <c r="L22" s="251">
        <v>2</v>
      </c>
      <c r="M22" s="251" t="s">
        <v>54</v>
      </c>
      <c r="N22" s="252">
        <f>H11</f>
        <v>3.45</v>
      </c>
      <c r="O22" s="253" t="s">
        <v>39</v>
      </c>
      <c r="P22" s="30">
        <f t="shared" si="6"/>
        <v>1.1000000000000001</v>
      </c>
      <c r="Q22" s="30">
        <f t="shared" si="7"/>
        <v>3.7950000000000004</v>
      </c>
      <c r="R22" s="30">
        <f t="shared" si="17"/>
        <v>0</v>
      </c>
      <c r="S22" s="30">
        <f t="shared" si="18"/>
        <v>0</v>
      </c>
      <c r="T22" s="30">
        <f t="shared" si="19"/>
        <v>0</v>
      </c>
      <c r="U22" s="31"/>
      <c r="V22" s="3"/>
      <c r="W22" s="258"/>
      <c r="X22" s="258"/>
      <c r="Y22" s="258"/>
      <c r="Z22" s="258"/>
      <c r="AA22" s="258"/>
      <c r="AB22" s="258"/>
      <c r="AC22" s="258"/>
      <c r="AD22" s="258"/>
      <c r="AE22" s="14"/>
      <c r="AF22" s="14"/>
      <c r="AG22" s="14"/>
      <c r="AL22" s="154" t="s">
        <v>389</v>
      </c>
      <c r="AM22" s="81" t="s">
        <v>390</v>
      </c>
      <c r="AN22" s="81" t="s">
        <v>407</v>
      </c>
      <c r="AO22" s="3">
        <f>'Verwarming Tabula 2zone'!B60+SUM(Q10:Q13)</f>
        <v>67.901478324403314</v>
      </c>
      <c r="AP22" s="81" t="s">
        <v>392</v>
      </c>
      <c r="AQ22" s="204">
        <v>259</v>
      </c>
      <c r="AU22" s="205" t="s">
        <v>389</v>
      </c>
      <c r="AV22" s="205" t="s">
        <v>390</v>
      </c>
      <c r="AW22" s="205" t="s">
        <v>407</v>
      </c>
      <c r="AX22" s="207" t="s">
        <v>434</v>
      </c>
      <c r="AY22" s="206">
        <f t="shared" si="3"/>
        <v>274</v>
      </c>
      <c r="AZ22" s="205" t="s">
        <v>392</v>
      </c>
      <c r="BP22" s="154" t="s">
        <v>389</v>
      </c>
      <c r="BQ22" s="81" t="s">
        <v>390</v>
      </c>
      <c r="BR22" s="81" t="s">
        <v>407</v>
      </c>
      <c r="BS22" s="204">
        <f t="shared" ref="BS22" si="20">AQ22</f>
        <v>259</v>
      </c>
      <c r="BT22" s="81" t="s">
        <v>392</v>
      </c>
      <c r="BU22" s="204">
        <v>259</v>
      </c>
      <c r="BW22" s="81" t="s">
        <v>462</v>
      </c>
      <c r="BX22" s="81">
        <f>AVERAGE(SUM(N27),N26)*(1/(1/8+SUM(AC33:AC34)/2+SUM(AC25:AC27)/4))</f>
        <v>263.77193533902113</v>
      </c>
      <c r="BY22" s="211">
        <f>CB31</f>
        <v>274</v>
      </c>
      <c r="BZ22" s="211"/>
      <c r="CA22" s="81" t="s">
        <v>480</v>
      </c>
      <c r="CB22" s="204">
        <v>-14.1</v>
      </c>
      <c r="CC22" s="204">
        <v>189</v>
      </c>
      <c r="CG22" s="81" t="s">
        <v>476</v>
      </c>
      <c r="CH22" s="204">
        <v>-6.33</v>
      </c>
      <c r="CI22" s="204">
        <v>8.6699999999999999E-2</v>
      </c>
      <c r="CJ22" s="81">
        <v>-73.040000000000006</v>
      </c>
      <c r="CK22" s="81" t="s">
        <v>505</v>
      </c>
      <c r="CM22" s="81" t="s">
        <v>479</v>
      </c>
      <c r="CN22" s="204">
        <v>-12.1</v>
      </c>
      <c r="CO22" s="204">
        <v>79.7</v>
      </c>
      <c r="CP22" s="81">
        <v>-0.15</v>
      </c>
      <c r="CQ22" s="81">
        <v>0.879</v>
      </c>
      <c r="CU22" s="212" t="s">
        <v>506</v>
      </c>
      <c r="CV22" s="81" t="s">
        <v>412</v>
      </c>
      <c r="CW22" s="204">
        <v>0.11</v>
      </c>
      <c r="CX22" s="204">
        <v>1.72E-6</v>
      </c>
      <c r="CY22" s="81">
        <v>64117</v>
      </c>
      <c r="CZ22" s="81" t="s">
        <v>505</v>
      </c>
      <c r="DA22" s="81" t="s">
        <v>510</v>
      </c>
      <c r="DE22" s="81" t="s">
        <v>389</v>
      </c>
      <c r="DF22" s="81" t="s">
        <v>390</v>
      </c>
      <c r="DG22" s="81" t="str">
        <f t="shared" si="13"/>
        <v>CiN</v>
      </c>
      <c r="DH22" s="81" t="s">
        <v>434</v>
      </c>
      <c r="DI22" s="204">
        <f t="shared" si="14"/>
        <v>1700000</v>
      </c>
      <c r="DJ22" s="81" t="s">
        <v>392</v>
      </c>
      <c r="DK22" s="81" t="s">
        <v>408</v>
      </c>
      <c r="DL22" s="289">
        <f t="shared" si="0"/>
        <v>31.603226356367475</v>
      </c>
      <c r="DM22" s="289">
        <f t="shared" si="1"/>
        <v>123.91573729863691</v>
      </c>
      <c r="DN22" s="289">
        <f t="shared" si="2"/>
        <v>155.27950310559004</v>
      </c>
      <c r="DP22" s="290" t="s">
        <v>506</v>
      </c>
      <c r="DQ22" s="290" t="s">
        <v>548</v>
      </c>
      <c r="DR22" s="291">
        <v>0.32600000000000001</v>
      </c>
      <c r="DS22" s="291">
        <v>0.105</v>
      </c>
      <c r="DT22" s="290">
        <v>3.11</v>
      </c>
      <c r="DU22" s="290">
        <v>1.9E-3</v>
      </c>
      <c r="DV22" s="290" t="s">
        <v>516</v>
      </c>
      <c r="DX22" s="212" t="s">
        <v>568</v>
      </c>
      <c r="DY22" s="295" t="s">
        <v>586</v>
      </c>
      <c r="DZ22" s="292" t="s">
        <v>434</v>
      </c>
      <c r="EA22" s="293">
        <f t="shared" si="11"/>
        <v>1.16E-8</v>
      </c>
      <c r="EB22" s="212" t="s">
        <v>392</v>
      </c>
    </row>
    <row r="23" spans="1:132" ht="15" customHeight="1" thickTop="1" thickBot="1" x14ac:dyDescent="0.3">
      <c r="A23" s="223" t="s">
        <v>91</v>
      </c>
      <c r="B23" s="224">
        <f>B17+B6</f>
        <v>224</v>
      </c>
      <c r="C23" s="234" t="s">
        <v>9</v>
      </c>
      <c r="D23" s="220"/>
      <c r="E23" s="221"/>
      <c r="F23" s="221"/>
      <c r="G23" s="221"/>
      <c r="H23" s="222"/>
      <c r="J23" s="81" t="s">
        <v>89</v>
      </c>
      <c r="K23" s="250">
        <v>0</v>
      </c>
      <c r="L23" s="251">
        <v>2</v>
      </c>
      <c r="M23" s="251" t="s">
        <v>54</v>
      </c>
      <c r="N23" s="252">
        <f>H12</f>
        <v>4.5</v>
      </c>
      <c r="O23" s="253" t="s">
        <v>45</v>
      </c>
      <c r="P23" s="30">
        <f t="shared" si="6"/>
        <v>1.1000000000000001</v>
      </c>
      <c r="Q23" s="30">
        <f t="shared" si="7"/>
        <v>4.95</v>
      </c>
      <c r="R23" s="30">
        <f t="shared" si="17"/>
        <v>0</v>
      </c>
      <c r="S23" s="30">
        <f t="shared" si="18"/>
        <v>0</v>
      </c>
      <c r="T23" s="30">
        <f t="shared" si="19"/>
        <v>0</v>
      </c>
      <c r="U23" s="31"/>
      <c r="V23" s="3"/>
      <c r="W23" s="260" t="s">
        <v>85</v>
      </c>
      <c r="X23" s="261"/>
      <c r="Y23" s="262" t="s">
        <v>21</v>
      </c>
      <c r="Z23" s="263">
        <f>(1/(1/8+SUM(AC25:AC27)+1/8))</f>
        <v>1.7363344051446945</v>
      </c>
      <c r="AA23" s="261" t="s">
        <v>5</v>
      </c>
      <c r="AB23" s="261"/>
      <c r="AC23" s="261" t="s">
        <v>22</v>
      </c>
      <c r="AD23" s="264">
        <f>SUM(AD25:AD28)</f>
        <v>197400.00000000003</v>
      </c>
      <c r="AE23" s="14" t="s">
        <v>23</v>
      </c>
      <c r="AF23" s="14">
        <f>SUM(AD25:AD27)</f>
        <v>197400.00000000003</v>
      </c>
      <c r="AG23" s="14"/>
      <c r="AL23" s="154" t="s">
        <v>389</v>
      </c>
      <c r="AM23" s="81" t="s">
        <v>390</v>
      </c>
      <c r="AN23" s="81" t="s">
        <v>408</v>
      </c>
      <c r="AO23" s="81">
        <f>SUM(N6:N9)*1/(SUM(AC17:AC19)+0.5*SUM(AC20:AC21)+1/23)</f>
        <v>31.603226356367475</v>
      </c>
      <c r="AP23" s="81" t="s">
        <v>392</v>
      </c>
      <c r="AQ23" s="81">
        <f>1/(0.00807)</f>
        <v>123.91573729863691</v>
      </c>
      <c r="AU23" s="205" t="s">
        <v>389</v>
      </c>
      <c r="AV23" s="205" t="s">
        <v>390</v>
      </c>
      <c r="AW23" s="205" t="s">
        <v>408</v>
      </c>
      <c r="AX23" s="207" t="s">
        <v>434</v>
      </c>
      <c r="AY23" s="206">
        <f t="shared" si="3"/>
        <v>155.27950310559004</v>
      </c>
      <c r="AZ23" s="205" t="s">
        <v>392</v>
      </c>
      <c r="BD23" s="208"/>
      <c r="BE23" s="208" t="s">
        <v>453</v>
      </c>
      <c r="BI23" s="81" t="s">
        <v>295</v>
      </c>
      <c r="BJ23" s="204">
        <f>BJ9+BJ10+BJ11+BJ12+BJ18</f>
        <v>123488517.90000004</v>
      </c>
      <c r="BP23" s="154" t="s">
        <v>389</v>
      </c>
      <c r="BQ23" s="81" t="s">
        <v>390</v>
      </c>
      <c r="BR23" s="81" t="s">
        <v>408</v>
      </c>
      <c r="BS23" s="204">
        <f>AQ23</f>
        <v>123.91573729863691</v>
      </c>
      <c r="BT23" s="81" t="s">
        <v>392</v>
      </c>
      <c r="BU23" s="81">
        <f>1/(0.00807)</f>
        <v>123.91573729863691</v>
      </c>
      <c r="BW23" s="81" t="s">
        <v>463</v>
      </c>
      <c r="BX23" s="81">
        <f>AVERAGE(SUM(N27),N14)*(1/(1/8+SUM(AC44:AC45)/2+SUM(AC25:AC27)/4))</f>
        <v>302.36814535158095</v>
      </c>
      <c r="BY23" s="211">
        <f>1/CB37</f>
        <v>155.27950310559004</v>
      </c>
      <c r="BZ23" s="211"/>
      <c r="CA23" s="81" t="s">
        <v>481</v>
      </c>
      <c r="CB23" s="204">
        <v>6.9400000000000003E-2</v>
      </c>
      <c r="CC23" s="204">
        <v>7.76E-4</v>
      </c>
      <c r="CG23" s="81" t="s">
        <v>477</v>
      </c>
      <c r="CH23" s="204">
        <v>-24.6</v>
      </c>
      <c r="CI23" s="204">
        <v>1360</v>
      </c>
      <c r="CJ23" s="81">
        <v>-0.02</v>
      </c>
      <c r="CK23" s="81">
        <v>0.99</v>
      </c>
      <c r="CM23" s="81" t="s">
        <v>481</v>
      </c>
      <c r="CN23" s="204">
        <v>0.19700000000000001</v>
      </c>
      <c r="CO23" s="204">
        <v>1.81E-3</v>
      </c>
      <c r="CP23" s="81">
        <v>108.63</v>
      </c>
      <c r="CQ23" s="81" t="s">
        <v>509</v>
      </c>
      <c r="CR23" s="204">
        <v>2E-16</v>
      </c>
      <c r="CS23" s="81" t="s">
        <v>510</v>
      </c>
      <c r="CU23" s="212">
        <v>16</v>
      </c>
      <c r="DE23" s="81" t="s">
        <v>389</v>
      </c>
      <c r="DF23" s="81" t="s">
        <v>390</v>
      </c>
      <c r="DG23" s="81" t="str">
        <f t="shared" si="13"/>
        <v>CwD</v>
      </c>
      <c r="DH23" s="81" t="s">
        <v>434</v>
      </c>
      <c r="DI23" s="204">
        <f t="shared" si="14"/>
        <v>16300000</v>
      </c>
      <c r="DJ23" s="81" t="s">
        <v>392</v>
      </c>
      <c r="DK23" s="81" t="s">
        <v>409</v>
      </c>
      <c r="DL23" s="289">
        <f t="shared" si="0"/>
        <v>24.766467065868266</v>
      </c>
      <c r="DM23" s="289">
        <f t="shared" si="1"/>
        <v>63.9</v>
      </c>
      <c r="DN23" s="289">
        <f t="shared" si="2"/>
        <v>58.3</v>
      </c>
      <c r="DP23" s="290" t="s">
        <v>506</v>
      </c>
      <c r="DQ23" s="290" t="s">
        <v>549</v>
      </c>
      <c r="DR23" s="291">
        <v>0.28599999999999998</v>
      </c>
      <c r="DS23" s="291">
        <v>0.19400000000000001</v>
      </c>
      <c r="DT23" s="290">
        <v>1.47</v>
      </c>
      <c r="DU23" s="290">
        <v>0.1406</v>
      </c>
      <c r="DX23" s="212" t="s">
        <v>568</v>
      </c>
      <c r="DY23" s="294" t="s">
        <v>587</v>
      </c>
      <c r="DZ23" s="292" t="s">
        <v>434</v>
      </c>
      <c r="EA23" s="293">
        <f t="shared" si="11"/>
        <v>0.88800000000000001</v>
      </c>
      <c r="EB23" s="212" t="s">
        <v>392</v>
      </c>
    </row>
    <row r="24" spans="1:132" ht="15" customHeight="1" thickTop="1" thickBot="1" x14ac:dyDescent="0.3">
      <c r="A24" s="220" t="s">
        <v>94</v>
      </c>
      <c r="B24" s="240">
        <f>B23/B6</f>
        <v>1</v>
      </c>
      <c r="C24" s="221"/>
      <c r="D24" s="220" t="s">
        <v>95</v>
      </c>
      <c r="E24" s="221"/>
      <c r="F24" s="240">
        <f>B8/B6</f>
        <v>0.53839285714285712</v>
      </c>
      <c r="G24" s="221"/>
      <c r="H24" s="222"/>
      <c r="J24" s="81" t="s">
        <v>92</v>
      </c>
      <c r="K24" s="250">
        <v>0</v>
      </c>
      <c r="L24" s="251">
        <v>2</v>
      </c>
      <c r="M24" s="251" t="s">
        <v>54</v>
      </c>
      <c r="N24" s="252">
        <f>H13</f>
        <v>5.05</v>
      </c>
      <c r="O24" s="253" t="s">
        <v>50</v>
      </c>
      <c r="P24" s="30">
        <f t="shared" si="6"/>
        <v>1.1000000000000001</v>
      </c>
      <c r="Q24" s="30">
        <f t="shared" si="7"/>
        <v>5.5550000000000006</v>
      </c>
      <c r="R24" s="30">
        <f t="shared" si="17"/>
        <v>0</v>
      </c>
      <c r="S24" s="30">
        <f t="shared" si="18"/>
        <v>0</v>
      </c>
      <c r="T24" s="30">
        <f t="shared" si="19"/>
        <v>0</v>
      </c>
      <c r="U24" s="31"/>
      <c r="V24" s="3"/>
      <c r="W24" s="265"/>
      <c r="X24" s="266" t="s">
        <v>27</v>
      </c>
      <c r="Y24" s="266" t="s">
        <v>28</v>
      </c>
      <c r="Z24" s="266" t="s">
        <v>29</v>
      </c>
      <c r="AA24" s="266" t="s">
        <v>30</v>
      </c>
      <c r="AB24" s="266" t="s">
        <v>31</v>
      </c>
      <c r="AC24" s="266" t="s">
        <v>32</v>
      </c>
      <c r="AD24" s="267" t="s">
        <v>33</v>
      </c>
      <c r="AE24" s="14"/>
      <c r="AF24" s="14"/>
      <c r="AG24" s="14"/>
      <c r="AL24" s="154" t="s">
        <v>389</v>
      </c>
      <c r="AM24" s="81" t="s">
        <v>390</v>
      </c>
      <c r="AN24" s="81" t="s">
        <v>409</v>
      </c>
      <c r="AO24" s="81">
        <f>SUM(N14)*1/(SUM(AC46:AC48)+0.5*SUM(AC44:AC45))</f>
        <v>24.766467065868266</v>
      </c>
      <c r="AP24" s="81" t="s">
        <v>392</v>
      </c>
      <c r="AQ24" s="204">
        <f>63.9</f>
        <v>63.9</v>
      </c>
      <c r="AU24" s="205" t="s">
        <v>389</v>
      </c>
      <c r="AV24" s="205" t="s">
        <v>390</v>
      </c>
      <c r="AW24" s="205" t="s">
        <v>409</v>
      </c>
      <c r="AX24" s="207" t="s">
        <v>434</v>
      </c>
      <c r="AY24" s="206">
        <f t="shared" si="3"/>
        <v>58.3</v>
      </c>
      <c r="AZ24" s="205" t="s">
        <v>392</v>
      </c>
      <c r="BE24" s="81" t="s">
        <v>281</v>
      </c>
      <c r="BF24" s="81">
        <f>1/(1/AO37+1/AO40)</f>
        <v>47.57155683567084</v>
      </c>
      <c r="BI24" s="81" t="s">
        <v>122</v>
      </c>
      <c r="BJ24" s="204">
        <f>BJ20+BJ21</f>
        <v>3241112.16</v>
      </c>
      <c r="BP24" s="154" t="s">
        <v>389</v>
      </c>
      <c r="BQ24" s="81" t="s">
        <v>390</v>
      </c>
      <c r="BR24" s="81" t="s">
        <v>409</v>
      </c>
      <c r="BS24" s="204">
        <f>AQ24</f>
        <v>63.9</v>
      </c>
      <c r="BT24" s="81" t="s">
        <v>392</v>
      </c>
      <c r="BU24" s="204">
        <f>63.9</f>
        <v>63.9</v>
      </c>
      <c r="BW24" s="81" t="s">
        <v>464</v>
      </c>
      <c r="BX24" s="81">
        <f>AVERAGE(SUM(N26),N14)*(1/(1/8+SUM(AC44:AC45)/2+SUM(AC33:AC34)/4))</f>
        <v>396.73529411764707</v>
      </c>
      <c r="BY24" s="211">
        <f>CB40</f>
        <v>58.3</v>
      </c>
      <c r="BZ24" s="211"/>
      <c r="CA24" s="81" t="s">
        <v>482</v>
      </c>
      <c r="CB24" s="204">
        <v>0.14099999999999999</v>
      </c>
      <c r="CC24" s="204">
        <v>9.4499999999999998E-4</v>
      </c>
      <c r="CG24" s="81" t="s">
        <v>478</v>
      </c>
      <c r="CH24" s="204">
        <v>-13.1</v>
      </c>
      <c r="CI24" s="204">
        <v>157</v>
      </c>
      <c r="CJ24" s="81">
        <v>-0.08</v>
      </c>
      <c r="CK24" s="81">
        <v>0.93</v>
      </c>
      <c r="CM24" s="81" t="s">
        <v>482</v>
      </c>
      <c r="CN24" s="204">
        <v>4.9399999999999999E-2</v>
      </c>
      <c r="CO24" s="204">
        <v>3.4299999999999999E-4</v>
      </c>
      <c r="CP24" s="81">
        <v>144.25</v>
      </c>
      <c r="CQ24" s="81" t="s">
        <v>509</v>
      </c>
      <c r="CR24" s="204">
        <v>2E-16</v>
      </c>
      <c r="CS24" s="81" t="s">
        <v>510</v>
      </c>
      <c r="CU24" s="212" t="s">
        <v>506</v>
      </c>
      <c r="CV24" s="81" t="s">
        <v>423</v>
      </c>
      <c r="CW24" s="204">
        <v>0.17</v>
      </c>
      <c r="CX24" s="204">
        <v>2.6400000000000001E-6</v>
      </c>
      <c r="CY24" s="81">
        <v>64508</v>
      </c>
      <c r="CZ24" s="81" t="s">
        <v>505</v>
      </c>
      <c r="DA24" s="81" t="s">
        <v>510</v>
      </c>
      <c r="DE24" s="81" t="s">
        <v>389</v>
      </c>
      <c r="DF24" s="81" t="s">
        <v>390</v>
      </c>
      <c r="DG24" s="81" t="str">
        <f t="shared" si="13"/>
        <v>CwiD</v>
      </c>
      <c r="DH24" s="81" t="s">
        <v>434</v>
      </c>
      <c r="DI24" s="204">
        <f t="shared" si="14"/>
        <v>26200000</v>
      </c>
      <c r="DJ24" s="81" t="s">
        <v>392</v>
      </c>
      <c r="DL24" s="287">
        <f t="shared" si="0"/>
        <v>0</v>
      </c>
      <c r="DM24" s="287">
        <f t="shared" si="1"/>
        <v>0</v>
      </c>
      <c r="DN24" s="287">
        <f t="shared" si="2"/>
        <v>0</v>
      </c>
      <c r="DP24" s="290" t="s">
        <v>506</v>
      </c>
      <c r="DQ24" s="290" t="s">
        <v>550</v>
      </c>
      <c r="DR24" s="291">
        <v>1</v>
      </c>
      <c r="DS24" s="291">
        <v>1.38E-2</v>
      </c>
      <c r="DT24" s="290">
        <v>72.400000000000006</v>
      </c>
      <c r="DU24" s="290" t="s">
        <v>509</v>
      </c>
      <c r="DV24" s="291">
        <v>2E-16</v>
      </c>
      <c r="DW24" s="81" t="s">
        <v>510</v>
      </c>
      <c r="DX24" s="212" t="s">
        <v>568</v>
      </c>
      <c r="DY24" s="292" t="s">
        <v>588</v>
      </c>
      <c r="DZ24" s="292" t="s">
        <v>434</v>
      </c>
      <c r="EA24" s="293">
        <f t="shared" si="11"/>
        <v>0.73599999999999999</v>
      </c>
      <c r="EB24" s="212" t="s">
        <v>392</v>
      </c>
    </row>
    <row r="25" spans="1:132" ht="15" customHeight="1" thickTop="1" thickBot="1" x14ac:dyDescent="0.3">
      <c r="A25" s="237"/>
      <c r="B25" s="219"/>
      <c r="C25" s="219"/>
      <c r="D25" s="220"/>
      <c r="E25" s="221"/>
      <c r="F25" s="221"/>
      <c r="G25" s="221"/>
      <c r="H25" s="222"/>
      <c r="J25" s="81" t="s">
        <v>96</v>
      </c>
      <c r="K25" s="250">
        <v>0</v>
      </c>
      <c r="L25" s="251">
        <v>2</v>
      </c>
      <c r="M25" s="251" t="s">
        <v>20</v>
      </c>
      <c r="N25" s="252">
        <f>'[1]Tabula data'!B7</f>
        <v>108.5</v>
      </c>
      <c r="O25" s="253" t="s">
        <v>97</v>
      </c>
      <c r="P25" s="30">
        <f t="shared" si="6"/>
        <v>0.16141672417624836</v>
      </c>
      <c r="Q25" s="30">
        <f t="shared" si="7"/>
        <v>17.513714573122947</v>
      </c>
      <c r="R25" s="30">
        <f t="shared" si="17"/>
        <v>8330196</v>
      </c>
      <c r="S25" s="30">
        <f t="shared" si="18"/>
        <v>76776</v>
      </c>
      <c r="T25" s="30">
        <f t="shared" si="19"/>
        <v>4456746</v>
      </c>
      <c r="U25" s="31"/>
      <c r="V25" s="3"/>
      <c r="W25" s="220"/>
      <c r="X25" s="221" t="s">
        <v>90</v>
      </c>
      <c r="Y25" s="221">
        <v>0.02</v>
      </c>
      <c r="Z25" s="221">
        <v>0.6</v>
      </c>
      <c r="AA25" s="221">
        <v>975</v>
      </c>
      <c r="AB25" s="221">
        <v>840</v>
      </c>
      <c r="AC25" s="268">
        <f>Y25/Z25</f>
        <v>3.3333333333333333E-2</v>
      </c>
      <c r="AD25" s="222">
        <f>Y25*AA25*AB25</f>
        <v>16380</v>
      </c>
      <c r="AE25" s="14"/>
      <c r="AF25" s="14"/>
      <c r="AG25" s="14"/>
      <c r="AP25" s="81" t="s">
        <v>392</v>
      </c>
      <c r="AU25" s="205"/>
      <c r="AV25" s="205"/>
      <c r="AW25" s="205"/>
      <c r="AX25" s="207"/>
      <c r="AZ25" s="205"/>
      <c r="BE25" s="81" t="s">
        <v>282</v>
      </c>
      <c r="BF25" s="3">
        <f>AO39</f>
        <v>53.248521675596692</v>
      </c>
      <c r="BI25" s="81" t="s">
        <v>454</v>
      </c>
      <c r="BJ25" s="204">
        <f>BJ23+BJ24</f>
        <v>126729630.06000003</v>
      </c>
      <c r="BS25" s="204"/>
      <c r="BT25" s="81" t="s">
        <v>392</v>
      </c>
      <c r="CA25" s="81" t="s">
        <v>483</v>
      </c>
      <c r="CB25" s="204">
        <v>0.76</v>
      </c>
      <c r="CC25" s="204">
        <v>3.9399999999999999E-3</v>
      </c>
      <c r="CG25" s="81" t="s">
        <v>479</v>
      </c>
      <c r="CH25" s="204">
        <v>-14.4</v>
      </c>
      <c r="CI25" s="204">
        <v>199</v>
      </c>
      <c r="CJ25" s="81">
        <v>-7.0000000000000007E-2</v>
      </c>
      <c r="CK25" s="81">
        <v>0.94</v>
      </c>
      <c r="CM25" s="81" t="s">
        <v>483</v>
      </c>
      <c r="CN25" s="204">
        <v>0.59799999999999998</v>
      </c>
      <c r="CO25" s="204">
        <v>1.04E-2</v>
      </c>
      <c r="CP25" s="81">
        <v>57.36</v>
      </c>
      <c r="CQ25" s="81" t="s">
        <v>509</v>
      </c>
      <c r="CR25" s="204">
        <v>2E-16</v>
      </c>
      <c r="CS25" s="81" t="s">
        <v>510</v>
      </c>
      <c r="CU25" s="212" t="s">
        <v>506</v>
      </c>
      <c r="CV25" s="81" t="s">
        <v>424</v>
      </c>
      <c r="CW25" s="204">
        <v>0.34</v>
      </c>
      <c r="CX25" s="204">
        <v>5.1800000000000004E-6</v>
      </c>
      <c r="CY25" s="81">
        <v>65643</v>
      </c>
      <c r="CZ25" s="81" t="s">
        <v>505</v>
      </c>
      <c r="DA25" s="81" t="s">
        <v>510</v>
      </c>
      <c r="DE25" s="81" t="s">
        <v>389</v>
      </c>
      <c r="DF25" s="81" t="s">
        <v>390</v>
      </c>
      <c r="DG25" s="81" t="str">
        <f t="shared" si="13"/>
        <v>CwiN</v>
      </c>
      <c r="DH25" s="81" t="s">
        <v>434</v>
      </c>
      <c r="DI25" s="204">
        <f t="shared" si="14"/>
        <v>5730000</v>
      </c>
      <c r="DJ25" s="81" t="s">
        <v>392</v>
      </c>
      <c r="DK25" s="81" t="s">
        <v>410</v>
      </c>
      <c r="DL25" s="286">
        <f t="shared" si="0"/>
        <v>0.50291291826022322</v>
      </c>
      <c r="DM25" s="286">
        <f t="shared" si="1"/>
        <v>0.41399999999999998</v>
      </c>
      <c r="DN25" s="286">
        <f t="shared" si="2"/>
        <v>0.44800000000000001</v>
      </c>
      <c r="DP25" s="290" t="s">
        <v>506</v>
      </c>
      <c r="DQ25" s="290" t="s">
        <v>551</v>
      </c>
      <c r="DR25" s="291">
        <v>0.107</v>
      </c>
      <c r="DS25" s="291">
        <v>4.2500000000000003E-2</v>
      </c>
      <c r="DT25" s="290">
        <v>2.5099999999999998</v>
      </c>
      <c r="DU25" s="290">
        <v>1.21E-2</v>
      </c>
      <c r="DV25" s="290" t="s">
        <v>511</v>
      </c>
      <c r="DZ25" s="292"/>
    </row>
    <row r="26" spans="1:132" ht="15" customHeight="1" thickTop="1" thickBot="1" x14ac:dyDescent="0.3">
      <c r="A26" s="223" t="s">
        <v>100</v>
      </c>
      <c r="B26" s="241">
        <f>'Tabula data'!B6</f>
        <v>410</v>
      </c>
      <c r="C26" s="235" t="s">
        <v>9</v>
      </c>
      <c r="D26" s="220"/>
      <c r="E26" s="221"/>
      <c r="F26" s="221"/>
      <c r="G26" s="221"/>
      <c r="H26" s="222"/>
      <c r="J26" s="81" t="s">
        <v>98</v>
      </c>
      <c r="K26" s="250">
        <v>1</v>
      </c>
      <c r="L26" s="251">
        <v>2</v>
      </c>
      <c r="M26" s="251" t="s">
        <v>99</v>
      </c>
      <c r="N26" s="252">
        <f>'[1]Tabula data'!B4-'[1]Tabula data'!B14</f>
        <v>89.300000000000011</v>
      </c>
      <c r="O26" s="253"/>
      <c r="P26" s="30">
        <f t="shared" si="6"/>
        <v>1.4549653579676673</v>
      </c>
      <c r="Q26" s="30">
        <f t="shared" si="7"/>
        <v>129.92840646651271</v>
      </c>
      <c r="R26" s="30">
        <f t="shared" si="17"/>
        <v>41572722.000000007</v>
      </c>
      <c r="S26" s="30">
        <f t="shared" si="18"/>
        <v>465540</v>
      </c>
      <c r="T26" s="30">
        <f t="shared" si="19"/>
        <v>41572722.000000007</v>
      </c>
      <c r="U26" s="31"/>
      <c r="V26" s="3"/>
      <c r="W26" s="220"/>
      <c r="X26" s="221" t="s">
        <v>93</v>
      </c>
      <c r="Y26" s="221">
        <v>0.14000000000000001</v>
      </c>
      <c r="Z26" s="221">
        <v>0.54</v>
      </c>
      <c r="AA26" s="221">
        <v>1400</v>
      </c>
      <c r="AB26" s="221">
        <v>840</v>
      </c>
      <c r="AC26" s="268">
        <f>Y26/Z26</f>
        <v>0.25925925925925924</v>
      </c>
      <c r="AD26" s="222">
        <f>Y26*AA26*AB26</f>
        <v>164640.00000000003</v>
      </c>
      <c r="AE26" s="14"/>
      <c r="AF26" s="14"/>
      <c r="AG26" s="14"/>
      <c r="AL26" s="154" t="s">
        <v>389</v>
      </c>
      <c r="AM26" s="81" t="s">
        <v>390</v>
      </c>
      <c r="AN26" s="81" t="s">
        <v>410</v>
      </c>
      <c r="AO26" s="81">
        <f>SUM(N17:N20,N25)/SUM(N$17:N$25,N$28,N$26)</f>
        <v>0.50291291826022322</v>
      </c>
      <c r="AP26" s="81" t="s">
        <v>392</v>
      </c>
      <c r="AQ26" s="204">
        <v>0.41399999999999998</v>
      </c>
      <c r="AU26" s="205" t="s">
        <v>389</v>
      </c>
      <c r="AV26" s="205" t="s">
        <v>390</v>
      </c>
      <c r="AW26" s="205" t="s">
        <v>410</v>
      </c>
      <c r="AX26" s="207" t="s">
        <v>434</v>
      </c>
      <c r="AY26" s="206">
        <f t="shared" si="3"/>
        <v>0.44800000000000001</v>
      </c>
      <c r="AZ26" s="205" t="s">
        <v>392</v>
      </c>
      <c r="BE26" s="81" t="s">
        <v>295</v>
      </c>
      <c r="BF26" s="204">
        <f>AO31+AO32</f>
        <v>30005433.900000006</v>
      </c>
      <c r="BP26" s="154" t="s">
        <v>389</v>
      </c>
      <c r="BQ26" s="81" t="s">
        <v>390</v>
      </c>
      <c r="BR26" s="81" t="s">
        <v>410</v>
      </c>
      <c r="BS26" s="204">
        <f t="shared" ref="BS26:BS50" si="21">AQ26</f>
        <v>0.41399999999999998</v>
      </c>
      <c r="BT26" s="81" t="s">
        <v>392</v>
      </c>
      <c r="BU26" s="204">
        <v>0.41399999999999998</v>
      </c>
      <c r="BY26" s="211">
        <f>CN11</f>
        <v>0.44800000000000001</v>
      </c>
      <c r="BZ26" s="211"/>
      <c r="CA26" s="81" t="s">
        <v>484</v>
      </c>
      <c r="CB26" s="204">
        <v>6.4100000000000004E-2</v>
      </c>
      <c r="CC26" s="204">
        <v>4.3300000000000001E-4</v>
      </c>
      <c r="CG26" s="81" t="s">
        <v>480</v>
      </c>
      <c r="CH26" s="204">
        <v>-14.1</v>
      </c>
      <c r="CI26" s="204">
        <v>189</v>
      </c>
      <c r="CJ26" s="81">
        <v>-7.0000000000000007E-2</v>
      </c>
      <c r="CK26" s="81">
        <v>0.94</v>
      </c>
      <c r="CM26" s="81" t="s">
        <v>484</v>
      </c>
      <c r="CN26" s="204">
        <v>9.5100000000000004E-2</v>
      </c>
      <c r="CO26" s="204">
        <v>9.5799999999999998E-4</v>
      </c>
      <c r="CP26" s="81">
        <v>99.29</v>
      </c>
      <c r="CQ26" s="81" t="s">
        <v>509</v>
      </c>
      <c r="CR26" s="204">
        <v>2E-16</v>
      </c>
      <c r="CS26" s="81" t="s">
        <v>510</v>
      </c>
      <c r="CU26" s="212" t="s">
        <v>506</v>
      </c>
      <c r="CV26" s="81" t="s">
        <v>515</v>
      </c>
      <c r="CW26" s="204">
        <v>31500000</v>
      </c>
      <c r="CX26" s="204">
        <v>157</v>
      </c>
      <c r="CY26" s="81">
        <v>200875</v>
      </c>
      <c r="CZ26" s="81" t="s">
        <v>505</v>
      </c>
      <c r="DA26" s="81" t="s">
        <v>510</v>
      </c>
      <c r="DE26" s="81" t="s">
        <v>389</v>
      </c>
      <c r="DF26" s="81" t="s">
        <v>390</v>
      </c>
      <c r="DG26" s="81" t="str">
        <f t="shared" si="13"/>
        <v>CwN</v>
      </c>
      <c r="DH26" s="81" t="s">
        <v>434</v>
      </c>
      <c r="DI26" s="204">
        <f t="shared" si="14"/>
        <v>5800000</v>
      </c>
      <c r="DJ26" s="81" t="s">
        <v>392</v>
      </c>
      <c r="DK26" s="81" t="s">
        <v>411</v>
      </c>
      <c r="DL26" s="286">
        <f t="shared" si="0"/>
        <v>0.20891140083303655</v>
      </c>
      <c r="DM26" s="286">
        <f t="shared" si="1"/>
        <v>0.111</v>
      </c>
      <c r="DN26" s="286">
        <f t="shared" si="2"/>
        <v>0.15</v>
      </c>
      <c r="DP26" s="290" t="s">
        <v>506</v>
      </c>
      <c r="DQ26" s="290" t="s">
        <v>552</v>
      </c>
      <c r="DR26" s="291">
        <v>1.0900000000000001</v>
      </c>
      <c r="DS26" s="291">
        <v>7.7499999999999999E-3</v>
      </c>
      <c r="DT26" s="290">
        <v>140.09</v>
      </c>
      <c r="DU26" s="290" t="s">
        <v>509</v>
      </c>
      <c r="DV26" s="291">
        <v>2E-16</v>
      </c>
      <c r="DW26" s="81" t="s">
        <v>510</v>
      </c>
      <c r="DY26" s="292"/>
      <c r="DZ26" s="292"/>
      <c r="EA26" s="293"/>
    </row>
    <row r="27" spans="1:132" ht="15" customHeight="1" thickTop="1" thickBot="1" x14ac:dyDescent="0.3">
      <c r="A27" s="220"/>
      <c r="B27" s="240">
        <f>SUM(N6:N25)</f>
        <v>398.70000000000005</v>
      </c>
      <c r="C27" s="222"/>
      <c r="D27" s="220"/>
      <c r="E27" s="221"/>
      <c r="F27" s="221"/>
      <c r="G27" s="221"/>
      <c r="H27" s="222"/>
      <c r="J27" s="81" t="s">
        <v>101</v>
      </c>
      <c r="K27" s="250">
        <v>1</v>
      </c>
      <c r="L27" s="251">
        <v>1</v>
      </c>
      <c r="M27" s="251" t="s">
        <v>85</v>
      </c>
      <c r="N27" s="252">
        <f>SUM(N6:N9)</f>
        <v>66.102142857142866</v>
      </c>
      <c r="O27" s="253"/>
      <c r="P27" s="30">
        <f t="shared" si="6"/>
        <v>1.7363344051446945</v>
      </c>
      <c r="Q27" s="30">
        <f t="shared" si="7"/>
        <v>114.77542489664677</v>
      </c>
      <c r="R27" s="30">
        <f t="shared" si="17"/>
        <v>13048563.000000004</v>
      </c>
      <c r="S27" s="30">
        <f t="shared" si="18"/>
        <v>197400.00000000003</v>
      </c>
      <c r="T27" s="30">
        <f t="shared" si="19"/>
        <v>13048563.000000004</v>
      </c>
      <c r="U27" s="31"/>
      <c r="V27" s="3"/>
      <c r="W27" s="237"/>
      <c r="X27" s="219" t="s">
        <v>90</v>
      </c>
      <c r="Y27" s="219">
        <v>0.02</v>
      </c>
      <c r="Z27" s="219">
        <v>0.6</v>
      </c>
      <c r="AA27" s="219">
        <v>975</v>
      </c>
      <c r="AB27" s="219">
        <v>840</v>
      </c>
      <c r="AC27" s="269">
        <f>Y27/Z27</f>
        <v>3.3333333333333333E-2</v>
      </c>
      <c r="AD27" s="242">
        <f>Y27*AA27*AB27</f>
        <v>16380</v>
      </c>
      <c r="AE27" s="14"/>
      <c r="AF27" s="14"/>
      <c r="AG27" s="14"/>
      <c r="AL27" s="154" t="s">
        <v>389</v>
      </c>
      <c r="AM27" s="81" t="s">
        <v>390</v>
      </c>
      <c r="AN27" s="81" t="s">
        <v>411</v>
      </c>
      <c r="AO27" s="81">
        <f>SUM(N28)/SUM(N$17:N$25,N$28,N$26)</f>
        <v>0.20891140083303655</v>
      </c>
      <c r="AP27" s="81" t="s">
        <v>392</v>
      </c>
      <c r="AQ27" s="204">
        <v>0.111</v>
      </c>
      <c r="AU27" s="205" t="s">
        <v>389</v>
      </c>
      <c r="AV27" s="205" t="s">
        <v>390</v>
      </c>
      <c r="AW27" s="205" t="s">
        <v>411</v>
      </c>
      <c r="AX27" s="207" t="s">
        <v>434</v>
      </c>
      <c r="AY27" s="206">
        <f t="shared" si="3"/>
        <v>0.15</v>
      </c>
      <c r="AZ27" s="205" t="s">
        <v>392</v>
      </c>
      <c r="BE27" s="81" t="s">
        <v>122</v>
      </c>
      <c r="BF27" s="204">
        <f>AO30</f>
        <v>1336649.5999999999</v>
      </c>
      <c r="BI27" s="81" t="s">
        <v>455</v>
      </c>
      <c r="BJ27" s="204">
        <v>-1000000</v>
      </c>
      <c r="BP27" s="154" t="s">
        <v>389</v>
      </c>
      <c r="BQ27" s="81" t="s">
        <v>390</v>
      </c>
      <c r="BR27" s="81" t="s">
        <v>411</v>
      </c>
      <c r="BS27" s="204">
        <f t="shared" si="21"/>
        <v>0.111</v>
      </c>
      <c r="BT27" s="81" t="s">
        <v>392</v>
      </c>
      <c r="BU27" s="204">
        <v>0.111</v>
      </c>
      <c r="BY27" s="211">
        <f t="shared" ref="BY27:BY28" si="22">CN12</f>
        <v>0.15</v>
      </c>
      <c r="BZ27" s="211"/>
      <c r="CA27" s="81" t="s">
        <v>485</v>
      </c>
      <c r="CB27" s="204">
        <v>5.4300000000000001E-2</v>
      </c>
      <c r="CC27" s="204">
        <v>4.44E-4</v>
      </c>
      <c r="CG27" s="81" t="s">
        <v>481</v>
      </c>
      <c r="CH27" s="204">
        <v>6.9400000000000003E-2</v>
      </c>
      <c r="CI27" s="204">
        <v>7.76E-4</v>
      </c>
      <c r="CJ27" s="81">
        <v>89.38</v>
      </c>
      <c r="CK27" s="81" t="s">
        <v>505</v>
      </c>
      <c r="CM27" s="81" t="s">
        <v>486</v>
      </c>
      <c r="CN27" s="204">
        <v>194</v>
      </c>
      <c r="CO27" s="204">
        <v>5.16</v>
      </c>
      <c r="CP27" s="81">
        <v>37.520000000000003</v>
      </c>
      <c r="CQ27" s="81" t="s">
        <v>509</v>
      </c>
      <c r="CR27" s="204">
        <v>2E-16</v>
      </c>
      <c r="CS27" s="81" t="s">
        <v>510</v>
      </c>
      <c r="CU27" s="212" t="s">
        <v>506</v>
      </c>
      <c r="CV27" s="81" t="s">
        <v>426</v>
      </c>
      <c r="CW27" s="204">
        <v>67000000</v>
      </c>
      <c r="CX27" s="204">
        <v>330</v>
      </c>
      <c r="CY27" s="81">
        <v>203280</v>
      </c>
      <c r="CZ27" s="81" t="s">
        <v>505</v>
      </c>
      <c r="DA27" s="81" t="s">
        <v>510</v>
      </c>
      <c r="DI27" s="204"/>
      <c r="DK27" s="81" t="s">
        <v>412</v>
      </c>
      <c r="DL27" s="286">
        <f t="shared" si="0"/>
        <v>4.6200238452843621E-2</v>
      </c>
      <c r="DM27" s="286">
        <f t="shared" si="1"/>
        <v>0.251</v>
      </c>
      <c r="DN27" s="286">
        <f t="shared" si="2"/>
        <v>4.4699999999999997E-2</v>
      </c>
      <c r="DP27" s="290" t="s">
        <v>506</v>
      </c>
      <c r="DQ27" s="290" t="s">
        <v>553</v>
      </c>
      <c r="DR27" s="291">
        <v>0.95799999999999996</v>
      </c>
      <c r="DS27" s="291">
        <v>1.46E-2</v>
      </c>
      <c r="DT27" s="290">
        <v>65.599999999999994</v>
      </c>
      <c r="DU27" s="290" t="s">
        <v>509</v>
      </c>
      <c r="DV27" s="291">
        <v>2E-16</v>
      </c>
      <c r="DW27" s="81" t="s">
        <v>510</v>
      </c>
      <c r="DX27" s="212" t="s">
        <v>568</v>
      </c>
      <c r="DY27" s="292" t="s">
        <v>399</v>
      </c>
      <c r="DZ27" s="292" t="s">
        <v>434</v>
      </c>
      <c r="EA27" s="293">
        <f>DR33</f>
        <v>14200000</v>
      </c>
      <c r="EB27" s="212" t="s">
        <v>392</v>
      </c>
    </row>
    <row r="28" spans="1:132" ht="15" customHeight="1" thickTop="1" thickBot="1" x14ac:dyDescent="0.3">
      <c r="A28" s="220"/>
      <c r="B28" s="221"/>
      <c r="C28" s="222"/>
      <c r="D28" s="220"/>
      <c r="E28" s="221"/>
      <c r="F28" s="221"/>
      <c r="G28" s="221"/>
      <c r="H28" s="222"/>
      <c r="J28" s="81" t="s">
        <v>102</v>
      </c>
      <c r="K28" s="250">
        <v>2</v>
      </c>
      <c r="L28" s="251">
        <v>2</v>
      </c>
      <c r="M28" s="251" t="s">
        <v>85</v>
      </c>
      <c r="N28" s="252">
        <f>SUM(N17:N20)</f>
        <v>77.097857142857151</v>
      </c>
      <c r="O28" s="253"/>
      <c r="P28" s="30">
        <f t="shared" si="6"/>
        <v>1.7363344051446945</v>
      </c>
      <c r="Q28" s="30">
        <f t="shared" si="7"/>
        <v>133.86766192007352</v>
      </c>
      <c r="R28" s="30">
        <f t="shared" si="17"/>
        <v>15219117.000000004</v>
      </c>
      <c r="S28" s="30">
        <f t="shared" si="18"/>
        <v>197400.00000000003</v>
      </c>
      <c r="T28" s="30">
        <f t="shared" si="19"/>
        <v>15219117.000000004</v>
      </c>
      <c r="U28" s="31"/>
      <c r="V28" s="3"/>
      <c r="W28" s="258"/>
      <c r="X28" s="258"/>
      <c r="Y28" s="258"/>
      <c r="Z28" s="258"/>
      <c r="AA28" s="258"/>
      <c r="AB28" s="258"/>
      <c r="AC28" s="258"/>
      <c r="AD28" s="258"/>
      <c r="AE28" s="14"/>
      <c r="AF28" s="14"/>
      <c r="AG28" s="14"/>
      <c r="AL28" s="154" t="s">
        <v>389</v>
      </c>
      <c r="AM28" s="81" t="s">
        <v>390</v>
      </c>
      <c r="AN28" s="81" t="s">
        <v>412</v>
      </c>
      <c r="AO28" s="81">
        <f>SUM(N21:N24)/SUM(N$17:N$25,N$28,N$26)</f>
        <v>4.6200238452843621E-2</v>
      </c>
      <c r="AP28" s="81" t="s">
        <v>392</v>
      </c>
      <c r="AQ28" s="204">
        <v>0.251</v>
      </c>
      <c r="AU28" s="205" t="s">
        <v>389</v>
      </c>
      <c r="AV28" s="205" t="s">
        <v>390</v>
      </c>
      <c r="AW28" s="205" t="s">
        <v>412</v>
      </c>
      <c r="AX28" s="207" t="s">
        <v>434</v>
      </c>
      <c r="AY28" s="206">
        <f t="shared" si="3"/>
        <v>4.4699999999999997E-2</v>
      </c>
      <c r="AZ28" s="205" t="s">
        <v>392</v>
      </c>
      <c r="BE28" s="81" t="s">
        <v>449</v>
      </c>
      <c r="BF28" s="204">
        <f>BF26+BF27</f>
        <v>31342083.500000007</v>
      </c>
      <c r="BI28" s="81" t="s">
        <v>456</v>
      </c>
      <c r="BJ28" s="204">
        <v>-1000000</v>
      </c>
      <c r="BP28" s="154" t="s">
        <v>389</v>
      </c>
      <c r="BQ28" s="81" t="s">
        <v>390</v>
      </c>
      <c r="BR28" s="81" t="s">
        <v>412</v>
      </c>
      <c r="BS28" s="204">
        <f t="shared" si="21"/>
        <v>0.251</v>
      </c>
      <c r="BT28" s="81" t="s">
        <v>392</v>
      </c>
      <c r="BU28" s="204">
        <v>0.251</v>
      </c>
      <c r="BY28" s="211">
        <f t="shared" si="22"/>
        <v>4.4699999999999997E-2</v>
      </c>
      <c r="BZ28" s="211"/>
      <c r="CA28" s="81" t="s">
        <v>486</v>
      </c>
      <c r="CB28" s="204">
        <v>259</v>
      </c>
      <c r="CC28" s="204">
        <v>2.63</v>
      </c>
      <c r="CG28" s="81" t="s">
        <v>482</v>
      </c>
      <c r="CH28" s="204">
        <v>0.14099999999999999</v>
      </c>
      <c r="CI28" s="204">
        <v>9.4499999999999998E-4</v>
      </c>
      <c r="CJ28" s="81">
        <v>148.78</v>
      </c>
      <c r="CK28" s="81" t="s">
        <v>505</v>
      </c>
      <c r="CM28" s="81" t="s">
        <v>285</v>
      </c>
      <c r="CN28" s="204">
        <v>83.2</v>
      </c>
      <c r="CO28" s="204">
        <v>0.88100000000000001</v>
      </c>
      <c r="CP28" s="81">
        <v>94.5</v>
      </c>
      <c r="CQ28" s="81" t="s">
        <v>509</v>
      </c>
      <c r="CR28" s="204">
        <v>2E-16</v>
      </c>
      <c r="CS28" s="81" t="s">
        <v>510</v>
      </c>
      <c r="CU28" s="212" t="s">
        <v>506</v>
      </c>
      <c r="CV28" s="81" t="s">
        <v>396</v>
      </c>
      <c r="CW28" s="204">
        <v>2700000</v>
      </c>
      <c r="CX28" s="204">
        <v>8.4600000000000009</v>
      </c>
      <c r="CY28" s="81">
        <v>319026</v>
      </c>
      <c r="CZ28" s="81" t="s">
        <v>505</v>
      </c>
      <c r="DA28" s="81" t="s">
        <v>510</v>
      </c>
      <c r="DI28" s="204"/>
      <c r="DL28" s="287">
        <f t="shared" si="0"/>
        <v>0</v>
      </c>
      <c r="DM28" s="287">
        <f t="shared" si="1"/>
        <v>0</v>
      </c>
      <c r="DN28" s="287">
        <f t="shared" si="2"/>
        <v>0</v>
      </c>
      <c r="DP28" s="290" t="s">
        <v>506</v>
      </c>
      <c r="DQ28" s="290" t="s">
        <v>554</v>
      </c>
      <c r="DR28" s="291">
        <v>0.78400000000000003</v>
      </c>
      <c r="DS28" s="291">
        <v>1.4E-2</v>
      </c>
      <c r="DT28" s="290">
        <v>55.96</v>
      </c>
      <c r="DU28" s="290" t="s">
        <v>509</v>
      </c>
      <c r="DV28" s="291">
        <v>2E-16</v>
      </c>
      <c r="DW28" s="81" t="s">
        <v>510</v>
      </c>
      <c r="DX28" s="212" t="s">
        <v>568</v>
      </c>
      <c r="DY28" s="295" t="s">
        <v>396</v>
      </c>
      <c r="DZ28" s="292" t="s">
        <v>434</v>
      </c>
      <c r="EA28" s="293">
        <f t="shared" ref="EA28:EA30" si="23">DR34</f>
        <v>3420000</v>
      </c>
      <c r="EB28" s="212" t="s">
        <v>392</v>
      </c>
    </row>
    <row r="29" spans="1:132" ht="15" customHeight="1" thickTop="1" thickBot="1" x14ac:dyDescent="0.3">
      <c r="A29" s="220"/>
      <c r="B29" s="221"/>
      <c r="C29" s="222"/>
      <c r="D29" s="220"/>
      <c r="E29" s="221"/>
      <c r="F29" s="221"/>
      <c r="G29" s="221"/>
      <c r="H29" s="222"/>
      <c r="K29" s="250">
        <v>2</v>
      </c>
      <c r="L29" s="251">
        <v>2</v>
      </c>
      <c r="M29" s="251" t="s">
        <v>99</v>
      </c>
      <c r="N29" s="319">
        <f>B8-N26</f>
        <v>31.299999999999983</v>
      </c>
      <c r="O29" s="257"/>
      <c r="P29" s="30">
        <f t="shared" ref="P29:P31" si="24">VLOOKUP(M29,$W$5:$Z$393,4,0)</f>
        <v>1.4549653579676673</v>
      </c>
      <c r="Q29" s="30">
        <f t="shared" ref="Q29:Q31" si="25">P29*N29</f>
        <v>45.540415704387961</v>
      </c>
      <c r="R29" s="30">
        <f t="shared" ref="R29:R31" si="26">VLOOKUP(M29,$W$5:$AD$393,8,0)*N29</f>
        <v>14571401.999999993</v>
      </c>
      <c r="S29" s="30">
        <f t="shared" ref="S29:S31" si="27">R29/N29</f>
        <v>465540</v>
      </c>
      <c r="T29" s="30">
        <f t="shared" ref="T29:T31" si="28">VLOOKUP(M29,$W$5:$AF$393,10,0)*N29</f>
        <v>14571401.999999993</v>
      </c>
      <c r="V29" s="3"/>
      <c r="W29" s="260" t="s">
        <v>99</v>
      </c>
      <c r="X29" s="261"/>
      <c r="Y29" s="262" t="s">
        <v>21</v>
      </c>
      <c r="Z29" s="263">
        <f>1/(1/10+SUM(AC31:AC34)+1/6)</f>
        <v>1.4549653579676673</v>
      </c>
      <c r="AA29" s="261" t="s">
        <v>5</v>
      </c>
      <c r="AB29" s="261"/>
      <c r="AC29" s="261" t="s">
        <v>22</v>
      </c>
      <c r="AD29" s="264">
        <f>SUM(AD31:AD35)</f>
        <v>465540</v>
      </c>
      <c r="AE29" s="14" t="s">
        <v>23</v>
      </c>
      <c r="AF29" s="14">
        <f>SUM(AD31:AD34)</f>
        <v>465540</v>
      </c>
      <c r="AG29" s="14"/>
      <c r="AP29" s="81" t="s">
        <v>392</v>
      </c>
      <c r="AU29" s="205"/>
      <c r="AV29" s="205"/>
      <c r="AW29" s="205"/>
      <c r="AX29" s="207"/>
      <c r="AZ29" s="205"/>
      <c r="BE29" s="81" t="s">
        <v>450</v>
      </c>
      <c r="BF29" s="3">
        <f>BF24+BF25</f>
        <v>100.82007851126752</v>
      </c>
      <c r="BI29" s="81" t="s">
        <v>294</v>
      </c>
      <c r="BJ29" s="204">
        <v>-1000000</v>
      </c>
      <c r="BS29" s="204"/>
      <c r="BT29" s="81" t="s">
        <v>392</v>
      </c>
      <c r="BY29" s="211"/>
      <c r="BZ29" s="211"/>
      <c r="CA29" s="81" t="s">
        <v>487</v>
      </c>
      <c r="CB29" s="204">
        <v>197</v>
      </c>
      <c r="CC29" s="204">
        <v>1.44</v>
      </c>
      <c r="CG29" s="81" t="s">
        <v>483</v>
      </c>
      <c r="CH29" s="204">
        <v>0.76</v>
      </c>
      <c r="CI29" s="204">
        <v>3.9399999999999999E-3</v>
      </c>
      <c r="CJ29" s="81">
        <v>192.86</v>
      </c>
      <c r="CK29" s="81" t="s">
        <v>505</v>
      </c>
      <c r="CM29" s="81" t="s">
        <v>120</v>
      </c>
      <c r="CN29" s="204">
        <v>64.400000000000006</v>
      </c>
      <c r="CO29" s="204">
        <v>1.8</v>
      </c>
      <c r="CP29" s="81">
        <v>35.869999999999997</v>
      </c>
      <c r="CQ29" s="81" t="s">
        <v>509</v>
      </c>
      <c r="CR29" s="204">
        <v>2E-16</v>
      </c>
      <c r="CS29" s="81" t="s">
        <v>510</v>
      </c>
      <c r="CU29" s="212" t="s">
        <v>506</v>
      </c>
      <c r="CV29" s="81" t="s">
        <v>413</v>
      </c>
      <c r="CW29" s="204">
        <v>1700000</v>
      </c>
      <c r="CX29" s="204">
        <v>7.17</v>
      </c>
      <c r="CY29" s="81">
        <v>236943</v>
      </c>
      <c r="CZ29" s="81" t="s">
        <v>505</v>
      </c>
      <c r="DA29" s="81" t="s">
        <v>510</v>
      </c>
      <c r="DI29" s="204"/>
      <c r="DK29" s="81" t="s">
        <v>413</v>
      </c>
      <c r="DL29" s="288">
        <f t="shared" si="0"/>
        <v>1336649.5999999999</v>
      </c>
      <c r="DM29" s="288">
        <f t="shared" si="1"/>
        <v>1340000</v>
      </c>
      <c r="DN29" s="288">
        <f t="shared" si="2"/>
        <v>1130000</v>
      </c>
      <c r="DP29" s="290" t="s">
        <v>506</v>
      </c>
      <c r="DQ29" s="290" t="s">
        <v>424</v>
      </c>
      <c r="DR29" s="291">
        <v>1.16E-8</v>
      </c>
      <c r="DS29" s="291">
        <v>1.3799999999999999E-6</v>
      </c>
      <c r="DT29" s="290">
        <v>0.01</v>
      </c>
      <c r="DU29" s="290">
        <v>0.99329999999999996</v>
      </c>
      <c r="DX29" s="212" t="s">
        <v>568</v>
      </c>
      <c r="DY29" s="295" t="s">
        <v>397</v>
      </c>
      <c r="DZ29" s="292" t="s">
        <v>434</v>
      </c>
      <c r="EA29" s="293">
        <f t="shared" si="23"/>
        <v>22400000</v>
      </c>
      <c r="EB29" s="212" t="s">
        <v>392</v>
      </c>
    </row>
    <row r="30" spans="1:132" ht="15" customHeight="1" thickTop="1" thickBot="1" x14ac:dyDescent="0.3">
      <c r="A30" s="237"/>
      <c r="B30" s="219"/>
      <c r="C30" s="242"/>
      <c r="D30" s="237"/>
      <c r="E30" s="219"/>
      <c r="F30" s="219"/>
      <c r="G30" s="219"/>
      <c r="H30" s="242"/>
      <c r="K30" s="250" t="s">
        <v>618</v>
      </c>
      <c r="L30" s="251">
        <v>1</v>
      </c>
      <c r="M30" s="251" t="s">
        <v>610</v>
      </c>
      <c r="N30" s="252">
        <f>N7</f>
        <v>30.921227867960802</v>
      </c>
      <c r="O30" s="253"/>
      <c r="P30" s="30">
        <f t="shared" si="24"/>
        <v>1.8430034129692836</v>
      </c>
      <c r="Q30" s="30">
        <f t="shared" si="25"/>
        <v>56.987928493852685</v>
      </c>
      <c r="R30" s="30">
        <f t="shared" si="26"/>
        <v>5597360.6686582649</v>
      </c>
      <c r="S30" s="30">
        <f t="shared" si="27"/>
        <v>181020.00000000003</v>
      </c>
      <c r="T30" s="30">
        <f t="shared" si="28"/>
        <v>0</v>
      </c>
      <c r="V30" s="3"/>
      <c r="W30" s="265"/>
      <c r="X30" s="266" t="s">
        <v>27</v>
      </c>
      <c r="Y30" s="266" t="s">
        <v>28</v>
      </c>
      <c r="Z30" s="266" t="s">
        <v>29</v>
      </c>
      <c r="AA30" s="266" t="s">
        <v>30</v>
      </c>
      <c r="AB30" s="266" t="s">
        <v>31</v>
      </c>
      <c r="AC30" s="266" t="s">
        <v>32</v>
      </c>
      <c r="AD30" s="267" t="s">
        <v>33</v>
      </c>
      <c r="AE30" s="14"/>
      <c r="AF30" s="14"/>
      <c r="AG30" s="14"/>
      <c r="AL30" s="154" t="s">
        <v>389</v>
      </c>
      <c r="AM30" s="81" t="s">
        <v>390</v>
      </c>
      <c r="AN30" s="81" t="s">
        <v>413</v>
      </c>
      <c r="AO30" s="204">
        <f>B35*1.04*1012*5</f>
        <v>1336649.5999999999</v>
      </c>
      <c r="AP30" s="81" t="s">
        <v>392</v>
      </c>
      <c r="AQ30" s="204">
        <v>1340000</v>
      </c>
      <c r="AU30" s="205" t="s">
        <v>389</v>
      </c>
      <c r="AV30" s="205" t="s">
        <v>390</v>
      </c>
      <c r="AW30" s="205" t="s">
        <v>413</v>
      </c>
      <c r="AX30" s="207" t="s">
        <v>434</v>
      </c>
      <c r="AY30" s="206">
        <f t="shared" si="3"/>
        <v>1130000</v>
      </c>
      <c r="AZ30" s="205" t="s">
        <v>392</v>
      </c>
      <c r="BI30" s="81" t="s">
        <v>301</v>
      </c>
      <c r="BJ30" s="204">
        <v>-1000000</v>
      </c>
      <c r="BP30" s="154" t="s">
        <v>389</v>
      </c>
      <c r="BQ30" s="81" t="s">
        <v>390</v>
      </c>
      <c r="BR30" s="81" t="s">
        <v>413</v>
      </c>
      <c r="BS30" s="204">
        <f t="shared" si="21"/>
        <v>1340000</v>
      </c>
      <c r="BT30" s="81" t="s">
        <v>392</v>
      </c>
      <c r="BU30" s="204">
        <v>1340000</v>
      </c>
      <c r="BY30" s="211">
        <f>CN16</f>
        <v>1130000</v>
      </c>
      <c r="BZ30" s="211"/>
      <c r="CA30" s="81" t="s">
        <v>285</v>
      </c>
      <c r="CB30" s="204">
        <v>487</v>
      </c>
      <c r="CC30" s="204">
        <v>2.62</v>
      </c>
      <c r="CG30" s="81" t="s">
        <v>484</v>
      </c>
      <c r="CH30" s="204">
        <v>6.4100000000000004E-2</v>
      </c>
      <c r="CI30" s="204">
        <v>4.3300000000000001E-4</v>
      </c>
      <c r="CJ30" s="81">
        <v>148.13</v>
      </c>
      <c r="CK30" s="81" t="s">
        <v>505</v>
      </c>
      <c r="CM30" s="81" t="s">
        <v>488</v>
      </c>
      <c r="CN30" s="204">
        <v>-4.93</v>
      </c>
      <c r="CO30" s="204">
        <v>2.1999999999999999E-2</v>
      </c>
      <c r="CP30" s="81">
        <v>-223.73</v>
      </c>
      <c r="CQ30" s="81" t="s">
        <v>509</v>
      </c>
      <c r="CR30" s="204">
        <v>2E-16</v>
      </c>
      <c r="CS30" s="81" t="s">
        <v>510</v>
      </c>
      <c r="CU30" s="212" t="s">
        <v>506</v>
      </c>
      <c r="CV30" s="81" t="s">
        <v>397</v>
      </c>
      <c r="CW30" s="204">
        <v>16300000</v>
      </c>
      <c r="CX30" s="204">
        <v>47.4</v>
      </c>
      <c r="CY30" s="81">
        <v>343884</v>
      </c>
      <c r="CZ30" s="81" t="s">
        <v>505</v>
      </c>
      <c r="DA30" s="81" t="s">
        <v>510</v>
      </c>
      <c r="DI30" s="204"/>
      <c r="DK30" s="81" t="s">
        <v>414</v>
      </c>
      <c r="DL30" s="288">
        <f t="shared" si="0"/>
        <v>14786316.9</v>
      </c>
      <c r="DM30" s="288">
        <f t="shared" si="1"/>
        <v>2810000</v>
      </c>
      <c r="DN30" s="288">
        <f t="shared" si="2"/>
        <v>6980000</v>
      </c>
      <c r="DP30" s="290" t="s">
        <v>506</v>
      </c>
      <c r="DQ30" s="290" t="s">
        <v>555</v>
      </c>
      <c r="DR30" s="291">
        <v>0.88800000000000001</v>
      </c>
      <c r="DS30" s="291">
        <v>7.79E-3</v>
      </c>
      <c r="DT30" s="290">
        <v>114.1</v>
      </c>
      <c r="DU30" s="290" t="s">
        <v>509</v>
      </c>
      <c r="DV30" s="291">
        <v>2E-16</v>
      </c>
      <c r="DW30" s="81" t="s">
        <v>510</v>
      </c>
      <c r="DX30" s="212" t="s">
        <v>568</v>
      </c>
      <c r="DY30" s="295" t="s">
        <v>398</v>
      </c>
      <c r="DZ30" s="292" t="s">
        <v>434</v>
      </c>
      <c r="EA30" s="293">
        <f t="shared" si="23"/>
        <v>28100000</v>
      </c>
      <c r="EB30" s="212" t="s">
        <v>392</v>
      </c>
    </row>
    <row r="31" spans="1:132" ht="15" customHeight="1" thickTop="1" thickBot="1" x14ac:dyDescent="0.3">
      <c r="K31" s="255" t="s">
        <v>618</v>
      </c>
      <c r="L31" s="256">
        <v>2</v>
      </c>
      <c r="M31" s="256" t="s">
        <v>610</v>
      </c>
      <c r="N31" s="252">
        <f>N18</f>
        <v>36.064797687389479</v>
      </c>
      <c r="O31" s="257"/>
      <c r="P31" s="30">
        <f t="shared" si="24"/>
        <v>1.8430034129692836</v>
      </c>
      <c r="Q31" s="30">
        <f t="shared" si="25"/>
        <v>66.467545225905539</v>
      </c>
      <c r="R31" s="30">
        <f t="shared" si="26"/>
        <v>6528449.6773712449</v>
      </c>
      <c r="S31" s="30">
        <f t="shared" si="27"/>
        <v>181020.00000000003</v>
      </c>
      <c r="T31" s="30">
        <f t="shared" si="28"/>
        <v>0</v>
      </c>
      <c r="W31" s="271"/>
      <c r="X31" s="272" t="s">
        <v>103</v>
      </c>
      <c r="Y31" s="272">
        <v>0.02</v>
      </c>
      <c r="Z31" s="272">
        <v>0.18</v>
      </c>
      <c r="AA31" s="272">
        <v>550</v>
      </c>
      <c r="AB31" s="272">
        <v>1880</v>
      </c>
      <c r="AC31" s="273">
        <f>Y31/Z31</f>
        <v>0.11111111111111112</v>
      </c>
      <c r="AD31" s="274">
        <f>Y31*AA31*AB31</f>
        <v>20680</v>
      </c>
      <c r="AE31" s="14" t="s">
        <v>104</v>
      </c>
      <c r="AF31" s="14"/>
      <c r="AG31" s="14"/>
      <c r="AL31" s="154" t="s">
        <v>389</v>
      </c>
      <c r="AM31" s="81" t="s">
        <v>390</v>
      </c>
      <c r="AN31" s="81" t="s">
        <v>414</v>
      </c>
      <c r="AO31" s="204">
        <f>T25+SUM(T17:T20)</f>
        <v>14786316.9</v>
      </c>
      <c r="AP31" s="81" t="s">
        <v>392</v>
      </c>
      <c r="AQ31" s="204">
        <v>2810000</v>
      </c>
      <c r="AU31" s="205" t="s">
        <v>389</v>
      </c>
      <c r="AV31" s="205" t="s">
        <v>390</v>
      </c>
      <c r="AW31" s="205" t="s">
        <v>414</v>
      </c>
      <c r="AX31" s="207" t="s">
        <v>434</v>
      </c>
      <c r="AY31" s="206">
        <f t="shared" si="3"/>
        <v>6980000</v>
      </c>
      <c r="AZ31" s="205" t="s">
        <v>392</v>
      </c>
      <c r="BP31" s="154" t="s">
        <v>389</v>
      </c>
      <c r="BQ31" s="81" t="s">
        <v>390</v>
      </c>
      <c r="BR31" s="81" t="s">
        <v>414</v>
      </c>
      <c r="BS31" s="204">
        <f t="shared" si="21"/>
        <v>2810000</v>
      </c>
      <c r="BT31" s="81" t="s">
        <v>392</v>
      </c>
      <c r="BU31" s="204">
        <v>2810000</v>
      </c>
      <c r="BY31" s="211">
        <f>CN17</f>
        <v>6980000</v>
      </c>
      <c r="BZ31" s="211"/>
      <c r="CA31" s="81" t="s">
        <v>120</v>
      </c>
      <c r="CB31" s="204">
        <v>274</v>
      </c>
      <c r="CC31" s="204">
        <v>1.37</v>
      </c>
      <c r="CG31" s="81" t="s">
        <v>485</v>
      </c>
      <c r="CH31" s="204">
        <v>5.4300000000000001E-2</v>
      </c>
      <c r="CI31" s="204">
        <v>4.44E-4</v>
      </c>
      <c r="CJ31" s="81">
        <v>122.4</v>
      </c>
      <c r="CK31" s="81" t="s">
        <v>505</v>
      </c>
      <c r="CM31" s="81" t="s">
        <v>489</v>
      </c>
      <c r="CN31" s="204">
        <v>-4.84</v>
      </c>
      <c r="CO31" s="204">
        <v>2.86E-2</v>
      </c>
      <c r="CP31" s="81">
        <v>-169.23</v>
      </c>
      <c r="CQ31" s="81" t="s">
        <v>509</v>
      </c>
      <c r="CR31" s="204">
        <v>2E-16</v>
      </c>
      <c r="CS31" s="81" t="s">
        <v>510</v>
      </c>
      <c r="CU31" s="212" t="s">
        <v>506</v>
      </c>
      <c r="CV31" s="81" t="s">
        <v>398</v>
      </c>
      <c r="CW31" s="204">
        <v>26200000</v>
      </c>
      <c r="CX31" s="204">
        <v>77.599999999999994</v>
      </c>
      <c r="CY31" s="81">
        <v>337769</v>
      </c>
      <c r="CZ31" s="81" t="s">
        <v>505</v>
      </c>
      <c r="DA31" s="81" t="s">
        <v>510</v>
      </c>
      <c r="DE31" s="81" t="s">
        <v>389</v>
      </c>
      <c r="DF31" s="81" t="s">
        <v>390</v>
      </c>
      <c r="DG31" s="81" t="str">
        <f t="shared" si="13"/>
        <v>f1D</v>
      </c>
      <c r="DH31" s="81" t="s">
        <v>434</v>
      </c>
      <c r="DI31" s="204">
        <f t="shared" si="14"/>
        <v>0.06</v>
      </c>
      <c r="DJ31" s="81" t="s">
        <v>392</v>
      </c>
      <c r="DK31" s="81" t="s">
        <v>415</v>
      </c>
      <c r="DL31" s="288">
        <f t="shared" si="0"/>
        <v>15219117.000000004</v>
      </c>
      <c r="DM31" s="288">
        <f t="shared" si="1"/>
        <v>5640000</v>
      </c>
      <c r="DN31" s="288">
        <f t="shared" si="2"/>
        <v>11000000</v>
      </c>
      <c r="DP31" s="290" t="s">
        <v>506</v>
      </c>
      <c r="DQ31" s="290" t="s">
        <v>556</v>
      </c>
      <c r="DR31" s="291">
        <v>0.73599999999999999</v>
      </c>
      <c r="DS31" s="291">
        <v>1.46E-2</v>
      </c>
      <c r="DT31" s="290">
        <v>50.47</v>
      </c>
      <c r="DU31" s="290" t="s">
        <v>509</v>
      </c>
      <c r="DV31" s="291">
        <v>2E-16</v>
      </c>
      <c r="DW31" s="81" t="s">
        <v>510</v>
      </c>
      <c r="DZ31" s="292"/>
    </row>
    <row r="32" spans="1:132" ht="15" customHeight="1" thickTop="1" thickBot="1" x14ac:dyDescent="0.3">
      <c r="K32" s="81"/>
      <c r="L32" s="81"/>
      <c r="M32" s="81"/>
      <c r="P32" s="69" t="s">
        <v>106</v>
      </c>
      <c r="Q32" s="70">
        <f>SUM(Q6:Q9)+SUM(Q10:Q13)+0.5*Q14+Q16+SUM(Q17:Q24)+Q25</f>
        <v>132.39574824031519</v>
      </c>
      <c r="R32" s="69" t="s">
        <v>107</v>
      </c>
      <c r="W32" s="220"/>
      <c r="X32" s="221" t="s">
        <v>129</v>
      </c>
      <c r="Y32" s="221">
        <v>0.08</v>
      </c>
      <c r="Z32" s="221">
        <v>0.6</v>
      </c>
      <c r="AA32" s="221">
        <v>1100</v>
      </c>
      <c r="AB32" s="221">
        <v>860</v>
      </c>
      <c r="AC32" s="268">
        <f>Y32/Z32</f>
        <v>0.13333333333333333</v>
      </c>
      <c r="AD32" s="222">
        <f>Y32*AA32*AB32</f>
        <v>75680</v>
      </c>
      <c r="AE32" s="14"/>
      <c r="AF32" s="14"/>
      <c r="AG32" s="14"/>
      <c r="AL32" s="154" t="s">
        <v>389</v>
      </c>
      <c r="AM32" s="81" t="s">
        <v>390</v>
      </c>
      <c r="AN32" s="81" t="s">
        <v>415</v>
      </c>
      <c r="AO32" s="204">
        <f>SUM(T28)</f>
        <v>15219117.000000004</v>
      </c>
      <c r="AP32" s="81" t="s">
        <v>392</v>
      </c>
      <c r="AQ32" s="204">
        <v>5640000</v>
      </c>
      <c r="AU32" s="205" t="s">
        <v>389</v>
      </c>
      <c r="AV32" s="205" t="s">
        <v>390</v>
      </c>
      <c r="AW32" s="205" t="s">
        <v>415</v>
      </c>
      <c r="AX32" s="207" t="s">
        <v>434</v>
      </c>
      <c r="AY32" s="206">
        <f t="shared" si="3"/>
        <v>11000000</v>
      </c>
      <c r="AZ32" s="205" t="s">
        <v>392</v>
      </c>
      <c r="BI32" s="81" t="s">
        <v>281</v>
      </c>
      <c r="BJ32" s="81">
        <f>BJ4+BJ5</f>
        <v>75.991759839936151</v>
      </c>
      <c r="BP32" s="154" t="s">
        <v>389</v>
      </c>
      <c r="BQ32" s="81" t="s">
        <v>390</v>
      </c>
      <c r="BR32" s="81" t="s">
        <v>415</v>
      </c>
      <c r="BS32" s="204">
        <f t="shared" si="21"/>
        <v>5640000</v>
      </c>
      <c r="BT32" s="81" t="s">
        <v>392</v>
      </c>
      <c r="BU32" s="204">
        <v>5640000</v>
      </c>
      <c r="BY32" s="211">
        <f>CN18</f>
        <v>11000000</v>
      </c>
      <c r="BZ32" s="211"/>
      <c r="CA32" s="81" t="s">
        <v>488</v>
      </c>
      <c r="CB32" s="204">
        <v>-5.75</v>
      </c>
      <c r="CC32" s="204">
        <v>2.35E-2</v>
      </c>
      <c r="CG32" s="81" t="s">
        <v>486</v>
      </c>
      <c r="CH32" s="204">
        <v>259</v>
      </c>
      <c r="CI32" s="204">
        <v>2.63</v>
      </c>
      <c r="CJ32" s="81">
        <v>98.59</v>
      </c>
      <c r="CK32" s="81" t="s">
        <v>505</v>
      </c>
      <c r="CU32" s="212" t="s">
        <v>506</v>
      </c>
      <c r="CV32" s="81" t="s">
        <v>415</v>
      </c>
      <c r="CW32" s="204">
        <v>5730000</v>
      </c>
      <c r="CX32" s="204">
        <v>26.3</v>
      </c>
      <c r="CY32" s="81">
        <v>218218</v>
      </c>
      <c r="CZ32" s="81" t="s">
        <v>505</v>
      </c>
      <c r="DA32" s="81" t="s">
        <v>510</v>
      </c>
      <c r="DE32" s="81" t="s">
        <v>389</v>
      </c>
      <c r="DF32" s="81" t="s">
        <v>390</v>
      </c>
      <c r="DG32" s="81" t="str">
        <f t="shared" si="13"/>
        <v>f1N</v>
      </c>
      <c r="DH32" s="81" t="s">
        <v>434</v>
      </c>
      <c r="DI32" s="204">
        <f t="shared" si="14"/>
        <v>0.16</v>
      </c>
      <c r="DJ32" s="81" t="s">
        <v>392</v>
      </c>
      <c r="DK32" s="81" t="s">
        <v>416</v>
      </c>
      <c r="DL32" s="286">
        <f t="shared" si="0"/>
        <v>0.15087387547806697</v>
      </c>
      <c r="DM32" s="286">
        <f t="shared" si="1"/>
        <v>0.33200000000000002</v>
      </c>
      <c r="DN32" s="286">
        <f t="shared" si="2"/>
        <v>0.19700000000000001</v>
      </c>
      <c r="DP32" s="290" t="s">
        <v>506</v>
      </c>
      <c r="DQ32" s="290" t="s">
        <v>298</v>
      </c>
      <c r="DR32" s="291">
        <v>993000000</v>
      </c>
      <c r="DS32" s="291">
        <v>31400000</v>
      </c>
      <c r="DT32" s="290">
        <v>31.6</v>
      </c>
      <c r="DU32" s="290" t="s">
        <v>509</v>
      </c>
      <c r="DV32" s="291">
        <v>2E-16</v>
      </c>
      <c r="DW32" s="81" t="s">
        <v>510</v>
      </c>
      <c r="DX32" s="212" t="s">
        <v>568</v>
      </c>
      <c r="DY32" s="295" t="s">
        <v>589</v>
      </c>
      <c r="DZ32" s="292" t="s">
        <v>434</v>
      </c>
      <c r="EA32" s="293">
        <f>DR47</f>
        <v>262</v>
      </c>
      <c r="EB32" s="212" t="s">
        <v>392</v>
      </c>
    </row>
    <row r="33" spans="1:132" ht="15" customHeight="1" thickTop="1" thickBot="1" x14ac:dyDescent="0.3">
      <c r="A33" s="72" t="s">
        <v>109</v>
      </c>
      <c r="B33" s="72" t="s">
        <v>110</v>
      </c>
      <c r="C33" s="72"/>
      <c r="D33" s="72" t="s">
        <v>111</v>
      </c>
      <c r="E33" s="344" t="s">
        <v>112</v>
      </c>
      <c r="F33" s="345"/>
      <c r="G33" s="72" t="s">
        <v>113</v>
      </c>
      <c r="K33" s="81"/>
      <c r="L33" s="81"/>
      <c r="M33" s="81"/>
      <c r="P33" s="81"/>
      <c r="Q33" s="81"/>
      <c r="W33" s="220"/>
      <c r="X33" s="221" t="s">
        <v>131</v>
      </c>
      <c r="Y33" s="221">
        <v>0.2</v>
      </c>
      <c r="Z33" s="221">
        <v>1.4</v>
      </c>
      <c r="AA33" s="221">
        <v>2100</v>
      </c>
      <c r="AB33" s="221">
        <v>840</v>
      </c>
      <c r="AC33" s="268">
        <f>Y33/Z33</f>
        <v>0.14285714285714288</v>
      </c>
      <c r="AD33" s="222">
        <f>Y33*AA33*AB33</f>
        <v>352800</v>
      </c>
      <c r="AE33" s="14"/>
      <c r="AF33" s="14"/>
      <c r="AG33" s="14"/>
      <c r="AL33" s="154" t="s">
        <v>389</v>
      </c>
      <c r="AM33" s="81" t="s">
        <v>390</v>
      </c>
      <c r="AN33" s="81" t="s">
        <v>416</v>
      </c>
      <c r="AO33" s="81">
        <f>AO26*0.3</f>
        <v>0.15087387547806697</v>
      </c>
      <c r="AP33" s="81" t="s">
        <v>392</v>
      </c>
      <c r="AQ33" s="204">
        <v>0.33200000000000002</v>
      </c>
      <c r="AU33" s="205" t="s">
        <v>389</v>
      </c>
      <c r="AV33" s="205" t="s">
        <v>390</v>
      </c>
      <c r="AW33" s="205" t="s">
        <v>416</v>
      </c>
      <c r="AX33" s="207" t="s">
        <v>434</v>
      </c>
      <c r="AY33" s="206">
        <f t="shared" si="3"/>
        <v>0.19700000000000001</v>
      </c>
      <c r="AZ33" s="205" t="s">
        <v>392</v>
      </c>
      <c r="BI33" s="81" t="s">
        <v>282</v>
      </c>
      <c r="BJ33" s="3">
        <f>BJ6+BJ7</f>
        <v>121.15</v>
      </c>
      <c r="BP33" s="154" t="s">
        <v>389</v>
      </c>
      <c r="BQ33" s="81" t="s">
        <v>390</v>
      </c>
      <c r="BR33" s="81" t="s">
        <v>416</v>
      </c>
      <c r="BS33" s="204">
        <f t="shared" si="21"/>
        <v>0.33200000000000002</v>
      </c>
      <c r="BT33" s="81" t="s">
        <v>392</v>
      </c>
      <c r="BU33" s="204">
        <v>0.33200000000000002</v>
      </c>
      <c r="BY33" s="211">
        <f>CN23</f>
        <v>0.19700000000000001</v>
      </c>
      <c r="BZ33" s="211"/>
      <c r="CA33" s="81" t="s">
        <v>489</v>
      </c>
      <c r="CB33" s="204">
        <v>-6.06</v>
      </c>
      <c r="CC33" s="204">
        <v>2.58E-2</v>
      </c>
      <c r="CG33" s="81" t="s">
        <v>487</v>
      </c>
      <c r="CH33" s="204">
        <v>197</v>
      </c>
      <c r="CI33" s="204">
        <v>1.44</v>
      </c>
      <c r="CJ33" s="81">
        <v>136.51</v>
      </c>
      <c r="CK33" s="81" t="s">
        <v>505</v>
      </c>
      <c r="CM33" s="81" t="s">
        <v>490</v>
      </c>
      <c r="CN33" s="204">
        <v>-5.83</v>
      </c>
      <c r="CO33" s="204">
        <v>2.98E-2</v>
      </c>
      <c r="CP33" s="81">
        <v>-195.34</v>
      </c>
      <c r="CQ33" s="81" t="s">
        <v>509</v>
      </c>
      <c r="CR33" s="204">
        <v>2E-16</v>
      </c>
      <c r="CS33" s="81" t="s">
        <v>510</v>
      </c>
      <c r="CU33" s="212" t="s">
        <v>506</v>
      </c>
      <c r="CV33" s="81" t="s">
        <v>414</v>
      </c>
      <c r="CW33" s="204">
        <v>5800000</v>
      </c>
      <c r="CX33" s="204">
        <v>19.399999999999999</v>
      </c>
      <c r="CY33" s="81">
        <v>298526</v>
      </c>
      <c r="CZ33" s="81" t="s">
        <v>505</v>
      </c>
      <c r="DA33" s="81" t="s">
        <v>510</v>
      </c>
      <c r="DE33" s="81" t="s">
        <v>389</v>
      </c>
      <c r="DF33" s="81" t="s">
        <v>390</v>
      </c>
      <c r="DG33" s="81" t="str">
        <f t="shared" si="13"/>
        <v>f2N</v>
      </c>
      <c r="DH33" s="81" t="s">
        <v>434</v>
      </c>
      <c r="DI33" s="204">
        <f t="shared" si="14"/>
        <v>5.2999999999999999E-2</v>
      </c>
      <c r="DJ33" s="81" t="s">
        <v>392</v>
      </c>
      <c r="DK33" s="81" t="s">
        <v>417</v>
      </c>
      <c r="DL33" s="286">
        <f t="shared" si="0"/>
        <v>6.2673420249910961E-2</v>
      </c>
      <c r="DM33" s="286">
        <f t="shared" si="1"/>
        <v>6.88E-2</v>
      </c>
      <c r="DN33" s="286">
        <f t="shared" si="2"/>
        <v>4.9399999999999999E-2</v>
      </c>
      <c r="DP33" s="290" t="s">
        <v>506</v>
      </c>
      <c r="DQ33" s="290" t="s">
        <v>294</v>
      </c>
      <c r="DR33" s="291">
        <v>14200000</v>
      </c>
      <c r="DS33" s="291">
        <v>226000</v>
      </c>
      <c r="DT33" s="290">
        <v>62.67</v>
      </c>
      <c r="DU33" s="290" t="s">
        <v>509</v>
      </c>
      <c r="DV33" s="291">
        <v>2E-16</v>
      </c>
      <c r="DW33" s="81" t="s">
        <v>510</v>
      </c>
      <c r="DX33" s="212" t="s">
        <v>568</v>
      </c>
      <c r="DY33" s="295" t="s">
        <v>405</v>
      </c>
      <c r="DZ33" s="292" t="s">
        <v>434</v>
      </c>
      <c r="EA33" s="293">
        <f t="shared" ref="EA33:EA35" si="29">DR48</f>
        <v>204</v>
      </c>
      <c r="EB33" s="212" t="s">
        <v>392</v>
      </c>
    </row>
    <row r="34" spans="1:132" ht="15" customHeight="1" thickTop="1" thickBot="1" x14ac:dyDescent="0.3">
      <c r="A34" s="73">
        <v>1</v>
      </c>
      <c r="B34" s="74">
        <f>B7*3.5</f>
        <v>361.90000000000003</v>
      </c>
      <c r="C34" s="73"/>
      <c r="D34" s="73" t="s">
        <v>42</v>
      </c>
      <c r="E34" s="195">
        <v>21</v>
      </c>
      <c r="F34" s="195"/>
      <c r="G34" s="76">
        <f>VLOOKUP(D34,A6:B22,2,0)</f>
        <v>103.4</v>
      </c>
      <c r="K34" s="81"/>
      <c r="L34" s="81"/>
      <c r="M34" s="81"/>
      <c r="P34" s="81">
        <f>25+13+18</f>
        <v>56</v>
      </c>
      <c r="Q34" s="81"/>
      <c r="W34" s="237"/>
      <c r="X34" s="219" t="s">
        <v>80</v>
      </c>
      <c r="Y34" s="219">
        <v>0.02</v>
      </c>
      <c r="Z34" s="219">
        <v>0.6</v>
      </c>
      <c r="AA34" s="219">
        <v>975</v>
      </c>
      <c r="AB34" s="219">
        <v>840</v>
      </c>
      <c r="AC34" s="269">
        <f>Y34/Z34</f>
        <v>3.3333333333333333E-2</v>
      </c>
      <c r="AD34" s="242">
        <f>Y34*AA34*AB34</f>
        <v>16380</v>
      </c>
      <c r="AE34" s="14"/>
      <c r="AF34" s="14"/>
      <c r="AG34" s="14"/>
      <c r="AL34" s="154" t="s">
        <v>389</v>
      </c>
      <c r="AM34" s="81" t="s">
        <v>390</v>
      </c>
      <c r="AN34" s="81" t="s">
        <v>417</v>
      </c>
      <c r="AO34" s="81">
        <f>AO27*0.3</f>
        <v>6.2673420249910961E-2</v>
      </c>
      <c r="AP34" s="81" t="s">
        <v>392</v>
      </c>
      <c r="AQ34" s="204">
        <v>6.88E-2</v>
      </c>
      <c r="AU34" s="205" t="s">
        <v>389</v>
      </c>
      <c r="AV34" s="205" t="s">
        <v>390</v>
      </c>
      <c r="AW34" s="205" t="s">
        <v>417</v>
      </c>
      <c r="AX34" s="207" t="s">
        <v>434</v>
      </c>
      <c r="AY34" s="206">
        <f t="shared" si="3"/>
        <v>4.9399999999999999E-2</v>
      </c>
      <c r="AZ34" s="205" t="s">
        <v>392</v>
      </c>
      <c r="BI34" s="81" t="s">
        <v>291</v>
      </c>
      <c r="BJ34" s="204">
        <f>BJ10+BJ9</f>
        <v>38861799.000000007</v>
      </c>
      <c r="BP34" s="154" t="s">
        <v>389</v>
      </c>
      <c r="BQ34" s="81" t="s">
        <v>390</v>
      </c>
      <c r="BR34" s="81" t="s">
        <v>417</v>
      </c>
      <c r="BS34" s="204">
        <f t="shared" si="21"/>
        <v>6.88E-2</v>
      </c>
      <c r="BT34" s="81" t="s">
        <v>392</v>
      </c>
      <c r="BU34" s="204">
        <v>6.88E-2</v>
      </c>
      <c r="BY34" s="211">
        <f>CN24</f>
        <v>4.9399999999999999E-2</v>
      </c>
      <c r="BZ34" s="211"/>
      <c r="CA34" s="81" t="s">
        <v>490</v>
      </c>
      <c r="CB34" s="204">
        <v>-6.94</v>
      </c>
      <c r="CC34" s="204">
        <v>3.6200000000000003E-2</v>
      </c>
      <c r="CG34" s="81" t="s">
        <v>285</v>
      </c>
      <c r="CH34" s="204">
        <v>487</v>
      </c>
      <c r="CI34" s="204">
        <v>2.62</v>
      </c>
      <c r="CJ34" s="81">
        <v>186.01</v>
      </c>
      <c r="CK34" s="81" t="s">
        <v>505</v>
      </c>
      <c r="CM34" s="81" t="s">
        <v>491</v>
      </c>
      <c r="CN34" s="204">
        <v>-5.45</v>
      </c>
      <c r="CO34" s="204">
        <v>2.8299999999999999E-2</v>
      </c>
      <c r="CP34" s="81">
        <v>-192.79</v>
      </c>
      <c r="CQ34" s="81" t="s">
        <v>509</v>
      </c>
      <c r="CR34" s="204">
        <v>2E-16</v>
      </c>
      <c r="CS34" s="81" t="s">
        <v>510</v>
      </c>
      <c r="CU34" s="212" t="s">
        <v>506</v>
      </c>
      <c r="CV34" s="81" t="s">
        <v>476</v>
      </c>
      <c r="CW34" s="204">
        <v>-10</v>
      </c>
      <c r="CX34" s="204">
        <v>2.1000000000000001E-4</v>
      </c>
      <c r="CY34" s="81">
        <v>-47558</v>
      </c>
      <c r="CZ34" s="81" t="s">
        <v>505</v>
      </c>
      <c r="DA34" s="81" t="s">
        <v>510</v>
      </c>
      <c r="DE34" s="81" t="s">
        <v>389</v>
      </c>
      <c r="DF34" s="81" t="s">
        <v>390</v>
      </c>
      <c r="DG34" s="81" t="str">
        <f t="shared" si="13"/>
        <v>f3D</v>
      </c>
      <c r="DH34" s="81" t="s">
        <v>434</v>
      </c>
      <c r="DI34" s="204">
        <f t="shared" si="14"/>
        <v>0.65</v>
      </c>
      <c r="DJ34" s="81" t="s">
        <v>392</v>
      </c>
      <c r="DK34" s="81" t="s">
        <v>418</v>
      </c>
      <c r="DL34" s="286">
        <f t="shared" si="0"/>
        <v>0.71386007153585307</v>
      </c>
      <c r="DM34" s="286">
        <f t="shared" si="1"/>
        <v>0.46100000000000002</v>
      </c>
      <c r="DN34" s="286">
        <f t="shared" si="2"/>
        <v>0.59799999999999998</v>
      </c>
      <c r="DP34" s="290" t="s">
        <v>506</v>
      </c>
      <c r="DQ34" s="290" t="s">
        <v>475</v>
      </c>
      <c r="DR34" s="291">
        <v>3420000</v>
      </c>
      <c r="DS34" s="291">
        <v>44500</v>
      </c>
      <c r="DT34" s="290">
        <v>76.92</v>
      </c>
      <c r="DU34" s="290" t="s">
        <v>509</v>
      </c>
      <c r="DV34" s="291">
        <v>2E-16</v>
      </c>
      <c r="DW34" s="81" t="s">
        <v>510</v>
      </c>
      <c r="DX34" s="212" t="s">
        <v>568</v>
      </c>
      <c r="DY34" s="296" t="s">
        <v>406</v>
      </c>
      <c r="DZ34" s="292" t="s">
        <v>434</v>
      </c>
      <c r="EA34" s="293">
        <f t="shared" si="29"/>
        <v>497</v>
      </c>
      <c r="EB34" s="212" t="s">
        <v>392</v>
      </c>
    </row>
    <row r="35" spans="1:132" ht="15" customHeight="1" thickTop="1" thickBot="1" x14ac:dyDescent="0.3">
      <c r="A35" s="73">
        <v>2</v>
      </c>
      <c r="B35" s="74">
        <f>B4-B34</f>
        <v>253.99999999999994</v>
      </c>
      <c r="C35" s="73"/>
      <c r="D35" s="73" t="s">
        <v>116</v>
      </c>
      <c r="E35" s="77">
        <v>18</v>
      </c>
      <c r="F35" s="77"/>
      <c r="G35" s="76">
        <f>VLOOKUP(D35,A7:B23,2,0)</f>
        <v>120.6</v>
      </c>
      <c r="K35" s="81"/>
      <c r="L35" s="81"/>
      <c r="M35" s="81" t="s">
        <v>114</v>
      </c>
      <c r="N35" s="3">
        <f>SUM(Q6:Q9,Q15,Q17:Q20,Q25)</f>
        <v>49.747437263036232</v>
      </c>
      <c r="O35" s="3"/>
      <c r="P35" s="81">
        <f>P34/5</f>
        <v>11.2</v>
      </c>
      <c r="Q35" s="81"/>
      <c r="W35" s="221"/>
      <c r="X35" s="221"/>
      <c r="Y35" s="221"/>
      <c r="Z35" s="221"/>
      <c r="AA35" s="221"/>
      <c r="AB35" s="221"/>
      <c r="AC35" s="268"/>
      <c r="AD35" s="221"/>
      <c r="AE35" s="14"/>
      <c r="AF35" s="14"/>
      <c r="AG35" s="14"/>
      <c r="AL35" s="154" t="s">
        <v>389</v>
      </c>
      <c r="AM35" s="81" t="s">
        <v>390</v>
      </c>
      <c r="AN35" s="81" t="s">
        <v>418</v>
      </c>
      <c r="AO35" s="81">
        <f>AO28*0.3+0.7</f>
        <v>0.71386007153585307</v>
      </c>
      <c r="AP35" s="81" t="s">
        <v>392</v>
      </c>
      <c r="AQ35" s="204">
        <v>0.46100000000000002</v>
      </c>
      <c r="AU35" s="205" t="s">
        <v>389</v>
      </c>
      <c r="AV35" s="205" t="s">
        <v>390</v>
      </c>
      <c r="AW35" s="205" t="s">
        <v>418</v>
      </c>
      <c r="AX35" s="207" t="s">
        <v>434</v>
      </c>
      <c r="AY35" s="206">
        <f t="shared" si="3"/>
        <v>0.59799999999999998</v>
      </c>
      <c r="AZ35" s="205" t="s">
        <v>392</v>
      </c>
      <c r="BI35" s="81" t="s">
        <v>285</v>
      </c>
      <c r="BJ35" s="81">
        <f>BJ15+BJ14</f>
        <v>994.57234726688114</v>
      </c>
      <c r="BP35" s="154" t="s">
        <v>389</v>
      </c>
      <c r="BQ35" s="81" t="s">
        <v>390</v>
      </c>
      <c r="BR35" s="81" t="s">
        <v>418</v>
      </c>
      <c r="BS35" s="204">
        <f t="shared" si="21"/>
        <v>0.46100000000000002</v>
      </c>
      <c r="BT35" s="81" t="s">
        <v>392</v>
      </c>
      <c r="BU35" s="204">
        <v>0.46100000000000002</v>
      </c>
      <c r="BY35" s="211">
        <f>CN25</f>
        <v>0.59799999999999998</v>
      </c>
      <c r="BZ35" s="211"/>
      <c r="CA35" s="81" t="s">
        <v>491</v>
      </c>
      <c r="CB35" s="204">
        <v>-6</v>
      </c>
      <c r="CC35" s="204">
        <v>2.3599999999999999E-2</v>
      </c>
      <c r="CG35" s="81" t="s">
        <v>120</v>
      </c>
      <c r="CH35" s="204">
        <v>274</v>
      </c>
      <c r="CI35" s="204">
        <v>1.37</v>
      </c>
      <c r="CJ35" s="81">
        <v>200.04</v>
      </c>
      <c r="CK35" s="81" t="s">
        <v>505</v>
      </c>
      <c r="CM35" s="81" t="s">
        <v>493</v>
      </c>
      <c r="CN35" s="204">
        <v>3.5699999999999998E-3</v>
      </c>
      <c r="CO35" s="204">
        <v>1.0900000000000001E-4</v>
      </c>
      <c r="CP35" s="81">
        <v>32.700000000000003</v>
      </c>
      <c r="CQ35" s="81" t="s">
        <v>509</v>
      </c>
      <c r="CR35" s="204">
        <v>2E-16</v>
      </c>
      <c r="CS35" s="81" t="s">
        <v>510</v>
      </c>
      <c r="CU35" s="212" t="s">
        <v>506</v>
      </c>
      <c r="CV35" s="81" t="s">
        <v>477</v>
      </c>
      <c r="CW35" s="204">
        <v>-10</v>
      </c>
      <c r="CX35" s="204">
        <v>2.1000000000000001E-4</v>
      </c>
      <c r="CY35" s="81">
        <v>-47558</v>
      </c>
      <c r="CZ35" s="81" t="s">
        <v>505</v>
      </c>
      <c r="DA35" s="81" t="s">
        <v>510</v>
      </c>
      <c r="DE35" s="81" t="s">
        <v>389</v>
      </c>
      <c r="DF35" s="81" t="s">
        <v>390</v>
      </c>
      <c r="DG35" s="81" t="str">
        <f t="shared" si="13"/>
        <v>f3N</v>
      </c>
      <c r="DH35" s="81" t="s">
        <v>434</v>
      </c>
      <c r="DI35" s="204">
        <f t="shared" si="14"/>
        <v>0.64500000000000002</v>
      </c>
      <c r="DJ35" s="81" t="s">
        <v>392</v>
      </c>
      <c r="DL35" s="287">
        <f t="shared" si="0"/>
        <v>0</v>
      </c>
      <c r="DM35" s="287">
        <f t="shared" si="1"/>
        <v>0</v>
      </c>
      <c r="DN35" s="287">
        <f t="shared" si="2"/>
        <v>0</v>
      </c>
      <c r="DP35" s="290" t="s">
        <v>506</v>
      </c>
      <c r="DQ35" s="290" t="s">
        <v>291</v>
      </c>
      <c r="DR35" s="291">
        <v>22400000</v>
      </c>
      <c r="DS35" s="291">
        <v>673000</v>
      </c>
      <c r="DT35" s="290">
        <v>33.29</v>
      </c>
      <c r="DU35" s="290" t="s">
        <v>509</v>
      </c>
      <c r="DV35" s="291">
        <v>2E-16</v>
      </c>
      <c r="DW35" s="81" t="s">
        <v>510</v>
      </c>
      <c r="DX35" s="212" t="s">
        <v>568</v>
      </c>
      <c r="DY35" s="296" t="s">
        <v>407</v>
      </c>
      <c r="DZ35" s="292" t="s">
        <v>434</v>
      </c>
      <c r="EA35" s="293">
        <f t="shared" si="29"/>
        <v>274</v>
      </c>
      <c r="EB35" s="212" t="s">
        <v>392</v>
      </c>
    </row>
    <row r="36" spans="1:132" ht="15" customHeight="1" thickTop="1" thickBot="1" x14ac:dyDescent="0.3">
      <c r="A36" s="73">
        <v>3</v>
      </c>
      <c r="B36" s="74">
        <f>G36*2</f>
        <v>0</v>
      </c>
      <c r="C36" s="73"/>
      <c r="D36" s="73" t="s">
        <v>118</v>
      </c>
      <c r="E36" s="346" t="s">
        <v>119</v>
      </c>
      <c r="F36" s="340"/>
      <c r="G36" s="76">
        <f>B17</f>
        <v>0</v>
      </c>
      <c r="K36" s="81"/>
      <c r="L36" s="81"/>
      <c r="M36" s="81" t="s">
        <v>117</v>
      </c>
      <c r="N36" s="3">
        <f>SUM(Q10:Q13,Q21:Q24)</f>
        <v>37.510000000000005</v>
      </c>
      <c r="P36" s="81"/>
      <c r="Q36" s="81"/>
      <c r="W36" s="258"/>
      <c r="X36" s="258"/>
      <c r="Y36" s="259"/>
      <c r="Z36" s="259"/>
      <c r="AA36" s="259"/>
      <c r="AB36" s="258"/>
      <c r="AC36" s="258"/>
      <c r="AD36" s="258"/>
      <c r="AE36" s="14"/>
      <c r="AF36" s="14"/>
      <c r="AG36" s="14"/>
      <c r="AP36" s="81" t="s">
        <v>392</v>
      </c>
      <c r="AU36" s="205"/>
      <c r="AV36" s="205"/>
      <c r="AW36" s="205"/>
      <c r="AX36" s="207"/>
      <c r="AZ36" s="205"/>
      <c r="BI36" s="81" t="s">
        <v>457</v>
      </c>
      <c r="BJ36" s="3">
        <f>BJ32+BJ33</f>
        <v>197.14175983993616</v>
      </c>
      <c r="BS36" s="204"/>
      <c r="BT36" s="81" t="s">
        <v>392</v>
      </c>
      <c r="BY36" s="211"/>
      <c r="BZ36" s="211"/>
      <c r="CA36" s="81" t="s">
        <v>492</v>
      </c>
      <c r="CB36" s="204">
        <v>-6.6</v>
      </c>
      <c r="CC36" s="204">
        <v>2.63E-2</v>
      </c>
      <c r="CG36" s="81" t="s">
        <v>488</v>
      </c>
      <c r="CH36" s="204">
        <v>-5.75</v>
      </c>
      <c r="CI36" s="204">
        <v>2.35E-2</v>
      </c>
      <c r="CJ36" s="81">
        <v>-244.53</v>
      </c>
      <c r="CK36" s="81" t="s">
        <v>505</v>
      </c>
      <c r="CM36" s="81" t="s">
        <v>494</v>
      </c>
      <c r="CN36" s="204">
        <v>186</v>
      </c>
      <c r="CO36" s="204">
        <v>2.46</v>
      </c>
      <c r="CP36" s="81">
        <v>75.599999999999994</v>
      </c>
      <c r="CQ36" s="81" t="s">
        <v>509</v>
      </c>
      <c r="CR36" s="204">
        <v>2E-16</v>
      </c>
      <c r="CS36" s="81" t="s">
        <v>510</v>
      </c>
      <c r="CU36" s="212" t="s">
        <v>506</v>
      </c>
      <c r="CV36" s="81" t="s">
        <v>528</v>
      </c>
      <c r="CW36" s="204">
        <v>-10</v>
      </c>
      <c r="CX36" s="204">
        <v>2.1000000000000001E-4</v>
      </c>
      <c r="CY36" s="81">
        <v>-47558</v>
      </c>
      <c r="CZ36" s="81" t="s">
        <v>505</v>
      </c>
      <c r="DA36" s="81" t="s">
        <v>510</v>
      </c>
      <c r="DE36" s="81" t="s">
        <v>389</v>
      </c>
      <c r="DF36" s="81" t="s">
        <v>390</v>
      </c>
      <c r="DG36" s="81" t="str">
        <f t="shared" si="13"/>
        <v>f5D</v>
      </c>
      <c r="DH36" s="81" t="s">
        <v>434</v>
      </c>
      <c r="DI36" s="204">
        <f t="shared" si="14"/>
        <v>7.0000000000000007E-2</v>
      </c>
      <c r="DJ36" s="81" t="s">
        <v>392</v>
      </c>
      <c r="DK36" s="81" t="s">
        <v>419</v>
      </c>
      <c r="DL36" s="289">
        <f t="shared" si="0"/>
        <v>364.59022150696126</v>
      </c>
      <c r="DM36" s="289">
        <f t="shared" si="1"/>
        <v>467</v>
      </c>
      <c r="DN36" s="289">
        <f t="shared" si="2"/>
        <v>194</v>
      </c>
      <c r="DP36" s="290" t="s">
        <v>506</v>
      </c>
      <c r="DQ36" s="290" t="s">
        <v>293</v>
      </c>
      <c r="DR36" s="291">
        <v>28100000</v>
      </c>
      <c r="DS36" s="291">
        <v>259000</v>
      </c>
      <c r="DT36" s="290">
        <v>108.17</v>
      </c>
      <c r="DU36" s="290" t="s">
        <v>509</v>
      </c>
      <c r="DV36" s="291">
        <v>2E-16</v>
      </c>
      <c r="DW36" s="81" t="s">
        <v>510</v>
      </c>
      <c r="DX36" s="212" t="s">
        <v>568</v>
      </c>
      <c r="DY36" s="297" t="s">
        <v>409</v>
      </c>
      <c r="DZ36" s="292" t="s">
        <v>434</v>
      </c>
      <c r="EA36" s="293">
        <f>DR59</f>
        <v>58.9</v>
      </c>
      <c r="EB36" s="212" t="s">
        <v>392</v>
      </c>
    </row>
    <row r="37" spans="1:132" ht="15" customHeight="1" thickTop="1" thickBot="1" x14ac:dyDescent="0.3">
      <c r="K37" s="81"/>
      <c r="L37" s="81"/>
      <c r="M37" s="81" t="s">
        <v>120</v>
      </c>
      <c r="N37" s="3">
        <f>'Verwarming Tabula'!B60</f>
        <v>138.03320000000002</v>
      </c>
      <c r="P37" s="81"/>
      <c r="Q37" s="81"/>
      <c r="W37" s="260" t="s">
        <v>115</v>
      </c>
      <c r="X37" s="261"/>
      <c r="Y37" s="262" t="s">
        <v>21</v>
      </c>
      <c r="Z37" s="275">
        <v>1.1000000000000001</v>
      </c>
      <c r="AA37" s="261" t="s">
        <v>5</v>
      </c>
      <c r="AB37" s="261"/>
      <c r="AC37" s="261" t="s">
        <v>22</v>
      </c>
      <c r="AD37" s="264">
        <f>SUM(AD38:AD39)</f>
        <v>0</v>
      </c>
      <c r="AE37" s="14" t="s">
        <v>23</v>
      </c>
      <c r="AF37" s="14">
        <f>SUM(AD39:AD40)</f>
        <v>0</v>
      </c>
      <c r="AG37" s="14"/>
      <c r="AL37" s="154" t="s">
        <v>389</v>
      </c>
      <c r="AM37" s="81" t="s">
        <v>390</v>
      </c>
      <c r="AN37" s="81" t="s">
        <v>419</v>
      </c>
      <c r="AO37" s="81">
        <f>SUM(N17:N20)*(1/(SUM(AC20:AC21)*0.5+1/8))+N25*(1/(SUM(AC9:AC10)*0.5+1/8))</f>
        <v>364.59022150696126</v>
      </c>
      <c r="AP37" s="81" t="s">
        <v>392</v>
      </c>
      <c r="AQ37" s="204">
        <v>467</v>
      </c>
      <c r="AU37" s="205" t="s">
        <v>389</v>
      </c>
      <c r="AV37" s="205" t="s">
        <v>390</v>
      </c>
      <c r="AW37" s="205" t="s">
        <v>419</v>
      </c>
      <c r="AX37" s="207" t="s">
        <v>434</v>
      </c>
      <c r="AY37" s="206">
        <f t="shared" si="3"/>
        <v>194</v>
      </c>
      <c r="AZ37" s="205" t="s">
        <v>392</v>
      </c>
      <c r="BP37" s="154" t="s">
        <v>389</v>
      </c>
      <c r="BQ37" s="81" t="s">
        <v>390</v>
      </c>
      <c r="BR37" s="81" t="s">
        <v>419</v>
      </c>
      <c r="BS37" s="204">
        <f t="shared" si="21"/>
        <v>467</v>
      </c>
      <c r="BT37" s="81" t="s">
        <v>392</v>
      </c>
      <c r="BU37" s="204">
        <v>467</v>
      </c>
      <c r="BY37" s="211">
        <f>CN27</f>
        <v>194</v>
      </c>
      <c r="BZ37" s="211"/>
      <c r="CA37" s="81" t="s">
        <v>493</v>
      </c>
      <c r="CB37" s="204">
        <v>6.4400000000000004E-3</v>
      </c>
      <c r="CC37" s="204">
        <v>1.36E-4</v>
      </c>
      <c r="CG37" s="81" t="s">
        <v>489</v>
      </c>
      <c r="CH37" s="204">
        <v>-6.06</v>
      </c>
      <c r="CI37" s="204">
        <v>2.58E-2</v>
      </c>
      <c r="CJ37" s="81">
        <v>-234.52</v>
      </c>
      <c r="CK37" s="81" t="s">
        <v>505</v>
      </c>
      <c r="CM37" s="81" t="s">
        <v>495</v>
      </c>
      <c r="CN37" s="204">
        <v>761</v>
      </c>
      <c r="CO37" s="204">
        <v>784</v>
      </c>
      <c r="CP37" s="81">
        <v>0.97</v>
      </c>
      <c r="CQ37" s="81">
        <v>0.33200000000000002</v>
      </c>
      <c r="CU37" s="212" t="s">
        <v>506</v>
      </c>
      <c r="CV37" s="81" t="s">
        <v>529</v>
      </c>
      <c r="CW37" s="204">
        <v>-10</v>
      </c>
      <c r="CX37" s="204">
        <v>2.1000000000000001E-4</v>
      </c>
      <c r="CY37" s="81">
        <v>-47558</v>
      </c>
      <c r="CZ37" s="81" t="s">
        <v>505</v>
      </c>
      <c r="DA37" s="81" t="s">
        <v>510</v>
      </c>
      <c r="DE37" s="81" t="s">
        <v>389</v>
      </c>
      <c r="DF37" s="81" t="s">
        <v>390</v>
      </c>
      <c r="DG37" s="81" t="str">
        <f t="shared" si="13"/>
        <v>f5N</v>
      </c>
      <c r="DH37" s="81" t="s">
        <v>434</v>
      </c>
      <c r="DI37" s="204">
        <f t="shared" si="14"/>
        <v>0.13</v>
      </c>
      <c r="DJ37" s="81" t="s">
        <v>392</v>
      </c>
      <c r="DK37" s="81" t="s">
        <v>420</v>
      </c>
      <c r="DL37" s="289">
        <f t="shared" si="0"/>
        <v>535.47064768029406</v>
      </c>
      <c r="DM37" s="289">
        <f t="shared" si="1"/>
        <v>247</v>
      </c>
      <c r="DN37" s="289">
        <f t="shared" si="2"/>
        <v>83.2</v>
      </c>
      <c r="DP37" s="290" t="s">
        <v>506</v>
      </c>
      <c r="DQ37" s="290" t="s">
        <v>476</v>
      </c>
      <c r="DR37" s="291">
        <v>-5.83</v>
      </c>
      <c r="DS37" s="291">
        <v>6.25E-2</v>
      </c>
      <c r="DT37" s="290">
        <v>-93.3</v>
      </c>
      <c r="DU37" s="290" t="s">
        <v>509</v>
      </c>
      <c r="DV37" s="291">
        <v>2E-16</v>
      </c>
      <c r="DW37" s="81" t="s">
        <v>510</v>
      </c>
      <c r="DX37" s="212" t="s">
        <v>568</v>
      </c>
      <c r="DY37" s="297" t="s">
        <v>408</v>
      </c>
      <c r="DZ37" s="292" t="s">
        <v>434</v>
      </c>
      <c r="EA37" s="293">
        <f>1/DR56</f>
        <v>154.08320493066256</v>
      </c>
      <c r="EB37" s="212" t="s">
        <v>392</v>
      </c>
    </row>
    <row r="38" spans="1:132" ht="15" customHeight="1" thickTop="1" thickBot="1" x14ac:dyDescent="0.3">
      <c r="B38" s="3"/>
      <c r="K38" s="81"/>
      <c r="L38" s="81"/>
      <c r="M38" s="81"/>
      <c r="N38" s="3"/>
      <c r="P38" s="81"/>
      <c r="Q38" s="81"/>
      <c r="W38" s="271"/>
      <c r="X38" s="272" t="s">
        <v>16</v>
      </c>
      <c r="Y38" s="272">
        <v>0.7</v>
      </c>
      <c r="Z38" s="272" t="s">
        <v>5</v>
      </c>
      <c r="AA38" s="272"/>
      <c r="AB38" s="272" t="s">
        <v>608</v>
      </c>
      <c r="AC38" s="272">
        <f>(Z37-(1-AC39)*Y38)/0.25</f>
        <v>2.3000000000000007</v>
      </c>
      <c r="AD38" s="276"/>
      <c r="AE38" s="14"/>
      <c r="AF38" s="14"/>
      <c r="AG38" s="14"/>
      <c r="AL38" s="154" t="s">
        <v>389</v>
      </c>
      <c r="AM38" s="81" t="s">
        <v>390</v>
      </c>
      <c r="AN38" s="81" t="s">
        <v>420</v>
      </c>
      <c r="AO38" s="81">
        <f>4*Z23*N28</f>
        <v>535.47064768029406</v>
      </c>
      <c r="AP38" s="81" t="s">
        <v>392</v>
      </c>
      <c r="AQ38" s="204">
        <v>247</v>
      </c>
      <c r="AU38" s="205" t="s">
        <v>389</v>
      </c>
      <c r="AV38" s="205" t="s">
        <v>390</v>
      </c>
      <c r="AW38" s="205" t="s">
        <v>420</v>
      </c>
      <c r="AX38" s="207" t="s">
        <v>434</v>
      </c>
      <c r="AY38" s="206">
        <f t="shared" si="3"/>
        <v>83.2</v>
      </c>
      <c r="AZ38" s="205" t="s">
        <v>392</v>
      </c>
      <c r="BP38" s="154" t="s">
        <v>389</v>
      </c>
      <c r="BQ38" s="81" t="s">
        <v>390</v>
      </c>
      <c r="BR38" s="81" t="s">
        <v>420</v>
      </c>
      <c r="BS38" s="204">
        <f t="shared" si="21"/>
        <v>247</v>
      </c>
      <c r="BT38" s="81" t="s">
        <v>392</v>
      </c>
      <c r="BU38" s="204">
        <v>247</v>
      </c>
      <c r="BY38" s="211">
        <f>CN28</f>
        <v>83.2</v>
      </c>
      <c r="BZ38" s="211"/>
      <c r="CA38" s="81" t="s">
        <v>494</v>
      </c>
      <c r="CB38" s="204">
        <v>143</v>
      </c>
      <c r="CC38" s="204">
        <v>1.36</v>
      </c>
      <c r="CG38" s="81" t="s">
        <v>490</v>
      </c>
      <c r="CH38" s="204">
        <v>-6.94</v>
      </c>
      <c r="CI38" s="204">
        <v>3.6200000000000003E-2</v>
      </c>
      <c r="CJ38" s="81">
        <v>-191.49</v>
      </c>
      <c r="CK38" s="81" t="s">
        <v>505</v>
      </c>
      <c r="CU38" s="212" t="s">
        <v>506</v>
      </c>
      <c r="CV38" s="81" t="s">
        <v>400</v>
      </c>
      <c r="CW38" s="204">
        <v>0.06</v>
      </c>
      <c r="CX38" s="204">
        <v>9.4099999999999997E-7</v>
      </c>
      <c r="CY38" s="81">
        <v>63794</v>
      </c>
      <c r="CZ38" s="81" t="s">
        <v>505</v>
      </c>
      <c r="DA38" s="81" t="s">
        <v>510</v>
      </c>
      <c r="DE38" s="81" t="s">
        <v>389</v>
      </c>
      <c r="DF38" s="81" t="s">
        <v>390</v>
      </c>
      <c r="DG38" s="81" t="str">
        <f t="shared" si="13"/>
        <v>hwD</v>
      </c>
      <c r="DH38" s="81" t="s">
        <v>434</v>
      </c>
      <c r="DI38" s="204">
        <f t="shared" si="14"/>
        <v>281</v>
      </c>
      <c r="DJ38" s="81" t="s">
        <v>392</v>
      </c>
      <c r="DK38" s="81" t="s">
        <v>421</v>
      </c>
      <c r="DL38" s="289">
        <f t="shared" si="0"/>
        <v>53.248521675596692</v>
      </c>
      <c r="DM38" s="289">
        <f t="shared" si="1"/>
        <v>82.5</v>
      </c>
      <c r="DN38" s="289">
        <f t="shared" si="2"/>
        <v>64.400000000000006</v>
      </c>
      <c r="DP38" s="290" t="s">
        <v>506</v>
      </c>
      <c r="DQ38" s="290" t="s">
        <v>477</v>
      </c>
      <c r="DR38" s="291">
        <v>-16.3</v>
      </c>
      <c r="DS38" s="291">
        <v>116</v>
      </c>
      <c r="DT38" s="290">
        <v>-0.14000000000000001</v>
      </c>
      <c r="DU38" s="290">
        <v>0.8881</v>
      </c>
      <c r="DX38" s="212" t="s">
        <v>568</v>
      </c>
      <c r="DY38" s="294" t="s">
        <v>400</v>
      </c>
      <c r="DZ38" s="292" t="s">
        <v>434</v>
      </c>
      <c r="EA38" s="293">
        <f>DR42</f>
        <v>6.8099999999999994E-2</v>
      </c>
      <c r="EB38" s="212" t="s">
        <v>392</v>
      </c>
    </row>
    <row r="39" spans="1:132" ht="15" customHeight="1" thickTop="1" thickBot="1" x14ac:dyDescent="0.3">
      <c r="K39" s="81"/>
      <c r="L39" s="81"/>
      <c r="M39" s="81" t="s">
        <v>122</v>
      </c>
      <c r="N39" s="3">
        <f>B4*1.204*1012*5/1000000</f>
        <v>3.7522106159999993</v>
      </c>
      <c r="O39" s="81" t="s">
        <v>123</v>
      </c>
      <c r="Q39" s="81"/>
      <c r="W39" s="237"/>
      <c r="X39" s="219" t="s">
        <v>121</v>
      </c>
      <c r="Y39" s="219">
        <v>0.3</v>
      </c>
      <c r="Z39" s="219"/>
      <c r="AA39" s="219"/>
      <c r="AB39" s="219" t="s">
        <v>607</v>
      </c>
      <c r="AC39" s="219">
        <v>0.25</v>
      </c>
      <c r="AD39" s="242"/>
      <c r="AE39" s="14"/>
      <c r="AF39" s="14"/>
      <c r="AG39" s="14"/>
      <c r="AL39" s="154" t="s">
        <v>389</v>
      </c>
      <c r="AM39" s="81" t="s">
        <v>390</v>
      </c>
      <c r="AN39" s="81" t="s">
        <v>421</v>
      </c>
      <c r="AO39" s="3">
        <f>'Verwarming Tabula 2zone'!B139+SUM(Q21:Q24)</f>
        <v>53.248521675596692</v>
      </c>
      <c r="AP39" s="81" t="s">
        <v>392</v>
      </c>
      <c r="AQ39" s="204">
        <v>82.5</v>
      </c>
      <c r="AU39" s="205" t="s">
        <v>389</v>
      </c>
      <c r="AV39" s="205" t="s">
        <v>390</v>
      </c>
      <c r="AW39" s="205" t="s">
        <v>421</v>
      </c>
      <c r="AX39" s="207" t="s">
        <v>434</v>
      </c>
      <c r="AY39" s="206">
        <f t="shared" si="3"/>
        <v>64.400000000000006</v>
      </c>
      <c r="AZ39" s="205" t="s">
        <v>392</v>
      </c>
      <c r="BP39" s="154" t="s">
        <v>389</v>
      </c>
      <c r="BQ39" s="81" t="s">
        <v>390</v>
      </c>
      <c r="BR39" s="81" t="s">
        <v>421</v>
      </c>
      <c r="BS39" s="204">
        <f t="shared" si="21"/>
        <v>82.5</v>
      </c>
      <c r="BT39" s="81" t="s">
        <v>392</v>
      </c>
      <c r="BU39" s="204">
        <v>82.5</v>
      </c>
      <c r="BY39" s="211">
        <f>CN29</f>
        <v>64.400000000000006</v>
      </c>
      <c r="BZ39" s="211"/>
      <c r="CA39" s="81" t="s">
        <v>495</v>
      </c>
      <c r="CB39" s="204">
        <v>1.35E-4</v>
      </c>
      <c r="CC39" s="204">
        <v>1.1900000000000001E-3</v>
      </c>
      <c r="CG39" s="81" t="s">
        <v>491</v>
      </c>
      <c r="CH39" s="204">
        <v>-6</v>
      </c>
      <c r="CI39" s="204">
        <v>2.3599999999999999E-2</v>
      </c>
      <c r="CJ39" s="81">
        <v>-254.34</v>
      </c>
      <c r="CK39" s="81" t="s">
        <v>505</v>
      </c>
      <c r="CU39" s="212" t="s">
        <v>506</v>
      </c>
      <c r="CV39" s="81" t="s">
        <v>416</v>
      </c>
      <c r="CW39" s="204">
        <v>0.16</v>
      </c>
      <c r="CX39" s="204">
        <v>2.48E-6</v>
      </c>
      <c r="CY39" s="81">
        <v>64442</v>
      </c>
      <c r="CZ39" s="81" t="s">
        <v>505</v>
      </c>
      <c r="DA39" s="81" t="s">
        <v>510</v>
      </c>
      <c r="DE39" s="81" t="s">
        <v>389</v>
      </c>
      <c r="DF39" s="81" t="s">
        <v>390</v>
      </c>
      <c r="DG39" s="81" t="str">
        <f t="shared" si="13"/>
        <v>hwiD</v>
      </c>
      <c r="DH39" s="81" t="s">
        <v>434</v>
      </c>
      <c r="DI39" s="204">
        <f t="shared" si="14"/>
        <v>705</v>
      </c>
      <c r="DJ39" s="81" t="s">
        <v>392</v>
      </c>
      <c r="DK39" s="81" t="s">
        <v>422</v>
      </c>
      <c r="DL39" s="289">
        <f t="shared" si="0"/>
        <v>54.710105041076886</v>
      </c>
      <c r="DM39" s="289">
        <f t="shared" si="1"/>
        <v>171.23287671232879</v>
      </c>
      <c r="DN39" s="289">
        <f t="shared" si="2"/>
        <v>280.1120448179272</v>
      </c>
      <c r="DP39" s="290" t="s">
        <v>506</v>
      </c>
      <c r="DQ39" s="290" t="s">
        <v>478</v>
      </c>
      <c r="DR39" s="291">
        <v>-11</v>
      </c>
      <c r="DS39" s="291">
        <v>6.63</v>
      </c>
      <c r="DT39" s="290">
        <v>-1.65</v>
      </c>
      <c r="DU39" s="290">
        <v>9.8199999999999996E-2</v>
      </c>
      <c r="DV39" s="290" t="s">
        <v>557</v>
      </c>
      <c r="DX39" s="212" t="s">
        <v>568</v>
      </c>
      <c r="DY39" s="295" t="s">
        <v>401</v>
      </c>
      <c r="DZ39" s="292" t="s">
        <v>434</v>
      </c>
      <c r="EA39" s="293">
        <f t="shared" ref="EA39:EA42" si="30">DR43</f>
        <v>0.13700000000000001</v>
      </c>
      <c r="EB39" s="212" t="s">
        <v>392</v>
      </c>
    </row>
    <row r="40" spans="1:132" ht="15" customHeight="1" thickTop="1" thickBot="1" x14ac:dyDescent="0.3">
      <c r="A40" s="81" t="s">
        <v>271</v>
      </c>
      <c r="K40" s="81"/>
      <c r="L40" s="81"/>
      <c r="M40" s="81" t="s">
        <v>124</v>
      </c>
      <c r="N40" s="3">
        <f>SUM(R6:R9,R15)/1000000</f>
        <v>25.124390653500004</v>
      </c>
      <c r="O40" s="81" t="s">
        <v>125</v>
      </c>
      <c r="P40" s="3">
        <f>SUM(T6:T9,T15)/1000000</f>
        <v>13.313111100000002</v>
      </c>
      <c r="Q40" s="81"/>
      <c r="W40" s="258"/>
      <c r="X40" s="258"/>
      <c r="Y40" s="258"/>
      <c r="Z40" s="258"/>
      <c r="AA40" s="258"/>
      <c r="AB40" s="258"/>
      <c r="AC40" s="258"/>
      <c r="AD40" s="258"/>
      <c r="AE40" s="14"/>
      <c r="AF40" s="14"/>
      <c r="AG40" s="14"/>
      <c r="AL40" s="154" t="s">
        <v>389</v>
      </c>
      <c r="AM40" s="81" t="s">
        <v>390</v>
      </c>
      <c r="AN40" s="81" t="s">
        <v>422</v>
      </c>
      <c r="AO40" s="81">
        <f>SUM(N17:N20)*1/(SUM(AC17:AC19)+0.5*SUM(AC20:AC21)+1/23)+N25*1/(SUM(AC7:AC9)+0.5*SUM(AC10)+1/23)</f>
        <v>54.710105041076886</v>
      </c>
      <c r="AP40" s="81" t="s">
        <v>392</v>
      </c>
      <c r="AQ40" s="81">
        <f>1/(0.00584)</f>
        <v>171.23287671232879</v>
      </c>
      <c r="AU40" s="205" t="s">
        <v>389</v>
      </c>
      <c r="AV40" s="205" t="s">
        <v>390</v>
      </c>
      <c r="AW40" s="205" t="s">
        <v>422</v>
      </c>
      <c r="AX40" s="207" t="s">
        <v>434</v>
      </c>
      <c r="AY40" s="206">
        <f t="shared" si="3"/>
        <v>280.1120448179272</v>
      </c>
      <c r="AZ40" s="205" t="s">
        <v>392</v>
      </c>
      <c r="BP40" s="154" t="s">
        <v>389</v>
      </c>
      <c r="BQ40" s="81" t="s">
        <v>390</v>
      </c>
      <c r="BR40" s="81" t="s">
        <v>422</v>
      </c>
      <c r="BS40" s="204">
        <f t="shared" si="21"/>
        <v>171.23287671232879</v>
      </c>
      <c r="BT40" s="81" t="s">
        <v>392</v>
      </c>
      <c r="BU40" s="81">
        <f>1/(0.00584)</f>
        <v>171.23287671232879</v>
      </c>
      <c r="BY40" s="211">
        <f>1/CN35</f>
        <v>280.1120448179272</v>
      </c>
      <c r="BZ40" s="211"/>
      <c r="CA40" s="81" t="s">
        <v>496</v>
      </c>
      <c r="CB40" s="204">
        <v>58.3</v>
      </c>
      <c r="CC40" s="204">
        <v>1.63</v>
      </c>
      <c r="CG40" s="81" t="s">
        <v>492</v>
      </c>
      <c r="CH40" s="204">
        <v>-6.6</v>
      </c>
      <c r="CI40" s="204">
        <v>2.63E-2</v>
      </c>
      <c r="CJ40" s="81">
        <v>-250.67</v>
      </c>
      <c r="CK40" s="81" t="s">
        <v>505</v>
      </c>
      <c r="CU40" s="212" t="s">
        <v>506</v>
      </c>
      <c r="CV40" s="81" t="s">
        <v>417</v>
      </c>
      <c r="CW40" s="204">
        <v>5.2999999999999999E-2</v>
      </c>
      <c r="CX40" s="204">
        <v>8.3099999999999996E-7</v>
      </c>
      <c r="CY40" s="81">
        <v>63749</v>
      </c>
      <c r="CZ40" s="81" t="s">
        <v>505</v>
      </c>
      <c r="DA40" s="81" t="s">
        <v>510</v>
      </c>
      <c r="DE40" s="81" t="s">
        <v>389</v>
      </c>
      <c r="DF40" s="81" t="s">
        <v>390</v>
      </c>
      <c r="DG40" s="81" t="str">
        <f t="shared" si="13"/>
        <v>hwiN</v>
      </c>
      <c r="DH40" s="81" t="s">
        <v>434</v>
      </c>
      <c r="DI40" s="204">
        <f t="shared" si="14"/>
        <v>882</v>
      </c>
      <c r="DJ40" s="81" t="s">
        <v>392</v>
      </c>
      <c r="DL40" s="287">
        <f t="shared" si="0"/>
        <v>0</v>
      </c>
      <c r="DM40" s="287">
        <f t="shared" si="1"/>
        <v>0</v>
      </c>
      <c r="DN40" s="287">
        <f t="shared" si="2"/>
        <v>0</v>
      </c>
      <c r="DP40" s="290" t="s">
        <v>506</v>
      </c>
      <c r="DQ40" s="290" t="s">
        <v>479</v>
      </c>
      <c r="DR40" s="291">
        <v>-15</v>
      </c>
      <c r="DS40" s="291">
        <v>39.4</v>
      </c>
      <c r="DT40" s="290">
        <v>-0.38</v>
      </c>
      <c r="DU40" s="290">
        <v>0.70269999999999999</v>
      </c>
      <c r="DX40" s="212" t="s">
        <v>568</v>
      </c>
      <c r="DY40" s="295" t="s">
        <v>402</v>
      </c>
      <c r="DZ40" s="292" t="s">
        <v>434</v>
      </c>
      <c r="EA40" s="293">
        <f t="shared" si="30"/>
        <v>0.76700000000000002</v>
      </c>
      <c r="EB40" s="212" t="s">
        <v>392</v>
      </c>
    </row>
    <row r="41" spans="1:132" ht="15" customHeight="1" thickTop="1" thickBot="1" x14ac:dyDescent="0.3">
      <c r="A41" s="148" t="s">
        <v>272</v>
      </c>
      <c r="K41" s="81"/>
      <c r="L41" s="81"/>
      <c r="M41" s="81" t="s">
        <v>126</v>
      </c>
      <c r="N41" s="3">
        <f>SUM(R26:R27)/1000000</f>
        <v>54.621285000000015</v>
      </c>
      <c r="O41" s="81" t="s">
        <v>125</v>
      </c>
      <c r="P41" s="3">
        <f>SUM(T26:T27)/1000000</f>
        <v>54.621285000000015</v>
      </c>
      <c r="Q41" s="81"/>
      <c r="W41" s="258"/>
      <c r="X41" s="258"/>
      <c r="Y41" s="259"/>
      <c r="Z41" s="259"/>
      <c r="AA41" s="259"/>
      <c r="AB41" s="258"/>
      <c r="AC41" s="258"/>
      <c r="AD41" s="258"/>
      <c r="AE41" s="14"/>
      <c r="AF41" s="14"/>
      <c r="AG41" s="14"/>
      <c r="AP41" s="81" t="s">
        <v>392</v>
      </c>
      <c r="AU41" s="205"/>
      <c r="AV41" s="205"/>
      <c r="AW41" s="205"/>
      <c r="AX41" s="207"/>
      <c r="AZ41" s="205"/>
      <c r="BS41" s="204"/>
      <c r="BT41" s="81" t="s">
        <v>392</v>
      </c>
      <c r="BY41" s="211"/>
      <c r="BZ41" s="211"/>
      <c r="CG41" s="81" t="s">
        <v>493</v>
      </c>
      <c r="CH41" s="204">
        <v>6.4400000000000004E-3</v>
      </c>
      <c r="CI41" s="204">
        <v>1.36E-4</v>
      </c>
      <c r="CJ41" s="81">
        <v>47.2</v>
      </c>
      <c r="CK41" s="81" t="s">
        <v>505</v>
      </c>
      <c r="CU41" s="212" t="s">
        <v>506</v>
      </c>
      <c r="CV41" s="81" t="s">
        <v>402</v>
      </c>
      <c r="CW41" s="204">
        <v>0.65</v>
      </c>
      <c r="CX41" s="204">
        <v>9.5799999999999998E-6</v>
      </c>
      <c r="CY41" s="81">
        <v>67820</v>
      </c>
      <c r="CZ41" s="81" t="s">
        <v>505</v>
      </c>
      <c r="DA41" s="81" t="s">
        <v>510</v>
      </c>
      <c r="DE41" s="81" t="s">
        <v>389</v>
      </c>
      <c r="DF41" s="81" t="s">
        <v>390</v>
      </c>
      <c r="DG41" s="81" t="str">
        <f t="shared" si="13"/>
        <v>hwN</v>
      </c>
      <c r="DH41" s="81" t="s">
        <v>434</v>
      </c>
      <c r="DI41" s="204">
        <f t="shared" si="14"/>
        <v>384</v>
      </c>
      <c r="DJ41" s="81" t="s">
        <v>392</v>
      </c>
      <c r="DK41" s="81" t="s">
        <v>423</v>
      </c>
      <c r="DL41" s="286">
        <f t="shared" si="0"/>
        <v>0.26114601784699709</v>
      </c>
      <c r="DM41" s="286">
        <f t="shared" si="1"/>
        <v>0.112</v>
      </c>
      <c r="DN41" s="286">
        <f t="shared" si="2"/>
        <v>0.14199999999999999</v>
      </c>
      <c r="DP41" s="290" t="s">
        <v>506</v>
      </c>
      <c r="DQ41" s="290" t="s">
        <v>480</v>
      </c>
      <c r="DR41" s="291">
        <v>-15.6</v>
      </c>
      <c r="DS41" s="291">
        <v>71.400000000000006</v>
      </c>
      <c r="DT41" s="290">
        <v>-0.22</v>
      </c>
      <c r="DU41" s="290">
        <v>0.82769999999999999</v>
      </c>
      <c r="DX41" s="212" t="s">
        <v>568</v>
      </c>
      <c r="DY41" s="292" t="s">
        <v>403</v>
      </c>
      <c r="DZ41" s="292" t="s">
        <v>434</v>
      </c>
      <c r="EA41" s="293">
        <f t="shared" si="30"/>
        <v>6.2199999999999998E-2</v>
      </c>
      <c r="EB41" s="212" t="s">
        <v>392</v>
      </c>
    </row>
    <row r="42" spans="1:132" ht="15" customHeight="1" thickTop="1" thickBot="1" x14ac:dyDescent="0.3">
      <c r="A42" s="81" t="s">
        <v>273</v>
      </c>
      <c r="C42" s="81">
        <f>0.55</f>
        <v>0.55000000000000004</v>
      </c>
      <c r="K42" s="81"/>
      <c r="L42" s="81"/>
      <c r="M42" s="81" t="s">
        <v>127</v>
      </c>
      <c r="N42" s="3">
        <f>R14/1000000</f>
        <v>48.328219060000002</v>
      </c>
      <c r="P42" s="3">
        <f>T14/1000000</f>
        <v>11.473264</v>
      </c>
      <c r="Q42" s="81"/>
      <c r="W42" s="260" t="s">
        <v>63</v>
      </c>
      <c r="X42" s="261"/>
      <c r="Y42" s="262" t="s">
        <v>21</v>
      </c>
      <c r="Z42" s="263">
        <f>1/(1/10+SUM(AC44:AC48))</f>
        <v>0.22994798795510538</v>
      </c>
      <c r="AA42" s="261" t="s">
        <v>5</v>
      </c>
      <c r="AB42" s="261"/>
      <c r="AC42" s="261" t="s">
        <v>22</v>
      </c>
      <c r="AD42" s="264">
        <f>SUM(AD44:AD48)</f>
        <v>467390.9</v>
      </c>
      <c r="AE42" s="14" t="s">
        <v>23</v>
      </c>
      <c r="AF42" s="14">
        <f>SUM(AD44:AD45)</f>
        <v>110960</v>
      </c>
      <c r="AG42" s="14"/>
      <c r="AL42" s="154" t="s">
        <v>389</v>
      </c>
      <c r="AM42" s="81" t="s">
        <v>390</v>
      </c>
      <c r="AN42" s="81" t="s">
        <v>423</v>
      </c>
      <c r="AO42" s="81">
        <f>SUM(N26)/SUM(N6:N14,N26:N27)</f>
        <v>0.26114601784699709</v>
      </c>
      <c r="AP42" s="81" t="s">
        <v>392</v>
      </c>
      <c r="AQ42" s="204">
        <v>0.112</v>
      </c>
      <c r="AU42" s="205" t="s">
        <v>389</v>
      </c>
      <c r="AV42" s="205" t="s">
        <v>390</v>
      </c>
      <c r="AW42" s="205" t="s">
        <v>423</v>
      </c>
      <c r="AX42" s="207" t="s">
        <v>434</v>
      </c>
      <c r="AY42" s="206">
        <f t="shared" si="3"/>
        <v>0.14199999999999999</v>
      </c>
      <c r="AZ42" s="205" t="s">
        <v>392</v>
      </c>
      <c r="BP42" s="154" t="s">
        <v>389</v>
      </c>
      <c r="BQ42" s="81" t="s">
        <v>390</v>
      </c>
      <c r="BR42" s="81" t="s">
        <v>423</v>
      </c>
      <c r="BS42" s="204">
        <f t="shared" si="21"/>
        <v>0.112</v>
      </c>
      <c r="BT42" s="81" t="s">
        <v>392</v>
      </c>
      <c r="BU42" s="204">
        <v>0.112</v>
      </c>
      <c r="BY42" s="211">
        <f>CH16</f>
        <v>0.14199999999999999</v>
      </c>
      <c r="BZ42" s="211"/>
      <c r="CG42" s="81" t="s">
        <v>494</v>
      </c>
      <c r="CH42" s="204">
        <v>143</v>
      </c>
      <c r="CI42" s="204">
        <v>1.36</v>
      </c>
      <c r="CJ42" s="81">
        <v>105.13</v>
      </c>
      <c r="CK42" s="81" t="s">
        <v>505</v>
      </c>
      <c r="CU42" s="212" t="s">
        <v>506</v>
      </c>
      <c r="CV42" s="81" t="s">
        <v>418</v>
      </c>
      <c r="CW42" s="204">
        <v>0.64500000000000002</v>
      </c>
      <c r="CX42" s="204">
        <v>9.5200000000000003E-6</v>
      </c>
      <c r="CY42" s="81">
        <v>67783</v>
      </c>
      <c r="CZ42" s="81" t="s">
        <v>505</v>
      </c>
      <c r="DA42" s="81" t="s">
        <v>510</v>
      </c>
      <c r="DE42" s="81" t="s">
        <v>389</v>
      </c>
      <c r="DF42" s="81" t="s">
        <v>390</v>
      </c>
      <c r="DG42" s="81" t="str">
        <f t="shared" si="13"/>
        <v>infD</v>
      </c>
      <c r="DH42" s="81" t="s">
        <v>434</v>
      </c>
      <c r="DI42" s="204">
        <f t="shared" si="14"/>
        <v>53</v>
      </c>
      <c r="DJ42" s="81" t="s">
        <v>392</v>
      </c>
      <c r="DK42" s="81" t="s">
        <v>424</v>
      </c>
      <c r="DL42" s="286">
        <f t="shared" si="0"/>
        <v>0.24197544245389654</v>
      </c>
      <c r="DM42" s="286">
        <f t="shared" si="1"/>
        <v>0.23</v>
      </c>
      <c r="DN42" s="286">
        <f t="shared" si="2"/>
        <v>0.34599999999999997</v>
      </c>
      <c r="DP42" s="290" t="s">
        <v>506</v>
      </c>
      <c r="DQ42" s="290" t="s">
        <v>481</v>
      </c>
      <c r="DR42" s="291">
        <v>6.8099999999999994E-2</v>
      </c>
      <c r="DS42" s="291">
        <v>8.4900000000000004E-4</v>
      </c>
      <c r="DT42" s="290">
        <v>80.2</v>
      </c>
      <c r="DU42" s="290" t="s">
        <v>509</v>
      </c>
      <c r="DV42" s="291">
        <v>2E-16</v>
      </c>
      <c r="DW42" s="81" t="s">
        <v>510</v>
      </c>
      <c r="DX42" s="212" t="s">
        <v>568</v>
      </c>
      <c r="DY42" s="292" t="s">
        <v>518</v>
      </c>
      <c r="DZ42" s="292" t="s">
        <v>434</v>
      </c>
      <c r="EA42" s="293">
        <f t="shared" si="30"/>
        <v>5.3100000000000001E-2</v>
      </c>
      <c r="EB42" s="212" t="s">
        <v>392</v>
      </c>
    </row>
    <row r="43" spans="1:132" ht="15" customHeight="1" thickTop="1" thickBot="1" x14ac:dyDescent="0.3">
      <c r="A43" s="81" t="s">
        <v>274</v>
      </c>
      <c r="C43" s="81">
        <f>B7/B6</f>
        <v>0.46160714285714288</v>
      </c>
      <c r="D43" s="81" t="s">
        <v>275</v>
      </c>
      <c r="K43" s="81"/>
      <c r="L43" s="81"/>
      <c r="M43" s="81"/>
      <c r="P43" s="81"/>
      <c r="Q43" s="81"/>
      <c r="W43" s="265"/>
      <c r="X43" s="266" t="s">
        <v>27</v>
      </c>
      <c r="Y43" s="266" t="s">
        <v>28</v>
      </c>
      <c r="Z43" s="266" t="s">
        <v>29</v>
      </c>
      <c r="AA43" s="266" t="s">
        <v>30</v>
      </c>
      <c r="AB43" s="266" t="s">
        <v>31</v>
      </c>
      <c r="AC43" s="266" t="s">
        <v>32</v>
      </c>
      <c r="AD43" s="267" t="s">
        <v>33</v>
      </c>
      <c r="AE43" s="14"/>
      <c r="AF43" s="14"/>
      <c r="AG43" s="14"/>
      <c r="AL43" s="154" t="s">
        <v>389</v>
      </c>
      <c r="AM43" s="81" t="s">
        <v>390</v>
      </c>
      <c r="AN43" s="81" t="s">
        <v>424</v>
      </c>
      <c r="AO43" s="81">
        <f>SUM(N26)/SUM(N$17:N$25,N$28,N$26)</f>
        <v>0.24197544245389654</v>
      </c>
      <c r="AP43" s="81" t="s">
        <v>392</v>
      </c>
      <c r="AQ43" s="204">
        <v>0.23</v>
      </c>
      <c r="AU43" s="205" t="s">
        <v>389</v>
      </c>
      <c r="AV43" s="205" t="s">
        <v>390</v>
      </c>
      <c r="AW43" s="205" t="s">
        <v>424</v>
      </c>
      <c r="AX43" s="207" t="s">
        <v>434</v>
      </c>
      <c r="AY43" s="206">
        <f t="shared" si="3"/>
        <v>0.34599999999999997</v>
      </c>
      <c r="AZ43" s="205" t="s">
        <v>392</v>
      </c>
      <c r="BP43" s="154" t="s">
        <v>389</v>
      </c>
      <c r="BQ43" s="81" t="s">
        <v>390</v>
      </c>
      <c r="BR43" s="81" t="s">
        <v>424</v>
      </c>
      <c r="BS43" s="204">
        <f t="shared" si="21"/>
        <v>0.23</v>
      </c>
      <c r="BT43" s="81" t="s">
        <v>392</v>
      </c>
      <c r="BU43" s="204">
        <v>0.23</v>
      </c>
      <c r="BY43" s="211">
        <f>CN14</f>
        <v>0.34599999999999997</v>
      </c>
      <c r="BZ43" s="211"/>
      <c r="CG43" s="81" t="s">
        <v>495</v>
      </c>
      <c r="CH43" s="204">
        <v>1.35E-4</v>
      </c>
      <c r="CI43" s="204">
        <v>1.1900000000000001E-3</v>
      </c>
      <c r="CJ43" s="81">
        <v>0.11</v>
      </c>
      <c r="CK43" s="81">
        <v>0.91</v>
      </c>
      <c r="CU43" s="212" t="s">
        <v>506</v>
      </c>
      <c r="CV43" s="81" t="s">
        <v>518</v>
      </c>
      <c r="CW43" s="204">
        <v>7.0000000000000007E-2</v>
      </c>
      <c r="CX43" s="204">
        <v>1.1000000000000001E-6</v>
      </c>
      <c r="CY43" s="81">
        <v>63858</v>
      </c>
      <c r="CZ43" s="81" t="s">
        <v>505</v>
      </c>
      <c r="DA43" s="81" t="s">
        <v>510</v>
      </c>
      <c r="DE43" s="81" t="s">
        <v>389</v>
      </c>
      <c r="DF43" s="81" t="s">
        <v>390</v>
      </c>
      <c r="DG43" s="81" t="str">
        <f t="shared" si="13"/>
        <v>infN</v>
      </c>
      <c r="DH43" s="81" t="s">
        <v>434</v>
      </c>
      <c r="DI43" s="204">
        <f t="shared" si="14"/>
        <v>36.9</v>
      </c>
      <c r="DJ43" s="81" t="s">
        <v>392</v>
      </c>
      <c r="DK43" s="81" t="s">
        <v>425</v>
      </c>
      <c r="DL43" s="288">
        <f t="shared" si="0"/>
        <v>20786361.000000004</v>
      </c>
      <c r="DM43" s="288">
        <f t="shared" si="1"/>
        <v>10700000</v>
      </c>
      <c r="DN43" s="288">
        <f t="shared" si="2"/>
        <v>120000000</v>
      </c>
      <c r="DP43" s="290" t="s">
        <v>506</v>
      </c>
      <c r="DQ43" s="290" t="s">
        <v>482</v>
      </c>
      <c r="DR43" s="291">
        <v>0.13700000000000001</v>
      </c>
      <c r="DS43" s="291">
        <v>1.0399999999999999E-3</v>
      </c>
      <c r="DT43" s="290">
        <v>132.03</v>
      </c>
      <c r="DU43" s="290" t="s">
        <v>509</v>
      </c>
      <c r="DV43" s="291">
        <v>2E-16</v>
      </c>
      <c r="DW43" s="81" t="s">
        <v>510</v>
      </c>
      <c r="DZ43" s="292"/>
    </row>
    <row r="44" spans="1:132" ht="15" customHeight="1" thickTop="1" thickBot="1" x14ac:dyDescent="0.3">
      <c r="A44" s="81" t="s">
        <v>277</v>
      </c>
      <c r="C44" s="81">
        <v>0.7</v>
      </c>
      <c r="E44" s="79"/>
      <c r="K44" s="81"/>
      <c r="L44" s="81"/>
      <c r="M44" s="81"/>
      <c r="P44" s="81"/>
      <c r="Q44" s="81"/>
      <c r="W44" s="271"/>
      <c r="X44" s="272" t="s">
        <v>128</v>
      </c>
      <c r="Y44" s="272">
        <v>0.02</v>
      </c>
      <c r="Z44" s="272">
        <v>1.4</v>
      </c>
      <c r="AA44" s="272">
        <v>2100</v>
      </c>
      <c r="AB44" s="272">
        <v>840</v>
      </c>
      <c r="AC44" s="273">
        <f>Y44/Z44</f>
        <v>1.4285714285714287E-2</v>
      </c>
      <c r="AD44" s="274">
        <f>Y44*AA44*AB44</f>
        <v>35280</v>
      </c>
      <c r="AE44" s="14" t="s">
        <v>104</v>
      </c>
      <c r="AF44" s="14"/>
      <c r="AG44" s="14"/>
      <c r="AL44" s="154" t="s">
        <v>389</v>
      </c>
      <c r="AM44" s="81" t="s">
        <v>390</v>
      </c>
      <c r="AN44" s="81" t="s">
        <v>425</v>
      </c>
      <c r="AO44" s="81">
        <f>T26/2</f>
        <v>20786361.000000004</v>
      </c>
      <c r="AP44" s="81" t="s">
        <v>392</v>
      </c>
      <c r="AQ44" s="204">
        <v>10700000</v>
      </c>
      <c r="AU44" s="205" t="s">
        <v>389</v>
      </c>
      <c r="AV44" s="205" t="s">
        <v>390</v>
      </c>
      <c r="AW44" s="205" t="s">
        <v>425</v>
      </c>
      <c r="AX44" s="207" t="s">
        <v>434</v>
      </c>
      <c r="AY44" s="206">
        <f t="shared" si="3"/>
        <v>120000000</v>
      </c>
      <c r="AZ44" s="205" t="s">
        <v>392</v>
      </c>
      <c r="BP44" s="154" t="s">
        <v>389</v>
      </c>
      <c r="BQ44" s="81" t="s">
        <v>390</v>
      </c>
      <c r="BR44" s="81" t="s">
        <v>425</v>
      </c>
      <c r="BS44" s="204">
        <f t="shared" si="21"/>
        <v>10700000</v>
      </c>
      <c r="BT44" s="81" t="s">
        <v>392</v>
      </c>
      <c r="BU44" s="204">
        <v>10700000</v>
      </c>
      <c r="BY44" s="211">
        <f>CO51</f>
        <v>120000000</v>
      </c>
      <c r="BZ44" s="211"/>
      <c r="CG44" s="81" t="s">
        <v>496</v>
      </c>
      <c r="CH44" s="204">
        <v>58.3</v>
      </c>
      <c r="CI44" s="204">
        <v>1.63</v>
      </c>
      <c r="CJ44" s="81">
        <v>35.75</v>
      </c>
      <c r="CK44" s="81" t="s">
        <v>505</v>
      </c>
      <c r="CM44" s="81" t="s">
        <v>497</v>
      </c>
      <c r="CN44" s="81" t="s">
        <v>512</v>
      </c>
      <c r="CU44" s="212" t="s">
        <v>506</v>
      </c>
      <c r="CV44" s="81" t="s">
        <v>519</v>
      </c>
      <c r="CW44" s="204">
        <v>0.13</v>
      </c>
      <c r="CX44" s="204">
        <v>2.0200000000000001E-6</v>
      </c>
      <c r="CY44" s="81">
        <v>64246</v>
      </c>
      <c r="CZ44" s="81" t="s">
        <v>505</v>
      </c>
      <c r="DA44" s="81" t="s">
        <v>510</v>
      </c>
      <c r="DI44" s="204"/>
      <c r="DK44" s="81" t="s">
        <v>426</v>
      </c>
      <c r="DL44" s="288">
        <f t="shared" si="0"/>
        <v>20786361.000000004</v>
      </c>
      <c r="DM44" s="288">
        <f t="shared" si="1"/>
        <v>33900000</v>
      </c>
      <c r="DN44" s="288">
        <f t="shared" si="2"/>
        <v>630000</v>
      </c>
      <c r="DP44" s="290" t="s">
        <v>506</v>
      </c>
      <c r="DQ44" s="290" t="s">
        <v>483</v>
      </c>
      <c r="DR44" s="291">
        <v>0.76700000000000002</v>
      </c>
      <c r="DS44" s="291">
        <v>3.8999999999999998E-3</v>
      </c>
      <c r="DT44" s="290">
        <v>196.97</v>
      </c>
      <c r="DU44" s="290" t="s">
        <v>509</v>
      </c>
      <c r="DV44" s="291">
        <v>2E-16</v>
      </c>
      <c r="DW44" s="81" t="s">
        <v>510</v>
      </c>
      <c r="DX44" s="212" t="s">
        <v>568</v>
      </c>
      <c r="DY44" s="297" t="s">
        <v>590</v>
      </c>
      <c r="DZ44" s="292" t="s">
        <v>434</v>
      </c>
      <c r="EA44" s="293">
        <f>DR69</f>
        <v>0.33600000000000002</v>
      </c>
      <c r="EB44" s="212" t="s">
        <v>392</v>
      </c>
    </row>
    <row r="45" spans="1:132" ht="15" customHeight="1" thickTop="1" thickBot="1" x14ac:dyDescent="0.3">
      <c r="A45" s="81" t="s">
        <v>278</v>
      </c>
      <c r="C45" s="81">
        <v>0.5</v>
      </c>
      <c r="E45" s="79"/>
      <c r="K45" s="81"/>
      <c r="L45" s="81"/>
      <c r="M45" s="81"/>
      <c r="P45" s="81"/>
      <c r="Q45" s="81"/>
      <c r="W45" s="220"/>
      <c r="X45" s="221" t="s">
        <v>129</v>
      </c>
      <c r="Y45" s="221">
        <v>0.08</v>
      </c>
      <c r="Z45" s="221">
        <v>0.6</v>
      </c>
      <c r="AA45" s="221">
        <v>1100</v>
      </c>
      <c r="AB45" s="221">
        <v>860</v>
      </c>
      <c r="AC45" s="268">
        <f>Y45/Z45</f>
        <v>0.13333333333333333</v>
      </c>
      <c r="AD45" s="222">
        <f>Y45*AA45*AB45</f>
        <v>75680</v>
      </c>
      <c r="AE45" s="14"/>
      <c r="AF45" s="14"/>
      <c r="AG45" s="14"/>
      <c r="AL45" s="154" t="s">
        <v>389</v>
      </c>
      <c r="AM45" s="81" t="s">
        <v>390</v>
      </c>
      <c r="AN45" s="81" t="s">
        <v>426</v>
      </c>
      <c r="AO45" s="81">
        <f>T26/2</f>
        <v>20786361.000000004</v>
      </c>
      <c r="AP45" s="81" t="s">
        <v>392</v>
      </c>
      <c r="AQ45" s="204">
        <v>33900000</v>
      </c>
      <c r="AU45" s="205" t="s">
        <v>389</v>
      </c>
      <c r="AV45" s="205" t="s">
        <v>390</v>
      </c>
      <c r="AW45" s="205" t="s">
        <v>426</v>
      </c>
      <c r="AX45" s="207" t="s">
        <v>434</v>
      </c>
      <c r="AY45" s="206">
        <f t="shared" si="3"/>
        <v>630000</v>
      </c>
      <c r="AZ45" s="205" t="s">
        <v>392</v>
      </c>
      <c r="BP45" s="154" t="s">
        <v>389</v>
      </c>
      <c r="BQ45" s="81" t="s">
        <v>390</v>
      </c>
      <c r="BR45" s="81" t="s">
        <v>426</v>
      </c>
      <c r="BS45" s="204">
        <f t="shared" si="21"/>
        <v>33900000</v>
      </c>
      <c r="BT45" s="81" t="s">
        <v>392</v>
      </c>
      <c r="BU45" s="204">
        <v>33900000</v>
      </c>
      <c r="BY45" s="211">
        <f>CO52</f>
        <v>630000</v>
      </c>
      <c r="BZ45" s="211"/>
      <c r="CM45" s="81" t="s">
        <v>506</v>
      </c>
      <c r="CN45" s="81" t="s">
        <v>499</v>
      </c>
      <c r="CU45" s="212" t="s">
        <v>506</v>
      </c>
      <c r="CV45" s="81" t="s">
        <v>404</v>
      </c>
      <c r="CW45" s="204">
        <v>281</v>
      </c>
      <c r="CX45" s="204">
        <v>1.15E-3</v>
      </c>
      <c r="CY45" s="81">
        <v>244765</v>
      </c>
      <c r="CZ45" s="81" t="s">
        <v>505</v>
      </c>
      <c r="DA45" s="81" t="s">
        <v>510</v>
      </c>
      <c r="DI45" s="204"/>
      <c r="DK45" s="81" t="s">
        <v>427</v>
      </c>
      <c r="DL45" s="286">
        <f t="shared" si="0"/>
        <v>7.8343805354099127E-2</v>
      </c>
      <c r="DM45" s="286">
        <f t="shared" si="1"/>
        <v>7.5399999999999995E-2</v>
      </c>
      <c r="DN45" s="286">
        <f t="shared" si="2"/>
        <v>5.4300000000000001E-2</v>
      </c>
      <c r="DP45" s="290" t="s">
        <v>506</v>
      </c>
      <c r="DQ45" s="290" t="s">
        <v>484</v>
      </c>
      <c r="DR45" s="291">
        <v>6.2199999999999998E-2</v>
      </c>
      <c r="DS45" s="291">
        <v>4.7800000000000002E-4</v>
      </c>
      <c r="DT45" s="290">
        <v>130.32</v>
      </c>
      <c r="DU45" s="290" t="s">
        <v>509</v>
      </c>
      <c r="DV45" s="291">
        <v>2E-16</v>
      </c>
      <c r="DW45" s="81" t="s">
        <v>510</v>
      </c>
      <c r="DX45" s="212" t="s">
        <v>568</v>
      </c>
      <c r="DY45" s="297" t="s">
        <v>591</v>
      </c>
      <c r="DZ45" s="292" t="s">
        <v>434</v>
      </c>
      <c r="EA45" s="293">
        <f t="shared" ref="EA45:EA59" si="31">DR70</f>
        <v>1.17E-14</v>
      </c>
      <c r="EB45" s="212" t="s">
        <v>392</v>
      </c>
    </row>
    <row r="46" spans="1:132" ht="15" customHeight="1" thickTop="1" thickBot="1" x14ac:dyDescent="0.3">
      <c r="K46" s="81"/>
      <c r="L46" s="81"/>
      <c r="M46" s="81"/>
      <c r="P46" s="81"/>
      <c r="Q46" s="81"/>
      <c r="W46" s="220"/>
      <c r="X46" s="221" t="s">
        <v>276</v>
      </c>
      <c r="Y46" s="302">
        <v>9.5000000000000001E-2</v>
      </c>
      <c r="Z46" s="221">
        <v>2.4E-2</v>
      </c>
      <c r="AA46" s="221">
        <v>26</v>
      </c>
      <c r="AB46" s="221">
        <v>1470</v>
      </c>
      <c r="AC46" s="268">
        <f>Y46/Z46</f>
        <v>3.9583333333333335</v>
      </c>
      <c r="AD46" s="222">
        <f>Y46*AA46*AB46</f>
        <v>3630.9</v>
      </c>
      <c r="AE46" s="14"/>
      <c r="AF46" s="14"/>
      <c r="AG46" s="14"/>
      <c r="AL46" s="154" t="s">
        <v>389</v>
      </c>
      <c r="AM46" s="81" t="s">
        <v>390</v>
      </c>
      <c r="AN46" s="81" t="s">
        <v>427</v>
      </c>
      <c r="AO46" s="81">
        <f>AO42*0.3</f>
        <v>7.8343805354099127E-2</v>
      </c>
      <c r="AP46" s="81" t="s">
        <v>392</v>
      </c>
      <c r="AQ46" s="204">
        <v>7.5399999999999995E-2</v>
      </c>
      <c r="AU46" s="205" t="s">
        <v>389</v>
      </c>
      <c r="AV46" s="205" t="s">
        <v>390</v>
      </c>
      <c r="AW46" s="205" t="s">
        <v>427</v>
      </c>
      <c r="AX46" s="207" t="s">
        <v>434</v>
      </c>
      <c r="AY46" s="206">
        <f t="shared" si="3"/>
        <v>5.4300000000000001E-2</v>
      </c>
      <c r="AZ46" s="205" t="s">
        <v>392</v>
      </c>
      <c r="BP46" s="154" t="s">
        <v>389</v>
      </c>
      <c r="BQ46" s="81" t="s">
        <v>390</v>
      </c>
      <c r="BR46" s="81" t="s">
        <v>427</v>
      </c>
      <c r="BS46" s="204">
        <f t="shared" si="21"/>
        <v>7.5399999999999995E-2</v>
      </c>
      <c r="BT46" s="81" t="s">
        <v>392</v>
      </c>
      <c r="BU46" s="204">
        <v>7.5399999999999995E-2</v>
      </c>
      <c r="BY46" s="211">
        <f>CH31</f>
        <v>5.4300000000000001E-2</v>
      </c>
      <c r="BZ46" s="211"/>
      <c r="CM46" s="81" t="s">
        <v>506</v>
      </c>
      <c r="CN46" s="81" t="s">
        <v>500</v>
      </c>
      <c r="CO46" s="81" t="s">
        <v>501</v>
      </c>
      <c r="CP46" s="81" t="s">
        <v>502</v>
      </c>
      <c r="CQ46" s="81" t="s">
        <v>503</v>
      </c>
      <c r="CR46" s="81" t="s">
        <v>504</v>
      </c>
      <c r="CS46" s="81" t="s">
        <v>508</v>
      </c>
      <c r="CU46" s="212" t="s">
        <v>506</v>
      </c>
      <c r="CV46" s="81" t="s">
        <v>406</v>
      </c>
      <c r="CW46" s="204">
        <v>705</v>
      </c>
      <c r="CX46" s="204">
        <v>2.7899999999999999E-3</v>
      </c>
      <c r="CY46" s="81">
        <v>252594</v>
      </c>
      <c r="CZ46" s="81" t="s">
        <v>505</v>
      </c>
      <c r="DA46" s="81" t="s">
        <v>510</v>
      </c>
      <c r="DI46" s="204"/>
      <c r="DK46" s="81" t="s">
        <v>428</v>
      </c>
      <c r="DL46" s="286">
        <f t="shared" si="0"/>
        <v>7.2592632736168963E-2</v>
      </c>
      <c r="DM46" s="286">
        <f t="shared" si="1"/>
        <v>0.127</v>
      </c>
      <c r="DN46" s="286">
        <f t="shared" si="2"/>
        <v>9.5100000000000004E-2</v>
      </c>
      <c r="DP46" s="290" t="s">
        <v>506</v>
      </c>
      <c r="DQ46" s="290" t="s">
        <v>485</v>
      </c>
      <c r="DR46" s="291">
        <v>5.3100000000000001E-2</v>
      </c>
      <c r="DS46" s="291">
        <v>4.1599999999999997E-4</v>
      </c>
      <c r="DT46" s="290">
        <v>127.4</v>
      </c>
      <c r="DU46" s="290" t="s">
        <v>509</v>
      </c>
      <c r="DV46" s="291">
        <v>2E-16</v>
      </c>
      <c r="DW46" s="81" t="s">
        <v>510</v>
      </c>
      <c r="DX46" s="212" t="s">
        <v>568</v>
      </c>
      <c r="DY46" s="297" t="s">
        <v>592</v>
      </c>
      <c r="DZ46" s="292" t="s">
        <v>434</v>
      </c>
      <c r="EA46" s="293">
        <f t="shared" si="31"/>
        <v>0.79200000000000004</v>
      </c>
      <c r="EB46" s="212" t="s">
        <v>392</v>
      </c>
    </row>
    <row r="47" spans="1:132" ht="15" customHeight="1" thickTop="1" thickBot="1" x14ac:dyDescent="0.3">
      <c r="B47" s="3"/>
      <c r="K47" s="81"/>
      <c r="L47" s="81"/>
      <c r="M47" s="81"/>
      <c r="P47" s="81"/>
      <c r="Q47" s="81"/>
      <c r="W47" s="220"/>
      <c r="X47" s="221" t="s">
        <v>131</v>
      </c>
      <c r="Y47" s="221">
        <v>0.2</v>
      </c>
      <c r="Z47" s="221">
        <v>1.4</v>
      </c>
      <c r="AA47" s="221">
        <v>2100</v>
      </c>
      <c r="AB47" s="221">
        <v>840</v>
      </c>
      <c r="AC47" s="268">
        <f>Y47/Z47</f>
        <v>0.14285714285714288</v>
      </c>
      <c r="AD47" s="222">
        <f>Y47*AA47*AB47</f>
        <v>352800</v>
      </c>
      <c r="AE47" s="14"/>
      <c r="AF47" s="14"/>
      <c r="AG47" s="14"/>
      <c r="AL47" s="154" t="s">
        <v>389</v>
      </c>
      <c r="AM47" s="81" t="s">
        <v>390</v>
      </c>
      <c r="AN47" s="81" t="s">
        <v>428</v>
      </c>
      <c r="AO47" s="81">
        <f>AO43*0.3</f>
        <v>7.2592632736168963E-2</v>
      </c>
      <c r="AP47" s="81" t="s">
        <v>392</v>
      </c>
      <c r="AQ47" s="204">
        <v>0.127</v>
      </c>
      <c r="AU47" s="205" t="s">
        <v>389</v>
      </c>
      <c r="AV47" s="205" t="s">
        <v>390</v>
      </c>
      <c r="AW47" s="205" t="s">
        <v>428</v>
      </c>
      <c r="AX47" s="207" t="s">
        <v>434</v>
      </c>
      <c r="AY47" s="206">
        <f t="shared" si="3"/>
        <v>9.5100000000000004E-2</v>
      </c>
      <c r="AZ47" s="205" t="s">
        <v>392</v>
      </c>
      <c r="BP47" s="154" t="s">
        <v>389</v>
      </c>
      <c r="BQ47" s="81" t="s">
        <v>390</v>
      </c>
      <c r="BR47" s="81" t="s">
        <v>428</v>
      </c>
      <c r="BS47" s="204">
        <f t="shared" si="21"/>
        <v>0.127</v>
      </c>
      <c r="BT47" s="81" t="s">
        <v>392</v>
      </c>
      <c r="BU47" s="204">
        <v>0.127</v>
      </c>
      <c r="BY47" s="211">
        <f>CN26</f>
        <v>9.5100000000000004E-2</v>
      </c>
      <c r="BZ47" s="211"/>
      <c r="CM47" s="81" t="s">
        <v>506</v>
      </c>
      <c r="CN47" s="81" t="s">
        <v>513</v>
      </c>
      <c r="CO47" s="204">
        <v>290</v>
      </c>
      <c r="CP47" s="204">
        <v>0.14499999999999999</v>
      </c>
      <c r="CQ47" s="81">
        <v>1995.82</v>
      </c>
      <c r="CR47" s="81" t="s">
        <v>509</v>
      </c>
      <c r="CS47" s="204">
        <v>2E-16</v>
      </c>
      <c r="CT47" s="81" t="s">
        <v>510</v>
      </c>
      <c r="CU47" s="212" t="s">
        <v>506</v>
      </c>
      <c r="CV47" s="81" t="s">
        <v>420</v>
      </c>
      <c r="CW47" s="204">
        <v>882</v>
      </c>
      <c r="CX47" s="204">
        <v>6.6800000000000002E-3</v>
      </c>
      <c r="CY47" s="81">
        <v>132039</v>
      </c>
      <c r="CZ47" s="81" t="s">
        <v>505</v>
      </c>
      <c r="DA47" s="81" t="s">
        <v>510</v>
      </c>
      <c r="DI47" s="204"/>
      <c r="DK47" s="81" t="s">
        <v>429</v>
      </c>
      <c r="DL47" s="289">
        <f t="shared" si="0"/>
        <v>519.71362586605085</v>
      </c>
      <c r="DM47" s="289">
        <f t="shared" si="1"/>
        <v>599</v>
      </c>
      <c r="DN47" s="289">
        <f t="shared" si="2"/>
        <v>138</v>
      </c>
      <c r="DP47" s="290" t="s">
        <v>506</v>
      </c>
      <c r="DQ47" s="290" t="s">
        <v>486</v>
      </c>
      <c r="DR47" s="291">
        <v>262</v>
      </c>
      <c r="DS47" s="291">
        <v>2.85</v>
      </c>
      <c r="DT47" s="290">
        <v>92.12</v>
      </c>
      <c r="DU47" s="290" t="s">
        <v>509</v>
      </c>
      <c r="DV47" s="291">
        <v>2E-16</v>
      </c>
      <c r="DW47" s="81" t="s">
        <v>510</v>
      </c>
      <c r="DX47" s="212" t="s">
        <v>568</v>
      </c>
      <c r="DY47" s="297" t="s">
        <v>593</v>
      </c>
      <c r="DZ47" s="292" t="s">
        <v>434</v>
      </c>
      <c r="EA47" s="293">
        <f t="shared" si="31"/>
        <v>0.66100000000000003</v>
      </c>
      <c r="EB47" s="212" t="s">
        <v>392</v>
      </c>
    </row>
    <row r="48" spans="1:132" ht="15" customHeight="1" thickTop="1" thickBot="1" x14ac:dyDescent="0.3">
      <c r="B48" s="3"/>
      <c r="K48" s="81"/>
      <c r="L48" s="81"/>
      <c r="M48" s="81"/>
      <c r="P48" s="81"/>
      <c r="Q48" s="81"/>
      <c r="W48" s="237"/>
      <c r="X48" s="219" t="s">
        <v>132</v>
      </c>
      <c r="Y48" s="219">
        <v>0</v>
      </c>
      <c r="Z48" s="219">
        <v>0.02</v>
      </c>
      <c r="AA48" s="219">
        <v>30</v>
      </c>
      <c r="AB48" s="219">
        <v>1470</v>
      </c>
      <c r="AC48" s="269">
        <f>Y48/Z48</f>
        <v>0</v>
      </c>
      <c r="AD48" s="242">
        <f>Y48*AA48*AB48</f>
        <v>0</v>
      </c>
      <c r="AE48" s="14"/>
      <c r="AF48" s="14"/>
      <c r="AG48" s="14"/>
      <c r="AL48" s="154" t="s">
        <v>389</v>
      </c>
      <c r="AM48" s="81" t="s">
        <v>390</v>
      </c>
      <c r="AN48" s="81" t="s">
        <v>429</v>
      </c>
      <c r="AO48" s="81">
        <f>Z29*4*N26</f>
        <v>519.71362586605085</v>
      </c>
      <c r="AP48" s="81" t="s">
        <v>392</v>
      </c>
      <c r="AQ48" s="204">
        <v>599</v>
      </c>
      <c r="AU48" s="205" t="s">
        <v>389</v>
      </c>
      <c r="AV48" s="205" t="s">
        <v>390</v>
      </c>
      <c r="AW48" s="205" t="s">
        <v>429</v>
      </c>
      <c r="AX48" s="207" t="s">
        <v>434</v>
      </c>
      <c r="AY48" s="206">
        <f t="shared" si="3"/>
        <v>138</v>
      </c>
      <c r="AZ48" s="205" t="s">
        <v>392</v>
      </c>
      <c r="BP48" s="154" t="s">
        <v>389</v>
      </c>
      <c r="BQ48" s="81" t="s">
        <v>390</v>
      </c>
      <c r="BR48" s="81" t="s">
        <v>429</v>
      </c>
      <c r="BS48" s="204">
        <f t="shared" si="21"/>
        <v>599</v>
      </c>
      <c r="BT48" s="81" t="s">
        <v>392</v>
      </c>
      <c r="BU48" s="204">
        <v>599</v>
      </c>
      <c r="BY48" s="211">
        <f>CO60</f>
        <v>138</v>
      </c>
      <c r="BZ48" s="211"/>
      <c r="CM48" s="81" t="s">
        <v>506</v>
      </c>
      <c r="CN48" s="81" t="s">
        <v>514</v>
      </c>
      <c r="CO48" s="204">
        <v>291</v>
      </c>
      <c r="CP48" s="204">
        <v>0.76600000000000001</v>
      </c>
      <c r="CQ48" s="81">
        <v>379.48</v>
      </c>
      <c r="CR48" s="81" t="s">
        <v>509</v>
      </c>
      <c r="CS48" s="204">
        <v>2E-16</v>
      </c>
      <c r="CT48" s="81" t="s">
        <v>510</v>
      </c>
      <c r="CU48" s="212" t="s">
        <v>506</v>
      </c>
      <c r="CV48" s="81" t="s">
        <v>419</v>
      </c>
      <c r="CW48" s="204">
        <v>384</v>
      </c>
      <c r="CX48" s="204">
        <v>1.17E-3</v>
      </c>
      <c r="CY48" s="81">
        <v>328443</v>
      </c>
      <c r="CZ48" s="81" t="s">
        <v>505</v>
      </c>
      <c r="DA48" s="81" t="s">
        <v>510</v>
      </c>
      <c r="DI48" s="204"/>
      <c r="DK48" s="81" t="s">
        <v>430</v>
      </c>
      <c r="DL48" s="289">
        <f t="shared" si="0"/>
        <v>259.85681293302542</v>
      </c>
      <c r="DM48" s="289">
        <f t="shared" si="1"/>
        <v>537</v>
      </c>
      <c r="DN48" s="289">
        <f t="shared" si="2"/>
        <v>7610</v>
      </c>
      <c r="DP48" s="290" t="s">
        <v>506</v>
      </c>
      <c r="DQ48" s="290" t="s">
        <v>487</v>
      </c>
      <c r="DR48" s="291">
        <v>204</v>
      </c>
      <c r="DS48" s="291">
        <v>1.35</v>
      </c>
      <c r="DT48" s="290">
        <v>151.66999999999999</v>
      </c>
      <c r="DU48" s="290" t="s">
        <v>509</v>
      </c>
      <c r="DV48" s="291">
        <v>2E-16</v>
      </c>
      <c r="DW48" s="81" t="s">
        <v>510</v>
      </c>
      <c r="DX48" s="212" t="s">
        <v>568</v>
      </c>
      <c r="DY48" s="297" t="s">
        <v>594</v>
      </c>
      <c r="DZ48" s="292" t="s">
        <v>434</v>
      </c>
      <c r="EA48" s="293">
        <f t="shared" si="31"/>
        <v>0.25700000000000001</v>
      </c>
      <c r="EB48" s="212" t="s">
        <v>392</v>
      </c>
    </row>
    <row r="49" spans="2:132" ht="15" customHeight="1" thickTop="1" thickBot="1" x14ac:dyDescent="0.3">
      <c r="B49" s="3"/>
      <c r="K49" s="81"/>
      <c r="L49" s="81"/>
      <c r="M49" s="81"/>
      <c r="P49" s="81"/>
      <c r="Q49" s="81"/>
      <c r="W49" s="221"/>
      <c r="X49" s="221"/>
      <c r="Y49" s="221"/>
      <c r="Z49" s="221"/>
      <c r="AA49" s="221"/>
      <c r="AB49" s="221"/>
      <c r="AC49" s="268"/>
      <c r="AD49" s="221"/>
      <c r="AE49" s="14"/>
      <c r="AF49" s="14"/>
      <c r="AG49" s="14"/>
      <c r="AL49" s="154" t="s">
        <v>389</v>
      </c>
      <c r="AM49" s="81" t="s">
        <v>390</v>
      </c>
      <c r="AN49" s="81" t="s">
        <v>430</v>
      </c>
      <c r="AO49" s="81">
        <f>AO50/2</f>
        <v>259.85681293302542</v>
      </c>
      <c r="AP49" s="81" t="s">
        <v>392</v>
      </c>
      <c r="AQ49" s="204">
        <v>537</v>
      </c>
      <c r="AU49" s="205" t="s">
        <v>389</v>
      </c>
      <c r="AV49" s="205" t="s">
        <v>390</v>
      </c>
      <c r="AW49" s="205" t="s">
        <v>430</v>
      </c>
      <c r="AX49" s="207" t="s">
        <v>434</v>
      </c>
      <c r="AY49" s="206">
        <f>BY49</f>
        <v>7610</v>
      </c>
      <c r="AZ49" s="205" t="s">
        <v>392</v>
      </c>
      <c r="BP49" s="154" t="s">
        <v>389</v>
      </c>
      <c r="BQ49" s="81" t="s">
        <v>390</v>
      </c>
      <c r="BR49" s="81" t="s">
        <v>430</v>
      </c>
      <c r="BS49" s="204">
        <f t="shared" si="21"/>
        <v>537</v>
      </c>
      <c r="BT49" s="81" t="s">
        <v>392</v>
      </c>
      <c r="BU49" s="204">
        <v>537</v>
      </c>
      <c r="BY49" s="211">
        <f>CO61</f>
        <v>7610</v>
      </c>
      <c r="BZ49" s="211"/>
      <c r="CM49" s="81" t="s">
        <v>506</v>
      </c>
      <c r="CN49" s="81" t="s">
        <v>423</v>
      </c>
      <c r="CO49" s="204">
        <v>0.14299999999999999</v>
      </c>
      <c r="CP49" s="204">
        <v>7.2499999999999995E-4</v>
      </c>
      <c r="CQ49" s="81">
        <v>197.29</v>
      </c>
      <c r="CR49" s="81" t="s">
        <v>509</v>
      </c>
      <c r="CS49" s="204">
        <v>2E-16</v>
      </c>
      <c r="CT49" s="81" t="s">
        <v>510</v>
      </c>
      <c r="CU49" s="212" t="s">
        <v>506</v>
      </c>
      <c r="CV49" s="81" t="s">
        <v>407</v>
      </c>
      <c r="CW49" s="204">
        <v>53</v>
      </c>
      <c r="CX49" s="204">
        <v>2.9300000000000002E-4</v>
      </c>
      <c r="CY49" s="81">
        <v>180769</v>
      </c>
      <c r="CZ49" s="81" t="s">
        <v>505</v>
      </c>
      <c r="DA49" s="81" t="s">
        <v>510</v>
      </c>
      <c r="DI49" s="204"/>
      <c r="DK49" s="81" t="s">
        <v>431</v>
      </c>
      <c r="DL49" s="289">
        <f t="shared" si="0"/>
        <v>519.71362586605085</v>
      </c>
      <c r="DM49" s="289">
        <f t="shared" si="1"/>
        <v>594</v>
      </c>
      <c r="DN49" s="289">
        <f>BY50</f>
        <v>371</v>
      </c>
      <c r="DP49" s="290" t="s">
        <v>506</v>
      </c>
      <c r="DQ49" s="290" t="s">
        <v>285</v>
      </c>
      <c r="DR49" s="291">
        <v>497</v>
      </c>
      <c r="DS49" s="291">
        <v>2.75</v>
      </c>
      <c r="DT49" s="290">
        <v>180.72</v>
      </c>
      <c r="DU49" s="290" t="s">
        <v>509</v>
      </c>
      <c r="DV49" s="291">
        <v>2E-16</v>
      </c>
      <c r="DW49" s="81" t="s">
        <v>510</v>
      </c>
      <c r="DX49" s="212" t="s">
        <v>568</v>
      </c>
      <c r="DY49" s="297" t="s">
        <v>595</v>
      </c>
      <c r="DZ49" s="292" t="s">
        <v>434</v>
      </c>
      <c r="EA49" s="293">
        <f t="shared" si="31"/>
        <v>0.27100000000000002</v>
      </c>
      <c r="EB49" s="212" t="s">
        <v>392</v>
      </c>
    </row>
    <row r="50" spans="2:132" ht="15" customHeight="1" thickTop="1" thickBot="1" x14ac:dyDescent="0.3">
      <c r="K50" s="81"/>
      <c r="L50" s="81"/>
      <c r="M50" s="81"/>
      <c r="P50" s="81"/>
      <c r="Q50" s="81"/>
      <c r="W50" s="258"/>
      <c r="X50" s="258"/>
      <c r="Y50" s="277"/>
      <c r="Z50" s="277"/>
      <c r="AA50" s="277"/>
      <c r="AB50" s="258"/>
      <c r="AC50" s="258"/>
      <c r="AD50" s="258"/>
      <c r="AE50" s="14"/>
      <c r="AF50" s="14"/>
      <c r="AG50" s="14"/>
      <c r="AL50" s="154" t="s">
        <v>389</v>
      </c>
      <c r="AM50" s="81" t="s">
        <v>390</v>
      </c>
      <c r="AN50" s="81" t="s">
        <v>431</v>
      </c>
      <c r="AO50" s="81">
        <f>AO48</f>
        <v>519.71362586605085</v>
      </c>
      <c r="AP50" s="81" t="s">
        <v>392</v>
      </c>
      <c r="AQ50" s="204">
        <v>594</v>
      </c>
      <c r="AU50" s="205" t="s">
        <v>389</v>
      </c>
      <c r="AV50" s="205" t="s">
        <v>390</v>
      </c>
      <c r="AW50" s="205" t="s">
        <v>431</v>
      </c>
      <c r="AX50" s="207" t="s">
        <v>434</v>
      </c>
      <c r="AY50" s="206">
        <f t="shared" si="3"/>
        <v>371</v>
      </c>
      <c r="AZ50" s="205" t="s">
        <v>392</v>
      </c>
      <c r="BP50" s="154" t="s">
        <v>389</v>
      </c>
      <c r="BQ50" s="81" t="s">
        <v>390</v>
      </c>
      <c r="BR50" s="81" t="s">
        <v>431</v>
      </c>
      <c r="BS50" s="204">
        <f t="shared" si="21"/>
        <v>594</v>
      </c>
      <c r="BT50" s="81" t="s">
        <v>392</v>
      </c>
      <c r="BU50" s="204">
        <v>594</v>
      </c>
      <c r="BY50" s="211">
        <f>CO62</f>
        <v>371</v>
      </c>
      <c r="BZ50" s="211"/>
      <c r="CM50" s="81" t="s">
        <v>506</v>
      </c>
      <c r="CN50" s="81" t="s">
        <v>424</v>
      </c>
      <c r="CO50" s="204">
        <v>0.72299999999999998</v>
      </c>
      <c r="CP50" s="204">
        <v>2.46E-2</v>
      </c>
      <c r="CQ50" s="81">
        <v>29.4</v>
      </c>
      <c r="CR50" s="81" t="s">
        <v>509</v>
      </c>
      <c r="CS50" s="204">
        <v>2E-16</v>
      </c>
      <c r="CT50" s="81" t="s">
        <v>510</v>
      </c>
      <c r="CU50" s="212" t="s">
        <v>506</v>
      </c>
      <c r="CV50" s="81" t="s">
        <v>421</v>
      </c>
      <c r="CW50" s="204">
        <v>36.9</v>
      </c>
      <c r="CX50" s="204">
        <v>5.6099999999999998E-4</v>
      </c>
      <c r="CY50" s="81">
        <v>65843</v>
      </c>
      <c r="CZ50" s="81" t="s">
        <v>505</v>
      </c>
      <c r="DA50" s="81" t="s">
        <v>510</v>
      </c>
      <c r="DI50" s="204"/>
      <c r="DP50" s="290" t="s">
        <v>506</v>
      </c>
      <c r="DQ50" s="290" t="s">
        <v>120</v>
      </c>
      <c r="DR50" s="291">
        <v>274</v>
      </c>
      <c r="DS50" s="291">
        <v>1.32</v>
      </c>
      <c r="DT50" s="290">
        <v>207.59</v>
      </c>
      <c r="DU50" s="290" t="s">
        <v>509</v>
      </c>
      <c r="DV50" s="291">
        <v>2E-16</v>
      </c>
      <c r="DW50" s="81" t="s">
        <v>510</v>
      </c>
      <c r="DX50" s="212" t="s">
        <v>568</v>
      </c>
      <c r="DY50" s="297" t="s">
        <v>596</v>
      </c>
      <c r="DZ50" s="292" t="s">
        <v>434</v>
      </c>
      <c r="EA50" s="293">
        <f t="shared" si="31"/>
        <v>0.22900000000000001</v>
      </c>
      <c r="EB50" s="212" t="s">
        <v>392</v>
      </c>
    </row>
    <row r="51" spans="2:132" ht="15" customHeight="1" thickTop="1" thickBot="1" x14ac:dyDescent="0.3">
      <c r="K51" s="81"/>
      <c r="L51" s="81"/>
      <c r="M51" s="81"/>
      <c r="P51" s="81"/>
      <c r="Q51" s="81"/>
      <c r="W51" s="278" t="s">
        <v>68</v>
      </c>
      <c r="X51" s="279"/>
      <c r="Y51" s="280" t="s">
        <v>21</v>
      </c>
      <c r="Z51" s="281">
        <v>3.5</v>
      </c>
      <c r="AA51" s="279" t="s">
        <v>5</v>
      </c>
      <c r="AB51" s="279"/>
      <c r="AC51" s="279" t="s">
        <v>22</v>
      </c>
      <c r="AD51" s="282">
        <f>0.04*550*1660</f>
        <v>36520</v>
      </c>
      <c r="AE51" s="14" t="s">
        <v>23</v>
      </c>
      <c r="AF51" s="14">
        <f>SUM(AD53:AD54)</f>
        <v>181020.00000000003</v>
      </c>
      <c r="AG51" s="14"/>
      <c r="CM51" s="81" t="s">
        <v>506</v>
      </c>
      <c r="CN51" s="81" t="s">
        <v>515</v>
      </c>
      <c r="CO51" s="204">
        <v>120000000</v>
      </c>
      <c r="CP51" s="204">
        <v>15700000</v>
      </c>
      <c r="CQ51" s="81">
        <v>7.65</v>
      </c>
      <c r="CR51" s="204">
        <v>2.8000000000000001E-14</v>
      </c>
      <c r="CS51" s="81" t="s">
        <v>510</v>
      </c>
      <c r="CU51" s="212" t="s">
        <v>506</v>
      </c>
      <c r="CV51" s="81" t="s">
        <v>488</v>
      </c>
      <c r="CW51" s="204">
        <v>-10</v>
      </c>
      <c r="CX51" s="204">
        <v>1.5799999999999999E-4</v>
      </c>
      <c r="CY51" s="81">
        <v>-63411</v>
      </c>
      <c r="CZ51" s="81" t="s">
        <v>505</v>
      </c>
      <c r="DA51" s="81" t="s">
        <v>510</v>
      </c>
      <c r="DI51" s="204"/>
      <c r="DP51" s="290" t="s">
        <v>506</v>
      </c>
      <c r="DQ51" s="290" t="s">
        <v>488</v>
      </c>
      <c r="DR51" s="291">
        <v>-5.74</v>
      </c>
      <c r="DS51" s="291">
        <v>2.1600000000000001E-2</v>
      </c>
      <c r="DT51" s="290">
        <v>-265.19</v>
      </c>
      <c r="DU51" s="290" t="s">
        <v>509</v>
      </c>
      <c r="DV51" s="291">
        <v>2E-16</v>
      </c>
      <c r="DW51" s="81" t="s">
        <v>510</v>
      </c>
      <c r="DX51" s="212" t="s">
        <v>568</v>
      </c>
      <c r="DY51" s="297" t="s">
        <v>597</v>
      </c>
      <c r="DZ51" s="292" t="s">
        <v>434</v>
      </c>
      <c r="EA51" s="293">
        <f t="shared" si="31"/>
        <v>0.13400000000000001</v>
      </c>
      <c r="EB51" s="212" t="s">
        <v>392</v>
      </c>
    </row>
    <row r="52" spans="2:132" thickTop="1" thickBot="1" x14ac:dyDescent="0.3">
      <c r="W52" s="283"/>
      <c r="X52" s="284" t="s">
        <v>16</v>
      </c>
      <c r="Y52" s="284">
        <v>3.5</v>
      </c>
      <c r="Z52" s="284" t="s">
        <v>5</v>
      </c>
      <c r="AA52" s="284"/>
      <c r="AB52" s="284" t="s">
        <v>303</v>
      </c>
      <c r="AC52" s="284">
        <f>(1/Z51-1/8-1/23)*0.11</f>
        <v>1.2895962732919253E-2</v>
      </c>
      <c r="AD52" s="285"/>
      <c r="AE52" s="14"/>
      <c r="AF52" s="14"/>
      <c r="AG52" s="14"/>
      <c r="CM52" s="81" t="s">
        <v>506</v>
      </c>
      <c r="CN52" s="81" t="s">
        <v>426</v>
      </c>
      <c r="CO52" s="204">
        <v>630000</v>
      </c>
      <c r="CP52" s="204">
        <v>33500</v>
      </c>
      <c r="CQ52" s="81">
        <v>18.79</v>
      </c>
      <c r="CR52" s="81" t="s">
        <v>509</v>
      </c>
      <c r="CS52" s="204">
        <v>2E-16</v>
      </c>
      <c r="CT52" s="81" t="s">
        <v>510</v>
      </c>
      <c r="CU52" s="212" t="s">
        <v>506</v>
      </c>
      <c r="CV52" s="81" t="s">
        <v>489</v>
      </c>
      <c r="CW52" s="204">
        <v>-10</v>
      </c>
      <c r="CX52" s="204">
        <v>1.5799999999999999E-4</v>
      </c>
      <c r="CY52" s="81">
        <v>-63411</v>
      </c>
      <c r="CZ52" s="81" t="s">
        <v>505</v>
      </c>
      <c r="DA52" s="81" t="s">
        <v>510</v>
      </c>
      <c r="DE52" s="81" t="s">
        <v>389</v>
      </c>
      <c r="DF52" s="81" t="s">
        <v>390</v>
      </c>
      <c r="DG52" s="81" t="str">
        <f t="shared" si="13"/>
        <v>UfDN</v>
      </c>
      <c r="DH52" s="81" t="s">
        <v>434</v>
      </c>
      <c r="DI52" s="204">
        <f t="shared" si="14"/>
        <v>532</v>
      </c>
      <c r="DJ52" s="81" t="s">
        <v>392</v>
      </c>
      <c r="DP52" s="290" t="s">
        <v>506</v>
      </c>
      <c r="DQ52" s="290" t="s">
        <v>489</v>
      </c>
      <c r="DR52" s="291">
        <v>-6.04</v>
      </c>
      <c r="DS52" s="291">
        <v>2.41E-2</v>
      </c>
      <c r="DT52" s="290">
        <v>-250.23</v>
      </c>
      <c r="DU52" s="290" t="s">
        <v>509</v>
      </c>
      <c r="DV52" s="291">
        <v>2E-16</v>
      </c>
      <c r="DW52" s="81" t="s">
        <v>510</v>
      </c>
      <c r="DX52" s="212" t="s">
        <v>568</v>
      </c>
      <c r="DY52" s="297" t="s">
        <v>598</v>
      </c>
      <c r="DZ52" s="292" t="s">
        <v>434</v>
      </c>
      <c r="EA52" s="293">
        <f t="shared" si="31"/>
        <v>0.111</v>
      </c>
      <c r="EB52" s="212" t="s">
        <v>392</v>
      </c>
    </row>
    <row r="53" spans="2:132" thickTop="1" thickBot="1" x14ac:dyDescent="0.3">
      <c r="W53" s="258"/>
      <c r="X53" s="258"/>
      <c r="Y53" s="259"/>
      <c r="Z53" s="259"/>
      <c r="AA53" s="259"/>
      <c r="AB53" s="258"/>
      <c r="AC53" s="258"/>
      <c r="AD53" s="258"/>
      <c r="AE53" s="14"/>
      <c r="AF53" s="14"/>
      <c r="AG53" s="14"/>
      <c r="CM53" s="81">
        <v>17</v>
      </c>
      <c r="CU53" s="212" t="s">
        <v>506</v>
      </c>
      <c r="CV53" s="81" t="s">
        <v>490</v>
      </c>
      <c r="CW53" s="204">
        <v>-10</v>
      </c>
      <c r="CX53" s="204">
        <v>1.5799999999999999E-4</v>
      </c>
      <c r="CY53" s="81">
        <v>-63411</v>
      </c>
      <c r="CZ53" s="81" t="s">
        <v>505</v>
      </c>
      <c r="DA53" s="81" t="s">
        <v>510</v>
      </c>
      <c r="DE53" s="81" t="s">
        <v>389</v>
      </c>
      <c r="DF53" s="81" t="s">
        <v>390</v>
      </c>
      <c r="DG53" s="81" t="str">
        <f t="shared" si="13"/>
        <v>Ufi</v>
      </c>
      <c r="DH53" s="81" t="s">
        <v>434</v>
      </c>
      <c r="DI53" s="204">
        <f t="shared" si="14"/>
        <v>1</v>
      </c>
      <c r="DJ53" s="81" t="s">
        <v>392</v>
      </c>
      <c r="DP53" s="290" t="s">
        <v>506</v>
      </c>
      <c r="DQ53" s="290" t="s">
        <v>490</v>
      </c>
      <c r="DR53" s="291">
        <v>-7.15</v>
      </c>
      <c r="DS53" s="291">
        <v>3.3399999999999999E-2</v>
      </c>
      <c r="DT53" s="290">
        <v>-214.09</v>
      </c>
      <c r="DU53" s="290" t="s">
        <v>509</v>
      </c>
      <c r="DV53" s="291">
        <v>2E-16</v>
      </c>
      <c r="DW53" s="81" t="s">
        <v>510</v>
      </c>
      <c r="DX53" s="212" t="s">
        <v>568</v>
      </c>
      <c r="DY53" s="297" t="s">
        <v>599</v>
      </c>
      <c r="DZ53" s="292" t="s">
        <v>434</v>
      </c>
      <c r="EA53" s="293">
        <f t="shared" si="31"/>
        <v>2.6099999999999999E-11</v>
      </c>
      <c r="EB53" s="212" t="s">
        <v>392</v>
      </c>
    </row>
    <row r="54" spans="2:132" thickTop="1" thickBot="1" x14ac:dyDescent="0.3">
      <c r="W54" s="303" t="s">
        <v>610</v>
      </c>
      <c r="X54" s="304"/>
      <c r="Y54" s="305" t="s">
        <v>21</v>
      </c>
      <c r="Z54" s="306">
        <f>(1/(1/8+SUM(AC56:AC58)+1/8))</f>
        <v>1.8430034129692836</v>
      </c>
      <c r="AA54" s="304" t="s">
        <v>5</v>
      </c>
      <c r="AB54" s="304"/>
      <c r="AC54" s="304" t="s">
        <v>22</v>
      </c>
      <c r="AD54" s="307">
        <f>SUM(AD56:AD60)</f>
        <v>181020.00000000003</v>
      </c>
      <c r="AN54" s="160" t="s">
        <v>432</v>
      </c>
      <c r="AO54" s="160">
        <f>SUM(AO42,AO4:AO7)</f>
        <v>1</v>
      </c>
      <c r="AP54" s="160"/>
      <c r="BR54" s="160" t="s">
        <v>432</v>
      </c>
      <c r="BS54" s="160">
        <f>SUM(BS42,BS4:BS7)</f>
        <v>0.99119290000000004</v>
      </c>
      <c r="BT54" s="160"/>
      <c r="CM54" s="81" t="s">
        <v>506</v>
      </c>
      <c r="CN54" s="81" t="s">
        <v>480</v>
      </c>
      <c r="CO54" s="204">
        <v>-3.69</v>
      </c>
      <c r="CP54" s="204">
        <v>1.17</v>
      </c>
      <c r="CQ54" s="81">
        <v>-3.14</v>
      </c>
      <c r="CR54" s="81">
        <v>1.6999999999999999E-3</v>
      </c>
      <c r="CS54" s="81" t="s">
        <v>516</v>
      </c>
      <c r="CU54" s="212" t="s">
        <v>506</v>
      </c>
      <c r="CV54" s="81" t="s">
        <v>491</v>
      </c>
      <c r="CW54" s="204">
        <v>-10</v>
      </c>
      <c r="CX54" s="204">
        <v>1.5799999999999999E-4</v>
      </c>
      <c r="CY54" s="81">
        <v>-63411</v>
      </c>
      <c r="CZ54" s="81" t="s">
        <v>505</v>
      </c>
      <c r="DA54" s="81" t="s">
        <v>510</v>
      </c>
      <c r="DE54" s="81" t="s">
        <v>389</v>
      </c>
      <c r="DF54" s="81" t="s">
        <v>390</v>
      </c>
      <c r="DG54" s="81" t="str">
        <f t="shared" si="13"/>
        <v>UfND</v>
      </c>
      <c r="DH54" s="81" t="s">
        <v>434</v>
      </c>
      <c r="DI54" s="204">
        <f t="shared" si="14"/>
        <v>351</v>
      </c>
      <c r="DJ54" s="81" t="s">
        <v>392</v>
      </c>
      <c r="DP54" s="290" t="s">
        <v>506</v>
      </c>
      <c r="DQ54" s="290" t="s">
        <v>491</v>
      </c>
      <c r="DR54" s="291">
        <v>-6.2</v>
      </c>
      <c r="DS54" s="291">
        <v>2.12E-2</v>
      </c>
      <c r="DT54" s="290">
        <v>-292.51</v>
      </c>
      <c r="DU54" s="290" t="s">
        <v>509</v>
      </c>
      <c r="DV54" s="291">
        <v>2E-16</v>
      </c>
      <c r="DW54" s="81" t="s">
        <v>510</v>
      </c>
      <c r="DX54" s="212" t="s">
        <v>568</v>
      </c>
      <c r="DY54" s="297" t="s">
        <v>600</v>
      </c>
      <c r="DZ54" s="292" t="s">
        <v>434</v>
      </c>
      <c r="EA54" s="293">
        <f t="shared" si="31"/>
        <v>3.2300000000000002E-10</v>
      </c>
      <c r="EB54" s="212" t="s">
        <v>392</v>
      </c>
    </row>
    <row r="55" spans="2:132" thickTop="1" thickBot="1" x14ac:dyDescent="0.3">
      <c r="W55" s="308"/>
      <c r="X55" s="266" t="s">
        <v>27</v>
      </c>
      <c r="Y55" s="266" t="s">
        <v>28</v>
      </c>
      <c r="Z55" s="266" t="s">
        <v>29</v>
      </c>
      <c r="AA55" s="266" t="s">
        <v>30</v>
      </c>
      <c r="AB55" s="266" t="s">
        <v>31</v>
      </c>
      <c r="AC55" s="266" t="s">
        <v>32</v>
      </c>
      <c r="AD55" s="309" t="s">
        <v>33</v>
      </c>
      <c r="AN55" s="160" t="s">
        <v>432</v>
      </c>
      <c r="AO55" s="160">
        <f>SUM(AO43,AO26:AO28)</f>
        <v>0.99999999999999989</v>
      </c>
      <c r="AP55" s="160"/>
      <c r="BR55" s="160" t="s">
        <v>432</v>
      </c>
      <c r="BS55" s="160">
        <f>SUM(BS43,BS26:BS28)</f>
        <v>1.006</v>
      </c>
      <c r="BT55" s="160"/>
      <c r="CM55" s="81" t="s">
        <v>506</v>
      </c>
      <c r="CN55" s="81" t="s">
        <v>517</v>
      </c>
      <c r="CO55" s="204">
        <v>-0.99099999999999999</v>
      </c>
      <c r="CP55" s="204">
        <v>0.94399999999999995</v>
      </c>
      <c r="CQ55" s="81">
        <v>-1.05</v>
      </c>
      <c r="CR55" s="81">
        <v>0.29389999999999999</v>
      </c>
      <c r="CU55" s="212" t="s">
        <v>506</v>
      </c>
      <c r="CV55" s="81" t="s">
        <v>492</v>
      </c>
      <c r="CW55" s="204">
        <v>-10</v>
      </c>
      <c r="CX55" s="204">
        <v>1.5799999999999999E-4</v>
      </c>
      <c r="CY55" s="81">
        <v>-63411</v>
      </c>
      <c r="CZ55" s="81" t="s">
        <v>505</v>
      </c>
      <c r="DA55" s="81" t="s">
        <v>510</v>
      </c>
      <c r="DE55" s="81" t="s">
        <v>389</v>
      </c>
      <c r="DF55" s="81" t="s">
        <v>390</v>
      </c>
      <c r="DG55" s="81" t="str">
        <f t="shared" si="13"/>
        <v>UwD</v>
      </c>
      <c r="DH55" s="81" t="s">
        <v>434</v>
      </c>
      <c r="DI55" s="204">
        <f t="shared" si="14"/>
        <v>61.2</v>
      </c>
      <c r="DJ55" s="81" t="s">
        <v>392</v>
      </c>
      <c r="DP55" s="290" t="s">
        <v>506</v>
      </c>
      <c r="DQ55" s="290" t="s">
        <v>492</v>
      </c>
      <c r="DR55" s="291">
        <v>-6.76</v>
      </c>
      <c r="DS55" s="291">
        <v>2.76E-2</v>
      </c>
      <c r="DT55" s="290">
        <v>-244.72</v>
      </c>
      <c r="DU55" s="290" t="s">
        <v>509</v>
      </c>
      <c r="DV55" s="291">
        <v>2E-16</v>
      </c>
      <c r="DW55" s="81" t="s">
        <v>510</v>
      </c>
      <c r="DX55" s="212" t="s">
        <v>568</v>
      </c>
      <c r="DY55" s="297" t="s">
        <v>601</v>
      </c>
      <c r="DZ55" s="292" t="s">
        <v>434</v>
      </c>
      <c r="EA55" s="293">
        <f t="shared" si="31"/>
        <v>3.5200000000000002E-2</v>
      </c>
      <c r="EB55" s="212" t="s">
        <v>392</v>
      </c>
    </row>
    <row r="56" spans="2:132" thickTop="1" thickBot="1" x14ac:dyDescent="0.3">
      <c r="W56" s="310"/>
      <c r="X56" s="221" t="s">
        <v>90</v>
      </c>
      <c r="Y56" s="221">
        <v>0.02</v>
      </c>
      <c r="Z56" s="221">
        <v>0.6</v>
      </c>
      <c r="AA56" s="221">
        <v>975</v>
      </c>
      <c r="AB56" s="221">
        <v>840</v>
      </c>
      <c r="AC56" s="268">
        <f>Y56/Z56</f>
        <v>3.3333333333333333E-2</v>
      </c>
      <c r="AD56" s="311">
        <f>Y56*AA56*AB56</f>
        <v>16380</v>
      </c>
      <c r="AN56" s="160" t="s">
        <v>433</v>
      </c>
      <c r="AO56" s="160">
        <f>SUM(AO46,AO14:AO17)</f>
        <v>0.99999999999999989</v>
      </c>
      <c r="AP56" s="160"/>
      <c r="BR56" s="160" t="s">
        <v>433</v>
      </c>
      <c r="BS56" s="160">
        <f>SUM(BS46,BS14:BS17)</f>
        <v>0.98349999999999993</v>
      </c>
      <c r="BT56" s="160"/>
      <c r="CM56" s="81" t="s">
        <v>506</v>
      </c>
      <c r="CN56" s="81" t="s">
        <v>518</v>
      </c>
      <c r="CO56" s="204">
        <v>5.6500000000000002E-2</v>
      </c>
      <c r="CP56" s="204">
        <v>4.6299999999999998E-4</v>
      </c>
      <c r="CQ56" s="81">
        <v>122.19</v>
      </c>
      <c r="CR56" s="81" t="s">
        <v>509</v>
      </c>
      <c r="CS56" s="204">
        <v>2E-16</v>
      </c>
      <c r="CT56" s="81" t="s">
        <v>510</v>
      </c>
      <c r="CU56" s="212" t="s">
        <v>506</v>
      </c>
      <c r="CV56" s="81" t="s">
        <v>530</v>
      </c>
      <c r="CW56" s="204">
        <v>-10</v>
      </c>
      <c r="CX56" s="204">
        <v>1.5799999999999999E-4</v>
      </c>
      <c r="CY56" s="81">
        <v>-63411</v>
      </c>
      <c r="CZ56" s="81" t="s">
        <v>505</v>
      </c>
      <c r="DA56" s="81" t="s">
        <v>510</v>
      </c>
      <c r="DE56" s="81" t="s">
        <v>389</v>
      </c>
      <c r="DF56" s="81" t="s">
        <v>390</v>
      </c>
      <c r="DG56" s="81" t="str">
        <f t="shared" si="13"/>
        <v>UwN</v>
      </c>
      <c r="DH56" s="81" t="s">
        <v>434</v>
      </c>
      <c r="DI56" s="204">
        <f t="shared" si="14"/>
        <v>50</v>
      </c>
      <c r="DJ56" s="81" t="s">
        <v>392</v>
      </c>
      <c r="DP56" s="290" t="s">
        <v>506</v>
      </c>
      <c r="DQ56" s="290" t="s">
        <v>493</v>
      </c>
      <c r="DR56" s="291">
        <v>6.4900000000000001E-3</v>
      </c>
      <c r="DS56" s="291">
        <v>1.08E-4</v>
      </c>
      <c r="DT56" s="290">
        <v>60.17</v>
      </c>
      <c r="DU56" s="290" t="s">
        <v>509</v>
      </c>
      <c r="DV56" s="291">
        <v>2E-16</v>
      </c>
      <c r="DW56" s="81" t="s">
        <v>510</v>
      </c>
      <c r="DX56" s="212" t="s">
        <v>568</v>
      </c>
      <c r="DY56" s="297" t="s">
        <v>602</v>
      </c>
      <c r="DZ56" s="292" t="s">
        <v>434</v>
      </c>
      <c r="EA56" s="293">
        <f t="shared" si="31"/>
        <v>0.627</v>
      </c>
      <c r="EB56" s="212" t="s">
        <v>392</v>
      </c>
    </row>
    <row r="57" spans="2:132" thickTop="1" thickBot="1" x14ac:dyDescent="0.3">
      <c r="W57" s="310"/>
      <c r="X57" s="231" t="s">
        <v>611</v>
      </c>
      <c r="Y57" s="221">
        <v>0.14000000000000001</v>
      </c>
      <c r="Z57" s="221">
        <v>0.54</v>
      </c>
      <c r="AA57" s="221">
        <v>1400</v>
      </c>
      <c r="AB57" s="231">
        <v>840</v>
      </c>
      <c r="AC57" s="268">
        <f>Y57/Z57</f>
        <v>0.25925925925925924</v>
      </c>
      <c r="AD57" s="222">
        <f>Y57*AA57*AB57</f>
        <v>164640.00000000003</v>
      </c>
      <c r="AN57" s="160" t="s">
        <v>433</v>
      </c>
      <c r="AO57" s="160">
        <f>SUM(AO47,AO33:AO35)</f>
        <v>1</v>
      </c>
      <c r="AP57" s="160"/>
      <c r="BR57" s="160" t="s">
        <v>433</v>
      </c>
      <c r="BS57" s="160">
        <f>SUM(BS47,BS33:BS35)</f>
        <v>0.98880000000000012</v>
      </c>
      <c r="BT57" s="160"/>
      <c r="CM57" s="81" t="s">
        <v>506</v>
      </c>
      <c r="CN57" s="81" t="s">
        <v>519</v>
      </c>
      <c r="CO57" s="204">
        <v>1.15E-3</v>
      </c>
      <c r="CP57" s="204">
        <v>8.8200000000000003E-5</v>
      </c>
      <c r="CQ57" s="81">
        <v>13.04</v>
      </c>
      <c r="CR57" s="81" t="s">
        <v>509</v>
      </c>
      <c r="CS57" s="204">
        <v>2E-16</v>
      </c>
      <c r="CT57" s="81" t="s">
        <v>510</v>
      </c>
      <c r="CU57" s="212" t="s">
        <v>506</v>
      </c>
      <c r="CV57" s="81" t="s">
        <v>531</v>
      </c>
      <c r="CW57" s="204">
        <v>-10</v>
      </c>
      <c r="CX57" s="204">
        <v>1.5799999999999999E-4</v>
      </c>
      <c r="CY57" s="81">
        <v>-63411</v>
      </c>
      <c r="CZ57" s="81" t="s">
        <v>505</v>
      </c>
      <c r="DA57" s="81" t="s">
        <v>510</v>
      </c>
      <c r="DI57" s="204"/>
      <c r="DP57" s="290" t="s">
        <v>506</v>
      </c>
      <c r="DQ57" s="290" t="s">
        <v>494</v>
      </c>
      <c r="DR57" s="291">
        <v>148</v>
      </c>
      <c r="DS57" s="291">
        <v>1.17</v>
      </c>
      <c r="DT57" s="290">
        <v>126.65</v>
      </c>
      <c r="DU57" s="290" t="s">
        <v>509</v>
      </c>
      <c r="DV57" s="291">
        <v>2E-16</v>
      </c>
      <c r="DW57" s="81" t="s">
        <v>510</v>
      </c>
      <c r="DX57" s="212" t="s">
        <v>568</v>
      </c>
      <c r="DY57" s="297" t="s">
        <v>603</v>
      </c>
      <c r="DZ57" s="292" t="s">
        <v>434</v>
      </c>
      <c r="EA57" s="293">
        <f t="shared" si="31"/>
        <v>1.17</v>
      </c>
      <c r="EB57" s="212" t="s">
        <v>392</v>
      </c>
    </row>
    <row r="58" spans="2:132" thickTop="1" thickBot="1" x14ac:dyDescent="0.3">
      <c r="W58" s="312"/>
      <c r="X58" s="313" t="s">
        <v>269</v>
      </c>
      <c r="Y58" s="314">
        <v>0</v>
      </c>
      <c r="Z58" s="314">
        <v>3.5999999999999997E-2</v>
      </c>
      <c r="AA58" s="314">
        <v>26</v>
      </c>
      <c r="AB58" s="314">
        <v>1470</v>
      </c>
      <c r="AC58" s="315">
        <f>Y58/Z58</f>
        <v>0</v>
      </c>
      <c r="AD58" s="316">
        <f>Y58*AA58*AB58</f>
        <v>0</v>
      </c>
      <c r="CM58" s="81" t="s">
        <v>506</v>
      </c>
      <c r="CN58" s="81" t="s">
        <v>492</v>
      </c>
      <c r="CO58" s="204">
        <v>-2.19</v>
      </c>
      <c r="CP58" s="204">
        <v>2.1600000000000001E-2</v>
      </c>
      <c r="CQ58" s="81">
        <v>-101.52</v>
      </c>
      <c r="CR58" s="81" t="s">
        <v>509</v>
      </c>
      <c r="CS58" s="204">
        <v>2E-16</v>
      </c>
      <c r="CT58" s="81" t="s">
        <v>510</v>
      </c>
      <c r="CU58" s="212" t="s">
        <v>506</v>
      </c>
      <c r="CV58" s="81" t="s">
        <v>532</v>
      </c>
      <c r="CW58" s="204">
        <v>-10</v>
      </c>
      <c r="CX58" s="204">
        <v>1.5799999999999999E-4</v>
      </c>
      <c r="CY58" s="81">
        <v>-63411</v>
      </c>
      <c r="CZ58" s="81" t="s">
        <v>505</v>
      </c>
      <c r="DA58" s="81" t="s">
        <v>510</v>
      </c>
      <c r="DI58" s="204"/>
      <c r="DP58" s="290" t="s">
        <v>506</v>
      </c>
      <c r="DQ58" s="290" t="s">
        <v>495</v>
      </c>
      <c r="DR58" s="291">
        <v>5220</v>
      </c>
      <c r="DS58" s="291">
        <v>692</v>
      </c>
      <c r="DT58" s="290">
        <v>7.54</v>
      </c>
      <c r="DU58" s="291">
        <v>5.3000000000000001E-14</v>
      </c>
      <c r="DV58" s="290" t="s">
        <v>510</v>
      </c>
      <c r="DX58" s="212" t="s">
        <v>568</v>
      </c>
      <c r="DY58" s="297" t="s">
        <v>604</v>
      </c>
      <c r="DZ58" s="292" t="s">
        <v>434</v>
      </c>
      <c r="EA58" s="293">
        <f t="shared" si="31"/>
        <v>0.49199999999999999</v>
      </c>
      <c r="EB58" s="212" t="s">
        <v>392</v>
      </c>
    </row>
    <row r="59" spans="2:132" thickTop="1" thickBot="1" x14ac:dyDescent="0.3">
      <c r="CM59" s="81" t="s">
        <v>506</v>
      </c>
      <c r="CN59" s="81" t="s">
        <v>520</v>
      </c>
      <c r="CO59" s="204">
        <v>-5.72</v>
      </c>
      <c r="CP59" s="204">
        <v>2.24E-2</v>
      </c>
      <c r="CQ59" s="81">
        <v>-255.17</v>
      </c>
      <c r="CR59" s="81" t="s">
        <v>509</v>
      </c>
      <c r="CS59" s="204">
        <v>2E-16</v>
      </c>
      <c r="CT59" s="81" t="s">
        <v>510</v>
      </c>
      <c r="CU59" s="212" t="s">
        <v>506</v>
      </c>
      <c r="CV59" s="81" t="s">
        <v>429</v>
      </c>
      <c r="CW59" s="204">
        <v>532</v>
      </c>
      <c r="CX59" s="204">
        <v>8.1700000000000002E-3</v>
      </c>
      <c r="CY59" s="81">
        <v>65144</v>
      </c>
      <c r="CZ59" s="81" t="s">
        <v>505</v>
      </c>
      <c r="DA59" s="81" t="s">
        <v>510</v>
      </c>
      <c r="DI59" s="204"/>
      <c r="DP59" s="290" t="s">
        <v>506</v>
      </c>
      <c r="DQ59" s="290" t="s">
        <v>496</v>
      </c>
      <c r="DR59" s="291">
        <v>58.9</v>
      </c>
      <c r="DS59" s="291">
        <v>1.25</v>
      </c>
      <c r="DT59" s="290">
        <v>47.14</v>
      </c>
      <c r="DU59" s="290" t="s">
        <v>509</v>
      </c>
      <c r="DV59" s="291">
        <v>2E-16</v>
      </c>
      <c r="DW59" s="81" t="s">
        <v>510</v>
      </c>
      <c r="DX59" s="212" t="s">
        <v>568</v>
      </c>
      <c r="DY59" s="297" t="s">
        <v>605</v>
      </c>
      <c r="DZ59" s="292" t="s">
        <v>434</v>
      </c>
      <c r="EA59" s="293">
        <f t="shared" si="31"/>
        <v>0.26500000000000001</v>
      </c>
      <c r="EB59" s="212" t="s">
        <v>392</v>
      </c>
    </row>
    <row r="60" spans="2:132" thickTop="1" thickBot="1" x14ac:dyDescent="0.3">
      <c r="CM60" s="81" t="s">
        <v>506</v>
      </c>
      <c r="CN60" s="81" t="s">
        <v>429</v>
      </c>
      <c r="CO60" s="204">
        <v>138</v>
      </c>
      <c r="CP60" s="204">
        <v>1.2</v>
      </c>
      <c r="CQ60" s="81">
        <v>115.34</v>
      </c>
      <c r="CR60" s="81" t="s">
        <v>509</v>
      </c>
      <c r="CS60" s="204">
        <v>2E-16</v>
      </c>
      <c r="CT60" s="81" t="s">
        <v>510</v>
      </c>
      <c r="CU60" s="212" t="s">
        <v>506</v>
      </c>
      <c r="CV60" s="81" t="s">
        <v>430</v>
      </c>
      <c r="CW60" s="204">
        <v>1</v>
      </c>
      <c r="CX60" s="204">
        <v>1.5800000000000001E-5</v>
      </c>
      <c r="CY60" s="81">
        <v>63424</v>
      </c>
      <c r="CZ60" s="81" t="s">
        <v>505</v>
      </c>
      <c r="DA60" s="81" t="s">
        <v>510</v>
      </c>
      <c r="DI60" s="204"/>
      <c r="DY60" s="297"/>
      <c r="DZ60" s="292"/>
      <c r="EA60" s="293"/>
    </row>
    <row r="61" spans="2:132" thickTop="1" thickBot="1" x14ac:dyDescent="0.3">
      <c r="CM61" s="81" t="s">
        <v>506</v>
      </c>
      <c r="CN61" s="81" t="s">
        <v>430</v>
      </c>
      <c r="CO61" s="204">
        <v>7610</v>
      </c>
      <c r="CP61" s="204">
        <v>117</v>
      </c>
      <c r="CQ61" s="81">
        <v>64.83</v>
      </c>
      <c r="CR61" s="81" t="s">
        <v>509</v>
      </c>
      <c r="CS61" s="204">
        <v>2E-16</v>
      </c>
      <c r="CT61" s="81" t="s">
        <v>510</v>
      </c>
      <c r="CU61" s="212" t="s">
        <v>506</v>
      </c>
      <c r="CV61" s="81" t="s">
        <v>431</v>
      </c>
      <c r="CW61" s="204">
        <v>351</v>
      </c>
      <c r="CX61" s="204">
        <v>5.3400000000000001E-3</v>
      </c>
      <c r="CY61" s="81">
        <v>65718</v>
      </c>
      <c r="CZ61" s="81" t="s">
        <v>505</v>
      </c>
      <c r="DA61" s="81" t="s">
        <v>510</v>
      </c>
      <c r="DI61" s="204"/>
      <c r="DX61" s="212" t="s">
        <v>568</v>
      </c>
      <c r="DY61" s="297" t="s">
        <v>413</v>
      </c>
      <c r="DZ61" s="292" t="s">
        <v>434</v>
      </c>
      <c r="EA61" s="293">
        <f>DR86</f>
        <v>1190000</v>
      </c>
      <c r="EB61" s="212" t="s">
        <v>392</v>
      </c>
    </row>
    <row r="62" spans="2:132" thickTop="1" thickBot="1" x14ac:dyDescent="0.3">
      <c r="CM62" s="81" t="s">
        <v>506</v>
      </c>
      <c r="CN62" s="81" t="s">
        <v>431</v>
      </c>
      <c r="CO62" s="204">
        <v>371</v>
      </c>
      <c r="CP62" s="204">
        <v>5.67</v>
      </c>
      <c r="CQ62" s="81">
        <v>65.489999999999995</v>
      </c>
      <c r="CR62" s="81" t="s">
        <v>509</v>
      </c>
      <c r="CS62" s="204">
        <v>2E-16</v>
      </c>
      <c r="CT62" s="81" t="s">
        <v>510</v>
      </c>
      <c r="CU62" s="212" t="s">
        <v>506</v>
      </c>
      <c r="CV62" s="81" t="s">
        <v>408</v>
      </c>
      <c r="CW62" s="204">
        <v>61.2</v>
      </c>
      <c r="CX62" s="204">
        <v>2.7300000000000002E-4</v>
      </c>
      <c r="CY62" s="81">
        <v>224462</v>
      </c>
      <c r="CZ62" s="81" t="s">
        <v>505</v>
      </c>
      <c r="DA62" s="81" t="s">
        <v>510</v>
      </c>
      <c r="DI62" s="204"/>
      <c r="DP62" s="290" t="s">
        <v>506</v>
      </c>
      <c r="DQ62" s="290" t="s">
        <v>497</v>
      </c>
      <c r="DR62" s="290" t="s">
        <v>558</v>
      </c>
      <c r="DX62" s="212" t="s">
        <v>568</v>
      </c>
      <c r="DY62" s="297" t="s">
        <v>414</v>
      </c>
      <c r="DZ62" s="292" t="s">
        <v>434</v>
      </c>
      <c r="EA62" s="293">
        <f t="shared" ref="EA62:EA63" si="32">DR87</f>
        <v>6550000</v>
      </c>
      <c r="EB62" s="212" t="s">
        <v>392</v>
      </c>
    </row>
    <row r="63" spans="2:132" thickTop="1" thickBot="1" x14ac:dyDescent="0.3">
      <c r="CU63" s="212" t="s">
        <v>506</v>
      </c>
      <c r="CV63" s="81" t="s">
        <v>422</v>
      </c>
      <c r="CW63" s="204">
        <v>50</v>
      </c>
      <c r="CX63" s="204">
        <v>2.2499999999999999E-4</v>
      </c>
      <c r="CY63" s="81">
        <v>221939</v>
      </c>
      <c r="CZ63" s="81" t="s">
        <v>505</v>
      </c>
      <c r="DA63" s="81" t="s">
        <v>510</v>
      </c>
      <c r="DP63" s="290" t="s">
        <v>506</v>
      </c>
      <c r="DQ63" s="290" t="s">
        <v>499</v>
      </c>
      <c r="DX63" s="212" t="s">
        <v>568</v>
      </c>
      <c r="DY63" s="297" t="s">
        <v>415</v>
      </c>
      <c r="DZ63" s="292" t="s">
        <v>434</v>
      </c>
      <c r="EA63" s="293">
        <f t="shared" si="32"/>
        <v>10100000</v>
      </c>
      <c r="EB63" s="212" t="s">
        <v>392</v>
      </c>
    </row>
    <row r="64" spans="2:132" thickTop="1" thickBot="1" x14ac:dyDescent="0.3">
      <c r="DP64" s="290" t="s">
        <v>506</v>
      </c>
      <c r="DQ64" s="290" t="s">
        <v>500</v>
      </c>
      <c r="DR64" s="290" t="s">
        <v>501</v>
      </c>
      <c r="DS64" s="290" t="s">
        <v>502</v>
      </c>
      <c r="DT64" s="290" t="s">
        <v>503</v>
      </c>
      <c r="DU64" s="290" t="s">
        <v>504</v>
      </c>
      <c r="DV64" s="290" t="s">
        <v>508</v>
      </c>
      <c r="DZ64" s="292"/>
    </row>
    <row r="65" spans="120:132" thickTop="1" thickBot="1" x14ac:dyDescent="0.3">
      <c r="DP65" s="290" t="s">
        <v>506</v>
      </c>
      <c r="DQ65" s="290" t="s">
        <v>465</v>
      </c>
      <c r="DR65" s="291">
        <v>290</v>
      </c>
      <c r="DS65" s="291">
        <v>0.22</v>
      </c>
      <c r="DT65" s="290">
        <v>1317.99</v>
      </c>
      <c r="DU65" s="290" t="s">
        <v>509</v>
      </c>
      <c r="DV65" s="291">
        <v>2E-16</v>
      </c>
      <c r="DW65" s="81" t="s">
        <v>510</v>
      </c>
      <c r="DX65" s="212" t="s">
        <v>568</v>
      </c>
      <c r="DY65" s="297" t="s">
        <v>416</v>
      </c>
      <c r="DZ65" s="292" t="s">
        <v>434</v>
      </c>
      <c r="EA65" s="293">
        <f>DR93</f>
        <v>0.19600000000000001</v>
      </c>
      <c r="EB65" s="212" t="s">
        <v>392</v>
      </c>
    </row>
    <row r="66" spans="120:132" thickTop="1" thickBot="1" x14ac:dyDescent="0.3">
      <c r="DP66" s="290" t="s">
        <v>506</v>
      </c>
      <c r="DQ66" s="290" t="s">
        <v>466</v>
      </c>
      <c r="DR66" s="291">
        <v>285</v>
      </c>
      <c r="DS66" s="291">
        <v>0.32900000000000001</v>
      </c>
      <c r="DT66" s="290">
        <v>866.96</v>
      </c>
      <c r="DU66" s="290" t="s">
        <v>509</v>
      </c>
      <c r="DV66" s="291">
        <v>2E-16</v>
      </c>
      <c r="DW66" s="81" t="s">
        <v>510</v>
      </c>
      <c r="DX66" s="212" t="s">
        <v>568</v>
      </c>
      <c r="DY66" s="297" t="s">
        <v>417</v>
      </c>
      <c r="DZ66" s="292" t="s">
        <v>434</v>
      </c>
      <c r="EA66" s="293">
        <f t="shared" ref="EA66:EA68" si="33">DR94</f>
        <v>4.8800000000000003E-2</v>
      </c>
      <c r="EB66" s="212" t="s">
        <v>392</v>
      </c>
    </row>
    <row r="67" spans="120:132" thickTop="1" thickBot="1" x14ac:dyDescent="0.3">
      <c r="DP67" s="290" t="s">
        <v>506</v>
      </c>
      <c r="DQ67" s="290" t="s">
        <v>467</v>
      </c>
      <c r="DR67" s="291">
        <v>291</v>
      </c>
      <c r="DS67" s="291">
        <v>0.11799999999999999</v>
      </c>
      <c r="DT67" s="290">
        <v>2468.87</v>
      </c>
      <c r="DU67" s="290" t="s">
        <v>509</v>
      </c>
      <c r="DV67" s="291">
        <v>2E-16</v>
      </c>
      <c r="DW67" s="81" t="s">
        <v>510</v>
      </c>
      <c r="DX67" s="212" t="s">
        <v>568</v>
      </c>
      <c r="DY67" s="297" t="s">
        <v>418</v>
      </c>
      <c r="DZ67" s="292" t="s">
        <v>434</v>
      </c>
      <c r="EA67" s="293">
        <f t="shared" si="33"/>
        <v>0.61299999999999999</v>
      </c>
      <c r="EB67" s="212" t="s">
        <v>392</v>
      </c>
    </row>
    <row r="68" spans="120:132" thickTop="1" thickBot="1" x14ac:dyDescent="0.3">
      <c r="DP68" s="290" t="s">
        <v>506</v>
      </c>
      <c r="DQ68" s="290" t="s">
        <v>468</v>
      </c>
      <c r="DR68" s="291">
        <v>293</v>
      </c>
      <c r="DS68" s="291">
        <v>0.17</v>
      </c>
      <c r="DT68" s="290">
        <v>1728.99</v>
      </c>
      <c r="DU68" s="290" t="s">
        <v>509</v>
      </c>
      <c r="DV68" s="291">
        <v>2E-16</v>
      </c>
      <c r="DW68" s="81" t="s">
        <v>510</v>
      </c>
      <c r="DX68" s="212" t="s">
        <v>568</v>
      </c>
      <c r="DY68" s="297" t="s">
        <v>519</v>
      </c>
      <c r="DZ68" s="292" t="s">
        <v>434</v>
      </c>
      <c r="EA68" s="293">
        <f t="shared" si="33"/>
        <v>9.3799999999999994E-2</v>
      </c>
      <c r="EB68" s="212" t="s">
        <v>392</v>
      </c>
    </row>
    <row r="69" spans="120:132" thickTop="1" thickBot="1" x14ac:dyDescent="0.3">
      <c r="DP69" s="290" t="s">
        <v>506</v>
      </c>
      <c r="DQ69" s="290" t="s">
        <v>541</v>
      </c>
      <c r="DR69" s="291">
        <v>0.33600000000000002</v>
      </c>
      <c r="DS69" s="291">
        <v>5.7599999999999998E-2</v>
      </c>
      <c r="DT69" s="290">
        <v>5.83</v>
      </c>
      <c r="DU69" s="291">
        <v>5.7999999999999998E-9</v>
      </c>
      <c r="DV69" s="290" t="s">
        <v>510</v>
      </c>
      <c r="DZ69" s="292"/>
    </row>
    <row r="70" spans="120:132" thickTop="1" thickBot="1" x14ac:dyDescent="0.3">
      <c r="DP70" s="290" t="s">
        <v>506</v>
      </c>
      <c r="DQ70" s="290" t="s">
        <v>410</v>
      </c>
      <c r="DR70" s="291">
        <v>1.17E-14</v>
      </c>
      <c r="DS70" s="291">
        <v>6.34E-12</v>
      </c>
      <c r="DT70" s="290">
        <v>0</v>
      </c>
      <c r="DU70" s="290">
        <v>1</v>
      </c>
      <c r="DX70" s="212" t="s">
        <v>568</v>
      </c>
      <c r="DY70" s="297" t="s">
        <v>606</v>
      </c>
      <c r="DZ70" s="292" t="s">
        <v>434</v>
      </c>
      <c r="EA70" s="293">
        <f>DR97</f>
        <v>199</v>
      </c>
      <c r="EB70" s="212" t="s">
        <v>392</v>
      </c>
    </row>
    <row r="71" spans="120:132" thickTop="1" thickBot="1" x14ac:dyDescent="0.3">
      <c r="DP71" s="290" t="s">
        <v>506</v>
      </c>
      <c r="DQ71" s="290" t="s">
        <v>542</v>
      </c>
      <c r="DR71" s="291">
        <v>0.79200000000000004</v>
      </c>
      <c r="DS71" s="291">
        <v>3.32E-2</v>
      </c>
      <c r="DT71" s="290">
        <v>23.82</v>
      </c>
      <c r="DU71" s="290" t="s">
        <v>509</v>
      </c>
      <c r="DV71" s="291">
        <v>2E-16</v>
      </c>
      <c r="DW71" s="81" t="s">
        <v>510</v>
      </c>
      <c r="DX71" s="212" t="s">
        <v>568</v>
      </c>
      <c r="DY71" s="297" t="s">
        <v>420</v>
      </c>
      <c r="DZ71" s="292" t="s">
        <v>434</v>
      </c>
      <c r="EA71" s="293">
        <f t="shared" ref="EA71:EA72" si="34">DR98</f>
        <v>86.6</v>
      </c>
      <c r="EB71" s="212" t="s">
        <v>392</v>
      </c>
    </row>
    <row r="72" spans="120:132" thickTop="1" thickBot="1" x14ac:dyDescent="0.3">
      <c r="DP72" s="290" t="s">
        <v>506</v>
      </c>
      <c r="DQ72" s="290" t="s">
        <v>543</v>
      </c>
      <c r="DR72" s="291">
        <v>0.66100000000000003</v>
      </c>
      <c r="DS72" s="291">
        <v>5.67E-2</v>
      </c>
      <c r="DT72" s="290">
        <v>11.64</v>
      </c>
      <c r="DU72" s="290" t="s">
        <v>509</v>
      </c>
      <c r="DV72" s="291">
        <v>2E-16</v>
      </c>
      <c r="DW72" s="81" t="s">
        <v>510</v>
      </c>
      <c r="DX72" s="212" t="s">
        <v>568</v>
      </c>
      <c r="DY72" s="297" t="s">
        <v>421</v>
      </c>
      <c r="DZ72" s="292" t="s">
        <v>434</v>
      </c>
      <c r="EA72" s="293">
        <f t="shared" si="34"/>
        <v>66.8</v>
      </c>
      <c r="EB72" s="212" t="s">
        <v>392</v>
      </c>
    </row>
    <row r="73" spans="120:132" thickTop="1" thickBot="1" x14ac:dyDescent="0.3">
      <c r="DP73" s="290" t="s">
        <v>506</v>
      </c>
      <c r="DQ73" s="290" t="s">
        <v>544</v>
      </c>
      <c r="DR73" s="291">
        <v>0.25700000000000001</v>
      </c>
      <c r="DS73" s="291">
        <v>1.1299999999999999E-2</v>
      </c>
      <c r="DT73" s="290">
        <v>22.71</v>
      </c>
      <c r="DU73" s="290" t="s">
        <v>509</v>
      </c>
      <c r="DV73" s="291">
        <v>2E-16</v>
      </c>
      <c r="DW73" s="81" t="s">
        <v>510</v>
      </c>
      <c r="DX73" s="212" t="s">
        <v>568</v>
      </c>
      <c r="DY73" s="297" t="s">
        <v>422</v>
      </c>
      <c r="DZ73" s="292" t="s">
        <v>434</v>
      </c>
      <c r="EA73" s="293">
        <f>1/DR104</f>
        <v>273.97260273972603</v>
      </c>
      <c r="EB73" s="212" t="s">
        <v>392</v>
      </c>
    </row>
    <row r="74" spans="120:132" thickTop="1" thickBot="1" x14ac:dyDescent="0.3">
      <c r="DP74" s="290" t="s">
        <v>506</v>
      </c>
      <c r="DQ74" s="290" t="s">
        <v>411</v>
      </c>
      <c r="DR74" s="291">
        <v>0.27100000000000002</v>
      </c>
      <c r="DS74" s="291">
        <v>3.7699999999999997E-2</v>
      </c>
      <c r="DT74" s="290">
        <v>7.18</v>
      </c>
      <c r="DU74" s="291">
        <v>7.6999999999999995E-13</v>
      </c>
      <c r="DV74" s="290" t="s">
        <v>510</v>
      </c>
      <c r="DZ74" s="292"/>
    </row>
    <row r="75" spans="120:132" thickTop="1" thickBot="1" x14ac:dyDescent="0.3">
      <c r="DP75" s="290" t="s">
        <v>506</v>
      </c>
      <c r="DQ75" s="290" t="s">
        <v>545</v>
      </c>
      <c r="DR75" s="291">
        <v>0.22900000000000001</v>
      </c>
      <c r="DS75" s="291">
        <v>6.6100000000000004E-3</v>
      </c>
      <c r="DT75" s="290">
        <v>34.57</v>
      </c>
      <c r="DU75" s="290" t="s">
        <v>509</v>
      </c>
      <c r="DV75" s="291">
        <v>2E-16</v>
      </c>
      <c r="DW75" s="81" t="s">
        <v>510</v>
      </c>
      <c r="DX75" s="212" t="s">
        <v>568</v>
      </c>
      <c r="DY75" s="297" t="s">
        <v>515</v>
      </c>
      <c r="DZ75" s="292" t="s">
        <v>434</v>
      </c>
      <c r="EA75" s="293">
        <f>DR115</f>
        <v>120000000</v>
      </c>
      <c r="EB75" s="212" t="s">
        <v>392</v>
      </c>
    </row>
    <row r="76" spans="120:132" thickTop="1" thickBot="1" x14ac:dyDescent="0.3">
      <c r="DP76" s="290" t="s">
        <v>506</v>
      </c>
      <c r="DQ76" s="290" t="s">
        <v>546</v>
      </c>
      <c r="DR76" s="291">
        <v>0.13400000000000001</v>
      </c>
      <c r="DS76" s="291">
        <v>1.1299999999999999E-2</v>
      </c>
      <c r="DT76" s="290">
        <v>11.84</v>
      </c>
      <c r="DU76" s="290" t="s">
        <v>509</v>
      </c>
      <c r="DV76" s="291">
        <v>2E-16</v>
      </c>
      <c r="DW76" s="81" t="s">
        <v>510</v>
      </c>
      <c r="DX76" s="212" t="s">
        <v>568</v>
      </c>
      <c r="DY76" s="297" t="s">
        <v>426</v>
      </c>
      <c r="DZ76" s="292" t="s">
        <v>434</v>
      </c>
      <c r="EA76" s="293">
        <f>DR116</f>
        <v>630000</v>
      </c>
      <c r="EB76" s="212" t="s">
        <v>392</v>
      </c>
    </row>
    <row r="77" spans="120:132" thickTop="1" thickBot="1" x14ac:dyDescent="0.3">
      <c r="DP77" s="290" t="s">
        <v>506</v>
      </c>
      <c r="DQ77" s="290" t="s">
        <v>547</v>
      </c>
      <c r="DR77" s="291">
        <v>0.111</v>
      </c>
      <c r="DS77" s="291">
        <v>0.11700000000000001</v>
      </c>
      <c r="DT77" s="290">
        <v>0.94</v>
      </c>
      <c r="DU77" s="290">
        <v>0.35</v>
      </c>
      <c r="DX77" s="212" t="s">
        <v>568</v>
      </c>
      <c r="DY77" s="297" t="s">
        <v>429</v>
      </c>
      <c r="DZ77" s="292" t="s">
        <v>434</v>
      </c>
      <c r="EA77" s="293">
        <f>DR123</f>
        <v>138</v>
      </c>
      <c r="EB77" s="212" t="s">
        <v>392</v>
      </c>
    </row>
    <row r="78" spans="120:132" thickTop="1" thickBot="1" x14ac:dyDescent="0.3">
      <c r="DP78" s="290" t="s">
        <v>506</v>
      </c>
      <c r="DQ78" s="290" t="s">
        <v>412</v>
      </c>
      <c r="DR78" s="291">
        <v>2.6099999999999999E-11</v>
      </c>
      <c r="DS78" s="291">
        <v>1.31E-8</v>
      </c>
      <c r="DT78" s="290">
        <v>0</v>
      </c>
      <c r="DU78" s="290">
        <v>1</v>
      </c>
      <c r="DX78" s="212" t="s">
        <v>568</v>
      </c>
      <c r="DY78" s="297" t="s">
        <v>430</v>
      </c>
      <c r="DZ78" s="292" t="s">
        <v>434</v>
      </c>
      <c r="EA78" s="293">
        <f t="shared" ref="EA78:EA79" si="35">DR124</f>
        <v>7610</v>
      </c>
      <c r="EB78" s="212" t="s">
        <v>392</v>
      </c>
    </row>
    <row r="79" spans="120:132" thickTop="1" thickBot="1" x14ac:dyDescent="0.3">
      <c r="DP79" s="290" t="s">
        <v>506</v>
      </c>
      <c r="DQ79" s="290" t="s">
        <v>548</v>
      </c>
      <c r="DR79" s="291">
        <v>3.2300000000000002E-10</v>
      </c>
      <c r="DS79" s="291">
        <v>1.36E-7</v>
      </c>
      <c r="DT79" s="290">
        <v>0</v>
      </c>
      <c r="DU79" s="290">
        <v>1</v>
      </c>
      <c r="DX79" s="212" t="s">
        <v>568</v>
      </c>
      <c r="DY79" s="297" t="s">
        <v>431</v>
      </c>
      <c r="DZ79" s="292" t="s">
        <v>434</v>
      </c>
      <c r="EA79" s="293">
        <f t="shared" si="35"/>
        <v>371</v>
      </c>
      <c r="EB79" s="212" t="s">
        <v>392</v>
      </c>
    </row>
    <row r="80" spans="120:132" thickTop="1" thickBot="1" x14ac:dyDescent="0.3">
      <c r="DP80" s="290" t="s">
        <v>506</v>
      </c>
      <c r="DQ80" s="290" t="s">
        <v>549</v>
      </c>
      <c r="DR80" s="291">
        <v>3.5200000000000002E-2</v>
      </c>
      <c r="DS80" s="291">
        <v>0.123</v>
      </c>
      <c r="DT80" s="290">
        <v>0.28999999999999998</v>
      </c>
      <c r="DU80" s="290">
        <v>0.78</v>
      </c>
    </row>
    <row r="81" spans="120:127" thickTop="1" thickBot="1" x14ac:dyDescent="0.3">
      <c r="DP81" s="290" t="s">
        <v>506</v>
      </c>
      <c r="DQ81" s="290" t="s">
        <v>550</v>
      </c>
      <c r="DR81" s="291">
        <v>0.627</v>
      </c>
      <c r="DS81" s="291">
        <v>3.4200000000000001E-2</v>
      </c>
      <c r="DT81" s="290">
        <v>18.37</v>
      </c>
      <c r="DU81" s="290" t="s">
        <v>509</v>
      </c>
      <c r="DV81" s="291">
        <v>2E-16</v>
      </c>
      <c r="DW81" s="81" t="s">
        <v>510</v>
      </c>
    </row>
    <row r="82" spans="120:127" thickTop="1" thickBot="1" x14ac:dyDescent="0.3">
      <c r="DP82" s="290" t="s">
        <v>506</v>
      </c>
      <c r="DQ82" s="290" t="s">
        <v>551</v>
      </c>
      <c r="DR82" s="291">
        <v>1.17</v>
      </c>
      <c r="DS82" s="291">
        <v>0.113</v>
      </c>
      <c r="DT82" s="290">
        <v>10.35</v>
      </c>
      <c r="DU82" s="290" t="s">
        <v>509</v>
      </c>
      <c r="DV82" s="291">
        <v>2E-16</v>
      </c>
      <c r="DW82" s="81" t="s">
        <v>510</v>
      </c>
    </row>
    <row r="83" spans="120:127" thickTop="1" thickBot="1" x14ac:dyDescent="0.3">
      <c r="DP83" s="290" t="s">
        <v>506</v>
      </c>
      <c r="DQ83" s="290" t="s">
        <v>552</v>
      </c>
      <c r="DR83" s="291">
        <v>0.49199999999999999</v>
      </c>
      <c r="DS83" s="291">
        <v>1.9599999999999999E-2</v>
      </c>
      <c r="DT83" s="290">
        <v>25.16</v>
      </c>
      <c r="DU83" s="290" t="s">
        <v>509</v>
      </c>
      <c r="DV83" s="291">
        <v>2E-16</v>
      </c>
      <c r="DW83" s="81" t="s">
        <v>510</v>
      </c>
    </row>
    <row r="84" spans="120:127" thickTop="1" thickBot="1" x14ac:dyDescent="0.3">
      <c r="DP84" s="290" t="s">
        <v>506</v>
      </c>
      <c r="DQ84" s="290" t="s">
        <v>553</v>
      </c>
      <c r="DR84" s="291">
        <v>0.26500000000000001</v>
      </c>
      <c r="DS84" s="291">
        <v>3.3099999999999997E-2</v>
      </c>
      <c r="DT84" s="290">
        <v>8.01</v>
      </c>
      <c r="DU84" s="291">
        <v>1.6E-15</v>
      </c>
      <c r="DV84" s="290" t="s">
        <v>510</v>
      </c>
    </row>
    <row r="85" spans="120:127" thickTop="1" thickBot="1" x14ac:dyDescent="0.3">
      <c r="DP85" s="290" t="s">
        <v>506</v>
      </c>
      <c r="DQ85" s="290" t="s">
        <v>298</v>
      </c>
      <c r="DR85" s="291">
        <v>992000000</v>
      </c>
      <c r="DS85" s="291">
        <v>45100000</v>
      </c>
      <c r="DT85" s="290">
        <v>22.02</v>
      </c>
      <c r="DU85" s="290" t="s">
        <v>509</v>
      </c>
      <c r="DV85" s="291">
        <v>2E-16</v>
      </c>
      <c r="DW85" s="81" t="s">
        <v>510</v>
      </c>
    </row>
    <row r="86" spans="120:127" thickTop="1" thickBot="1" x14ac:dyDescent="0.3">
      <c r="DP86" s="290" t="s">
        <v>506</v>
      </c>
      <c r="DQ86" s="290" t="s">
        <v>475</v>
      </c>
      <c r="DR86" s="291">
        <v>1190000</v>
      </c>
      <c r="DS86" s="291">
        <v>32000</v>
      </c>
      <c r="DT86" s="290">
        <v>37.159999999999997</v>
      </c>
      <c r="DU86" s="290" t="s">
        <v>509</v>
      </c>
      <c r="DV86" s="291">
        <v>2E-16</v>
      </c>
      <c r="DW86" s="81" t="s">
        <v>510</v>
      </c>
    </row>
    <row r="87" spans="120:127" thickTop="1" thickBot="1" x14ac:dyDescent="0.3">
      <c r="DP87" s="290" t="s">
        <v>506</v>
      </c>
      <c r="DQ87" s="290" t="s">
        <v>291</v>
      </c>
      <c r="DR87" s="291">
        <v>6550000</v>
      </c>
      <c r="DS87" s="291">
        <v>603000</v>
      </c>
      <c r="DT87" s="290">
        <v>10.85</v>
      </c>
      <c r="DU87" s="290" t="s">
        <v>509</v>
      </c>
      <c r="DV87" s="291">
        <v>2E-16</v>
      </c>
      <c r="DW87" s="81" t="s">
        <v>510</v>
      </c>
    </row>
    <row r="88" spans="120:127" thickTop="1" thickBot="1" x14ac:dyDescent="0.3">
      <c r="DP88" s="290" t="s">
        <v>506</v>
      </c>
      <c r="DQ88" s="290" t="s">
        <v>293</v>
      </c>
      <c r="DR88" s="291">
        <v>10100000</v>
      </c>
      <c r="DS88" s="291">
        <v>1450000</v>
      </c>
      <c r="DT88" s="290">
        <v>6.98</v>
      </c>
      <c r="DU88" s="291">
        <v>3.3000000000000001E-12</v>
      </c>
      <c r="DV88" s="290" t="s">
        <v>510</v>
      </c>
    </row>
    <row r="89" spans="120:127" thickTop="1" thickBot="1" x14ac:dyDescent="0.3">
      <c r="DP89" s="290" t="s">
        <v>506</v>
      </c>
      <c r="DQ89" s="290" t="s">
        <v>476</v>
      </c>
      <c r="DR89" s="291">
        <v>-5.48</v>
      </c>
      <c r="DS89" s="291">
        <v>0.106</v>
      </c>
      <c r="DT89" s="290">
        <v>-51.84</v>
      </c>
      <c r="DU89" s="290" t="s">
        <v>509</v>
      </c>
      <c r="DV89" s="291">
        <v>2E-16</v>
      </c>
      <c r="DW89" s="81" t="s">
        <v>510</v>
      </c>
    </row>
    <row r="90" spans="120:127" thickTop="1" thickBot="1" x14ac:dyDescent="0.3">
      <c r="DP90" s="290" t="s">
        <v>506</v>
      </c>
      <c r="DQ90" s="290" t="s">
        <v>477</v>
      </c>
      <c r="DR90" s="291">
        <v>-11.9</v>
      </c>
      <c r="DS90" s="291">
        <v>377</v>
      </c>
      <c r="DT90" s="290">
        <v>-0.03</v>
      </c>
      <c r="DU90" s="290">
        <v>0.97</v>
      </c>
    </row>
    <row r="91" spans="120:127" thickTop="1" thickBot="1" x14ac:dyDescent="0.3">
      <c r="DP91" s="290" t="s">
        <v>506</v>
      </c>
      <c r="DQ91" s="290" t="s">
        <v>478</v>
      </c>
      <c r="DR91" s="291">
        <v>-14.6</v>
      </c>
      <c r="DS91" s="291">
        <v>98.8</v>
      </c>
      <c r="DT91" s="290">
        <v>-0.15</v>
      </c>
      <c r="DU91" s="290">
        <v>0.88</v>
      </c>
    </row>
    <row r="92" spans="120:127" thickTop="1" thickBot="1" x14ac:dyDescent="0.3">
      <c r="DP92" s="290" t="s">
        <v>506</v>
      </c>
      <c r="DQ92" s="290" t="s">
        <v>479</v>
      </c>
      <c r="DR92" s="291">
        <v>-12.9</v>
      </c>
      <c r="DS92" s="291">
        <v>425</v>
      </c>
      <c r="DT92" s="290">
        <v>-0.03</v>
      </c>
      <c r="DU92" s="290">
        <v>0.98</v>
      </c>
    </row>
    <row r="93" spans="120:127" thickTop="1" thickBot="1" x14ac:dyDescent="0.3">
      <c r="DP93" s="290" t="s">
        <v>506</v>
      </c>
      <c r="DQ93" s="290" t="s">
        <v>481</v>
      </c>
      <c r="DR93" s="291">
        <v>0.19600000000000001</v>
      </c>
      <c r="DS93" s="291">
        <v>1.7600000000000001E-3</v>
      </c>
      <c r="DT93" s="290">
        <v>111.06</v>
      </c>
      <c r="DU93" s="290" t="s">
        <v>509</v>
      </c>
      <c r="DV93" s="291">
        <v>2E-16</v>
      </c>
      <c r="DW93" s="81" t="s">
        <v>510</v>
      </c>
    </row>
    <row r="94" spans="120:127" thickTop="1" thickBot="1" x14ac:dyDescent="0.3">
      <c r="DP94" s="290" t="s">
        <v>506</v>
      </c>
      <c r="DQ94" s="290" t="s">
        <v>482</v>
      </c>
      <c r="DR94" s="291">
        <v>4.8800000000000003E-2</v>
      </c>
      <c r="DS94" s="291">
        <v>3.5799999999999997E-4</v>
      </c>
      <c r="DT94" s="290">
        <v>136.54</v>
      </c>
      <c r="DU94" s="290" t="s">
        <v>509</v>
      </c>
      <c r="DV94" s="291">
        <v>2E-16</v>
      </c>
      <c r="DW94" s="81" t="s">
        <v>510</v>
      </c>
    </row>
    <row r="95" spans="120:127" thickTop="1" thickBot="1" x14ac:dyDescent="0.3">
      <c r="DP95" s="290" t="s">
        <v>506</v>
      </c>
      <c r="DQ95" s="290" t="s">
        <v>483</v>
      </c>
      <c r="DR95" s="291">
        <v>0.61299999999999999</v>
      </c>
      <c r="DS95" s="291">
        <v>1.0500000000000001E-2</v>
      </c>
      <c r="DT95" s="290">
        <v>58.19</v>
      </c>
      <c r="DU95" s="290" t="s">
        <v>509</v>
      </c>
      <c r="DV95" s="291">
        <v>2E-16</v>
      </c>
      <c r="DW95" s="81" t="s">
        <v>510</v>
      </c>
    </row>
    <row r="96" spans="120:127" thickTop="1" thickBot="1" x14ac:dyDescent="0.3">
      <c r="DP96" s="290" t="s">
        <v>506</v>
      </c>
      <c r="DQ96" s="290" t="s">
        <v>484</v>
      </c>
      <c r="DR96" s="291">
        <v>9.3799999999999994E-2</v>
      </c>
      <c r="DS96" s="291">
        <v>9.7599999999999998E-4</v>
      </c>
      <c r="DT96" s="290">
        <v>96.13</v>
      </c>
      <c r="DU96" s="290" t="s">
        <v>509</v>
      </c>
      <c r="DV96" s="291">
        <v>2E-16</v>
      </c>
      <c r="DW96" s="81" t="s">
        <v>510</v>
      </c>
    </row>
    <row r="97" spans="120:127" thickTop="1" thickBot="1" x14ac:dyDescent="0.3">
      <c r="DP97" s="290" t="s">
        <v>506</v>
      </c>
      <c r="DQ97" s="290" t="s">
        <v>486</v>
      </c>
      <c r="DR97" s="291">
        <v>199</v>
      </c>
      <c r="DS97" s="291">
        <v>5.37</v>
      </c>
      <c r="DT97" s="290">
        <v>37.119999999999997</v>
      </c>
      <c r="DU97" s="290" t="s">
        <v>509</v>
      </c>
      <c r="DV97" s="291">
        <v>2E-16</v>
      </c>
      <c r="DW97" s="81" t="s">
        <v>510</v>
      </c>
    </row>
    <row r="98" spans="120:127" thickTop="1" thickBot="1" x14ac:dyDescent="0.3">
      <c r="DP98" s="290" t="s">
        <v>506</v>
      </c>
      <c r="DQ98" s="290" t="s">
        <v>285</v>
      </c>
      <c r="DR98" s="291">
        <v>86.6</v>
      </c>
      <c r="DS98" s="291">
        <v>0.94699999999999995</v>
      </c>
      <c r="DT98" s="290">
        <v>91.45</v>
      </c>
      <c r="DU98" s="290" t="s">
        <v>509</v>
      </c>
      <c r="DV98" s="291">
        <v>2E-16</v>
      </c>
      <c r="DW98" s="81" t="s">
        <v>510</v>
      </c>
    </row>
    <row r="99" spans="120:127" thickTop="1" thickBot="1" x14ac:dyDescent="0.3">
      <c r="DP99" s="290" t="s">
        <v>506</v>
      </c>
      <c r="DQ99" s="290" t="s">
        <v>120</v>
      </c>
      <c r="DR99" s="291">
        <v>66.8</v>
      </c>
      <c r="DS99" s="291">
        <v>1.88</v>
      </c>
      <c r="DT99" s="290">
        <v>35.56</v>
      </c>
      <c r="DU99" s="290" t="s">
        <v>509</v>
      </c>
      <c r="DV99" s="291">
        <v>2E-16</v>
      </c>
      <c r="DW99" s="81" t="s">
        <v>510</v>
      </c>
    </row>
    <row r="100" spans="120:127" thickTop="1" thickBot="1" x14ac:dyDescent="0.3">
      <c r="DP100" s="290" t="s">
        <v>506</v>
      </c>
      <c r="DQ100" s="290" t="s">
        <v>488</v>
      </c>
      <c r="DR100" s="291">
        <v>-4.95</v>
      </c>
      <c r="DS100" s="291">
        <v>2.2599999999999999E-2</v>
      </c>
      <c r="DT100" s="290">
        <v>-219.17</v>
      </c>
      <c r="DU100" s="290" t="s">
        <v>509</v>
      </c>
      <c r="DV100" s="291">
        <v>2E-16</v>
      </c>
      <c r="DW100" s="81" t="s">
        <v>510</v>
      </c>
    </row>
    <row r="101" spans="120:127" thickTop="1" thickBot="1" x14ac:dyDescent="0.3">
      <c r="DP101" s="290" t="s">
        <v>506</v>
      </c>
      <c r="DQ101" s="290" t="s">
        <v>489</v>
      </c>
      <c r="DR101" s="291">
        <v>-4.87</v>
      </c>
      <c r="DS101" s="291">
        <v>2.8899999999999999E-2</v>
      </c>
      <c r="DT101" s="290">
        <v>-168.68</v>
      </c>
      <c r="DU101" s="290" t="s">
        <v>509</v>
      </c>
      <c r="DV101" s="291">
        <v>2E-16</v>
      </c>
      <c r="DW101" s="81" t="s">
        <v>510</v>
      </c>
    </row>
    <row r="102" spans="120:127" thickTop="1" thickBot="1" x14ac:dyDescent="0.3">
      <c r="DP102" s="290" t="s">
        <v>506</v>
      </c>
      <c r="DQ102" s="290" t="s">
        <v>490</v>
      </c>
      <c r="DR102" s="291">
        <v>-5.98</v>
      </c>
      <c r="DS102" s="291">
        <v>3.2099999999999997E-2</v>
      </c>
      <c r="DT102" s="290">
        <v>-185.94</v>
      </c>
      <c r="DU102" s="290" t="s">
        <v>509</v>
      </c>
      <c r="DV102" s="291">
        <v>2E-16</v>
      </c>
      <c r="DW102" s="81" t="s">
        <v>510</v>
      </c>
    </row>
    <row r="103" spans="120:127" thickTop="1" thickBot="1" x14ac:dyDescent="0.3">
      <c r="DP103" s="290" t="s">
        <v>506</v>
      </c>
      <c r="DQ103" s="290" t="s">
        <v>491</v>
      </c>
      <c r="DR103" s="291">
        <v>-5.59</v>
      </c>
      <c r="DS103" s="291">
        <v>3.0700000000000002E-2</v>
      </c>
      <c r="DT103" s="290">
        <v>-182.17</v>
      </c>
      <c r="DU103" s="290" t="s">
        <v>509</v>
      </c>
      <c r="DV103" s="291">
        <v>2E-16</v>
      </c>
      <c r="DW103" s="81" t="s">
        <v>510</v>
      </c>
    </row>
    <row r="104" spans="120:127" thickTop="1" thickBot="1" x14ac:dyDescent="0.3">
      <c r="DP104" s="290" t="s">
        <v>506</v>
      </c>
      <c r="DQ104" s="290" t="s">
        <v>493</v>
      </c>
      <c r="DR104" s="291">
        <v>3.65E-3</v>
      </c>
      <c r="DS104" s="291">
        <v>1.06E-4</v>
      </c>
      <c r="DT104" s="290">
        <v>34.35</v>
      </c>
      <c r="DU104" s="290" t="s">
        <v>509</v>
      </c>
      <c r="DV104" s="291">
        <v>2E-16</v>
      </c>
      <c r="DW104" s="81" t="s">
        <v>510</v>
      </c>
    </row>
    <row r="105" spans="120:127" thickTop="1" thickBot="1" x14ac:dyDescent="0.3">
      <c r="DP105" s="290" t="s">
        <v>506</v>
      </c>
      <c r="DQ105" s="290" t="s">
        <v>494</v>
      </c>
      <c r="DR105" s="291">
        <v>194</v>
      </c>
      <c r="DS105" s="291">
        <v>2.56</v>
      </c>
      <c r="DT105" s="290">
        <v>75.540000000000006</v>
      </c>
      <c r="DU105" s="290" t="s">
        <v>509</v>
      </c>
      <c r="DV105" s="291">
        <v>2E-16</v>
      </c>
      <c r="DW105" s="81" t="s">
        <v>510</v>
      </c>
    </row>
    <row r="106" spans="120:127" thickTop="1" thickBot="1" x14ac:dyDescent="0.3">
      <c r="DP106" s="290" t="s">
        <v>506</v>
      </c>
      <c r="DQ106" s="290" t="s">
        <v>495</v>
      </c>
      <c r="DR106" s="291">
        <v>308</v>
      </c>
      <c r="DS106" s="291">
        <v>664</v>
      </c>
      <c r="DT106" s="290">
        <v>0.46</v>
      </c>
      <c r="DU106" s="290">
        <v>0.64</v>
      </c>
    </row>
    <row r="107" spans="120:127" thickTop="1" thickBot="1" x14ac:dyDescent="0.3">
      <c r="DR107" s="291"/>
      <c r="DS107" s="291"/>
    </row>
    <row r="108" spans="120:127" thickTop="1" thickBot="1" x14ac:dyDescent="0.3">
      <c r="DP108" s="290" t="s">
        <v>565</v>
      </c>
    </row>
    <row r="109" spans="120:127" thickTop="1" thickBot="1" x14ac:dyDescent="0.3">
      <c r="DP109" s="290" t="s">
        <v>538</v>
      </c>
    </row>
    <row r="110" spans="120:127" thickTop="1" thickBot="1" x14ac:dyDescent="0.3">
      <c r="DP110" s="290" t="s">
        <v>539</v>
      </c>
      <c r="DW110" s="81" t="s">
        <v>510</v>
      </c>
    </row>
    <row r="111" spans="120:127" thickTop="1" thickBot="1" x14ac:dyDescent="0.3">
      <c r="DP111" s="290" t="s">
        <v>566</v>
      </c>
      <c r="DW111" s="81" t="s">
        <v>510</v>
      </c>
    </row>
    <row r="112" spans="120:127" thickTop="1" thickBot="1" x14ac:dyDescent="0.3">
      <c r="DP112" s="290" t="s">
        <v>506</v>
      </c>
      <c r="DQ112" s="290" t="s">
        <v>514</v>
      </c>
      <c r="DR112" s="291">
        <v>291</v>
      </c>
      <c r="DS112" s="291">
        <v>0.76600000000000001</v>
      </c>
      <c r="DT112" s="290">
        <v>379.48</v>
      </c>
      <c r="DU112" s="290" t="s">
        <v>509</v>
      </c>
      <c r="DV112" s="291">
        <v>2E-16</v>
      </c>
      <c r="DW112" s="81" t="s">
        <v>510</v>
      </c>
    </row>
    <row r="113" spans="120:134" thickTop="1" thickBot="1" x14ac:dyDescent="0.3">
      <c r="DP113" s="290" t="s">
        <v>506</v>
      </c>
      <c r="DQ113" s="290" t="s">
        <v>423</v>
      </c>
      <c r="DR113" s="291">
        <v>0.14299999999999999</v>
      </c>
      <c r="DS113" s="291">
        <v>7.2499999999999995E-4</v>
      </c>
      <c r="DT113" s="290">
        <v>197.29</v>
      </c>
      <c r="DU113" s="290" t="s">
        <v>509</v>
      </c>
      <c r="DV113" s="291">
        <v>2E-16</v>
      </c>
    </row>
    <row r="114" spans="120:134" thickTop="1" thickBot="1" x14ac:dyDescent="0.3">
      <c r="DP114" s="290" t="s">
        <v>506</v>
      </c>
      <c r="DQ114" s="290" t="s">
        <v>424</v>
      </c>
      <c r="DR114" s="291">
        <v>0.72299999999999998</v>
      </c>
      <c r="DS114" s="291">
        <v>2.46E-2</v>
      </c>
      <c r="DT114" s="290">
        <v>29.4</v>
      </c>
      <c r="DU114" s="290" t="s">
        <v>509</v>
      </c>
      <c r="DV114" s="291">
        <v>2E-16</v>
      </c>
      <c r="DW114" s="81" t="s">
        <v>510</v>
      </c>
    </row>
    <row r="115" spans="120:134" thickTop="1" thickBot="1" x14ac:dyDescent="0.3">
      <c r="DP115" s="290" t="s">
        <v>506</v>
      </c>
      <c r="DQ115" s="290" t="s">
        <v>515</v>
      </c>
      <c r="DR115" s="291">
        <v>120000000</v>
      </c>
      <c r="DS115" s="291">
        <v>15700000</v>
      </c>
      <c r="DT115" s="290">
        <v>7.65</v>
      </c>
      <c r="DU115" s="291">
        <v>2.8000000000000001E-14</v>
      </c>
      <c r="DV115" s="290" t="s">
        <v>510</v>
      </c>
    </row>
    <row r="116" spans="120:134" thickTop="1" thickBot="1" x14ac:dyDescent="0.3">
      <c r="DP116" s="290" t="s">
        <v>506</v>
      </c>
      <c r="DQ116" s="290" t="s">
        <v>426</v>
      </c>
      <c r="DR116" s="291">
        <v>630000</v>
      </c>
      <c r="DS116" s="291">
        <v>33500</v>
      </c>
      <c r="DT116" s="290">
        <v>18.79</v>
      </c>
      <c r="DU116" s="290" t="s">
        <v>509</v>
      </c>
      <c r="DV116" s="291">
        <v>2E-16</v>
      </c>
    </row>
    <row r="117" spans="120:134" thickTop="1" thickBot="1" x14ac:dyDescent="0.3">
      <c r="DP117" s="290" t="s">
        <v>506</v>
      </c>
      <c r="DQ117" s="290" t="s">
        <v>480</v>
      </c>
      <c r="DR117" s="291">
        <v>-3.69</v>
      </c>
      <c r="DS117" s="291">
        <v>1.17</v>
      </c>
      <c r="DT117" s="290">
        <v>-3.14</v>
      </c>
      <c r="DU117" s="290">
        <v>1.6999999999999999E-3</v>
      </c>
      <c r="DV117" s="290" t="s">
        <v>516</v>
      </c>
      <c r="DW117" s="81" t="s">
        <v>510</v>
      </c>
    </row>
    <row r="118" spans="120:134" thickTop="1" thickBot="1" x14ac:dyDescent="0.3">
      <c r="DP118" s="290" t="s">
        <v>506</v>
      </c>
      <c r="DQ118" s="290" t="s">
        <v>517</v>
      </c>
      <c r="DR118" s="291">
        <v>-0.99099999999999999</v>
      </c>
      <c r="DS118" s="291">
        <v>0.94399999999999995</v>
      </c>
      <c r="DT118" s="290">
        <v>-1.05</v>
      </c>
      <c r="DU118" s="290">
        <v>0.29389999999999999</v>
      </c>
      <c r="DW118" s="81" t="s">
        <v>510</v>
      </c>
    </row>
    <row r="119" spans="120:134" thickTop="1" thickBot="1" x14ac:dyDescent="0.3">
      <c r="DP119" s="290" t="s">
        <v>506</v>
      </c>
      <c r="DQ119" s="290" t="s">
        <v>518</v>
      </c>
      <c r="DR119" s="291">
        <v>5.6500000000000002E-2</v>
      </c>
      <c r="DS119" s="291">
        <v>4.6299999999999998E-4</v>
      </c>
      <c r="DT119" s="290">
        <v>122.19</v>
      </c>
      <c r="DU119" s="290" t="s">
        <v>509</v>
      </c>
      <c r="DV119" s="291">
        <v>2E-16</v>
      </c>
      <c r="DW119" s="81" t="s">
        <v>510</v>
      </c>
    </row>
    <row r="120" spans="120:134" thickTop="1" thickBot="1" x14ac:dyDescent="0.3">
      <c r="DP120" s="290" t="s">
        <v>506</v>
      </c>
      <c r="DQ120" s="290" t="s">
        <v>519</v>
      </c>
      <c r="DR120" s="291">
        <v>1.15E-3</v>
      </c>
      <c r="DS120" s="291">
        <v>8.8200000000000003E-5</v>
      </c>
      <c r="DT120" s="290">
        <v>13.04</v>
      </c>
      <c r="DU120" s="290" t="s">
        <v>509</v>
      </c>
      <c r="DV120" s="291">
        <v>2E-16</v>
      </c>
      <c r="DW120" s="81" t="s">
        <v>510</v>
      </c>
    </row>
    <row r="121" spans="120:134" thickTop="1" thickBot="1" x14ac:dyDescent="0.3">
      <c r="DP121" s="290" t="s">
        <v>506</v>
      </c>
      <c r="DQ121" s="290" t="s">
        <v>492</v>
      </c>
      <c r="DR121" s="291">
        <v>-2.19</v>
      </c>
      <c r="DS121" s="291">
        <v>2.1600000000000001E-2</v>
      </c>
      <c r="DT121" s="290">
        <v>-101.52</v>
      </c>
      <c r="DU121" s="290" t="s">
        <v>509</v>
      </c>
      <c r="DV121" s="291">
        <v>2E-16</v>
      </c>
      <c r="DW121" s="81" t="s">
        <v>510</v>
      </c>
    </row>
    <row r="122" spans="120:134" thickTop="1" thickBot="1" x14ac:dyDescent="0.3">
      <c r="DP122" s="290" t="s">
        <v>506</v>
      </c>
      <c r="DQ122" s="290" t="s">
        <v>520</v>
      </c>
      <c r="DR122" s="291">
        <v>-5.72</v>
      </c>
      <c r="DS122" s="291">
        <v>2.24E-2</v>
      </c>
      <c r="DT122" s="290">
        <v>-255.17</v>
      </c>
      <c r="DU122" s="290" t="s">
        <v>509</v>
      </c>
      <c r="DV122" s="291">
        <v>2E-16</v>
      </c>
      <c r="DW122" s="81" t="s">
        <v>510</v>
      </c>
    </row>
    <row r="123" spans="120:134" thickTop="1" thickBot="1" x14ac:dyDescent="0.3">
      <c r="DP123" s="290" t="s">
        <v>506</v>
      </c>
      <c r="DQ123" s="290" t="s">
        <v>429</v>
      </c>
      <c r="DR123" s="291">
        <v>138</v>
      </c>
      <c r="DS123" s="291">
        <v>1.2</v>
      </c>
      <c r="DT123" s="290">
        <v>115.34</v>
      </c>
      <c r="DU123" s="290" t="s">
        <v>509</v>
      </c>
      <c r="DV123" s="291">
        <v>2E-16</v>
      </c>
      <c r="DW123" s="81" t="s">
        <v>510</v>
      </c>
    </row>
    <row r="124" spans="120:134" thickTop="1" thickBot="1" x14ac:dyDescent="0.3">
      <c r="DP124" s="290" t="s">
        <v>506</v>
      </c>
      <c r="DQ124" s="290" t="s">
        <v>430</v>
      </c>
      <c r="DR124" s="291">
        <v>7610</v>
      </c>
      <c r="DS124" s="291">
        <v>117</v>
      </c>
      <c r="DT124" s="290">
        <v>64.83</v>
      </c>
      <c r="DU124" s="290" t="s">
        <v>509</v>
      </c>
      <c r="DV124" s="291">
        <v>2E-16</v>
      </c>
    </row>
    <row r="125" spans="120:134" thickTop="1" thickBot="1" x14ac:dyDescent="0.3">
      <c r="DP125" s="290" t="s">
        <v>506</v>
      </c>
      <c r="DQ125" s="290" t="s">
        <v>431</v>
      </c>
      <c r="DR125" s="291">
        <v>371</v>
      </c>
      <c r="DS125" s="291">
        <v>5.67</v>
      </c>
      <c r="DT125" s="290">
        <v>65.489999999999995</v>
      </c>
      <c r="DU125" s="290" t="s">
        <v>509</v>
      </c>
      <c r="DV125" s="291">
        <v>2E-16</v>
      </c>
      <c r="DW125" s="81">
        <v>0.01</v>
      </c>
      <c r="EC125" s="81" t="s">
        <v>564</v>
      </c>
      <c r="ED125" s="81">
        <v>1</v>
      </c>
    </row>
    <row r="126" spans="120:134" thickTop="1" thickBot="1" x14ac:dyDescent="0.3">
      <c r="DP126" s="290" t="s">
        <v>506</v>
      </c>
      <c r="DQ126" s="290" t="s">
        <v>559</v>
      </c>
    </row>
    <row r="127" spans="120:134" thickTop="1" thickBot="1" x14ac:dyDescent="0.3">
      <c r="DP127" s="290" t="s">
        <v>506</v>
      </c>
      <c r="DQ127" s="290" t="s">
        <v>560</v>
      </c>
      <c r="DR127" s="290" t="s">
        <v>561</v>
      </c>
      <c r="DS127" s="290">
        <v>0</v>
      </c>
      <c r="DT127" s="290" t="s">
        <v>562</v>
      </c>
      <c r="DU127" s="290">
        <v>1E-3</v>
      </c>
      <c r="DV127" s="290" t="s">
        <v>563</v>
      </c>
    </row>
  </sheetData>
  <mergeCells count="7">
    <mergeCell ref="E36:F36"/>
    <mergeCell ref="A1:G1"/>
    <mergeCell ref="A3:H3"/>
    <mergeCell ref="J3:T3"/>
    <mergeCell ref="V3:AG3"/>
    <mergeCell ref="K4:O4"/>
    <mergeCell ref="E33:F33"/>
  </mergeCells>
  <pageMargins left="0.25" right="0.25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W127"/>
  <sheetViews>
    <sheetView topLeftCell="CZ31" zoomScale="55" zoomScaleNormal="55" workbookViewId="0">
      <selection activeCell="EE5" sqref="EE5:EI80"/>
    </sheetView>
  </sheetViews>
  <sheetFormatPr defaultRowHeight="16.5" thickTop="1" thickBottom="1" x14ac:dyDescent="0.3"/>
  <cols>
    <col min="1" max="5" width="9.140625" style="81"/>
    <col min="6" max="6" width="8.28515625" style="81" bestFit="1" customWidth="1"/>
    <col min="7" max="7" width="6.85546875" style="81" bestFit="1" customWidth="1"/>
    <col min="8" max="9" width="9.140625" style="81"/>
    <col min="10" max="10" width="9.140625" style="1"/>
    <col min="11" max="11" width="9.140625" style="81"/>
    <col min="12" max="14" width="9.140625" style="2"/>
    <col min="15" max="16" width="9.140625" style="81"/>
    <col min="17" max="18" width="9.140625" style="3"/>
    <col min="19" max="21" width="9.140625" style="81"/>
    <col min="22" max="22" width="9.140625" style="1"/>
    <col min="23" max="35" width="9.140625" style="81"/>
    <col min="36" max="37" width="9.140625" style="173"/>
    <col min="38" max="38" width="9.140625" style="154"/>
    <col min="39" max="39" width="10.28515625" style="154" bestFit="1" customWidth="1"/>
    <col min="40" max="41" width="9.140625" style="81"/>
    <col min="42" max="42" width="12.7109375" style="81" bestFit="1" customWidth="1"/>
    <col min="43" max="43" width="12.7109375" style="81" customWidth="1"/>
    <col min="44" max="47" width="9.140625" style="81"/>
    <col min="48" max="51" width="9.140625" style="199"/>
    <col min="52" max="52" width="16.140625" style="206" customWidth="1"/>
    <col min="53" max="53" width="9.140625" style="199"/>
    <col min="54" max="65" width="9.140625" style="81" customWidth="1"/>
    <col min="66" max="67" width="9.140625" style="173"/>
    <col min="68" max="68" width="9.140625" style="154"/>
    <col min="69" max="69" width="10.28515625" style="154" bestFit="1" customWidth="1"/>
    <col min="70" max="71" width="9.140625" style="81"/>
    <col min="72" max="72" width="12.7109375" style="81" bestFit="1" customWidth="1"/>
    <col min="73" max="74" width="12.7109375" style="81" customWidth="1"/>
    <col min="75" max="77" width="9.140625" style="81"/>
    <col min="78" max="78" width="10.42578125" style="210" bestFit="1" customWidth="1"/>
    <col min="79" max="79" width="10.42578125" style="210" customWidth="1"/>
    <col min="80" max="80" width="9.140625" style="81"/>
    <col min="81" max="81" width="10.5703125" style="81" bestFit="1" customWidth="1"/>
    <col min="82" max="86" width="9.140625" style="81"/>
    <col min="87" max="87" width="11" style="81" customWidth="1"/>
    <col min="88" max="92" width="9.140625" style="81"/>
    <col min="93" max="93" width="19.42578125" style="81" bestFit="1" customWidth="1"/>
    <col min="94" max="94" width="12" style="81" customWidth="1"/>
    <col min="95" max="95" width="11" style="81" customWidth="1"/>
    <col min="96" max="99" width="9.140625" style="81"/>
    <col min="100" max="100" width="9.140625" style="212"/>
    <col min="101" max="101" width="9.140625" style="81"/>
    <col min="102" max="102" width="19.42578125" style="81" bestFit="1" customWidth="1"/>
    <col min="103" max="113" width="9.140625" style="81"/>
    <col min="114" max="114" width="9.7109375" style="81" bestFit="1" customWidth="1"/>
    <col min="115" max="116" width="9.140625" style="81"/>
    <col min="117" max="119" width="9.85546875" style="81" bestFit="1" customWidth="1"/>
    <col min="120" max="120" width="9.140625" style="81"/>
    <col min="121" max="127" width="9.140625" style="290"/>
    <col min="128" max="128" width="9.140625" style="81"/>
    <col min="129" max="129" width="15.5703125" style="212" bestFit="1" customWidth="1"/>
    <col min="130" max="133" width="9.140625" style="212"/>
    <col min="134" max="137" width="9.140625" style="81"/>
    <col min="138" max="138" width="17.7109375" style="81" bestFit="1" customWidth="1"/>
    <col min="139" max="140" width="9.140625" style="81"/>
    <col min="141" max="148" width="9.140625" style="329"/>
    <col min="149" max="149" width="15.5703125" style="330" bestFit="1" customWidth="1"/>
    <col min="150" max="153" width="9.140625" style="330"/>
    <col min="154" max="16384" width="9.140625" style="81"/>
  </cols>
  <sheetData>
    <row r="1" spans="1:153" ht="20.25" customHeight="1" thickTop="1" thickBot="1" x14ac:dyDescent="0.35">
      <c r="A1" s="341" t="s">
        <v>0</v>
      </c>
      <c r="B1" s="341"/>
      <c r="C1" s="341"/>
      <c r="D1" s="341"/>
      <c r="E1" s="341"/>
      <c r="F1" s="341"/>
      <c r="G1" s="341"/>
      <c r="AO1" s="191" t="s">
        <v>384</v>
      </c>
      <c r="BD1" s="81" t="s">
        <v>435</v>
      </c>
      <c r="BE1" s="191"/>
      <c r="BF1" s="191" t="s">
        <v>436</v>
      </c>
      <c r="BS1" s="191" t="s">
        <v>384</v>
      </c>
      <c r="EE1" s="160"/>
      <c r="EF1" s="160"/>
      <c r="EG1" s="160"/>
      <c r="EH1" s="160"/>
      <c r="EI1" s="160"/>
    </row>
    <row r="2" spans="1:153" thickTop="1" thickBot="1" x14ac:dyDescent="0.3">
      <c r="AO2" s="81" t="s">
        <v>385</v>
      </c>
      <c r="BS2" s="81" t="s">
        <v>385</v>
      </c>
      <c r="DL2" s="81" t="s">
        <v>386</v>
      </c>
      <c r="DM2" s="79" t="s">
        <v>534</v>
      </c>
      <c r="DN2" s="79" t="s">
        <v>535</v>
      </c>
      <c r="DO2" s="79" t="s">
        <v>536</v>
      </c>
      <c r="DQ2" s="290" t="s">
        <v>537</v>
      </c>
      <c r="EE2" s="160"/>
      <c r="EF2" s="160"/>
      <c r="EG2" s="160"/>
      <c r="EH2" s="160"/>
      <c r="EI2" s="160"/>
      <c r="EK2" s="329" t="s">
        <v>537</v>
      </c>
    </row>
    <row r="3" spans="1:153" thickTop="1" thickBot="1" x14ac:dyDescent="0.3">
      <c r="A3" s="347" t="s">
        <v>1</v>
      </c>
      <c r="B3" s="348"/>
      <c r="C3" s="348"/>
      <c r="D3" s="348"/>
      <c r="E3" s="348"/>
      <c r="F3" s="348"/>
      <c r="G3" s="348"/>
      <c r="H3" s="349"/>
      <c r="I3" s="321"/>
      <c r="K3" s="338" t="s">
        <v>2</v>
      </c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4"/>
      <c r="W3" s="338" t="s">
        <v>3</v>
      </c>
      <c r="X3" s="338"/>
      <c r="Y3" s="338"/>
      <c r="Z3" s="338"/>
      <c r="AA3" s="338"/>
      <c r="AB3" s="338"/>
      <c r="AC3" s="338"/>
      <c r="AD3" s="338"/>
      <c r="AE3" s="338"/>
      <c r="AF3" s="338"/>
      <c r="AG3" s="338"/>
      <c r="AH3" s="338"/>
      <c r="AO3" s="200" t="s">
        <v>386</v>
      </c>
      <c r="AP3" s="201" t="s">
        <v>387</v>
      </c>
      <c r="AQ3" s="201"/>
      <c r="AR3" s="209" t="s">
        <v>458</v>
      </c>
      <c r="AS3" s="202"/>
      <c r="AT3" s="202"/>
      <c r="AV3" s="203" t="s">
        <v>388</v>
      </c>
      <c r="BE3" s="208"/>
      <c r="BF3" s="208" t="s">
        <v>437</v>
      </c>
      <c r="BJ3" s="208" t="s">
        <v>438</v>
      </c>
      <c r="BK3" s="208"/>
      <c r="BS3" s="200" t="s">
        <v>386</v>
      </c>
      <c r="BT3" s="201" t="s">
        <v>387</v>
      </c>
      <c r="BU3" s="201"/>
      <c r="BV3" s="213" t="s">
        <v>533</v>
      </c>
      <c r="CB3" s="81" t="s">
        <v>465</v>
      </c>
      <c r="CC3" s="204">
        <v>292</v>
      </c>
      <c r="CD3" s="204">
        <v>0.10299999999999999</v>
      </c>
      <c r="DL3" s="81" t="s">
        <v>391</v>
      </c>
      <c r="DM3" s="286">
        <f>AP4</f>
        <v>0.15058202140242583</v>
      </c>
      <c r="DN3" s="286">
        <f>BV4</f>
        <v>0.1641929</v>
      </c>
      <c r="DO3" s="286">
        <f>BZ4</f>
        <v>0.19500000000000001</v>
      </c>
      <c r="DY3" s="212" t="s">
        <v>567</v>
      </c>
      <c r="EE3" s="212" t="s">
        <v>620</v>
      </c>
      <c r="EF3" s="160"/>
      <c r="EG3" s="160"/>
      <c r="EH3" s="160"/>
      <c r="EI3" s="160"/>
      <c r="ES3" s="330" t="s">
        <v>567</v>
      </c>
    </row>
    <row r="4" spans="1:153" ht="15.75" customHeight="1" thickTop="1" thickBot="1" x14ac:dyDescent="0.3">
      <c r="A4" s="214" t="s">
        <v>6</v>
      </c>
      <c r="B4" s="215">
        <f>'Tabula data'!B5</f>
        <v>615.9</v>
      </c>
      <c r="C4" s="215" t="s">
        <v>7</v>
      </c>
      <c r="D4" s="214" t="s">
        <v>8</v>
      </c>
      <c r="E4" s="215"/>
      <c r="F4" s="215"/>
      <c r="G4" s="216">
        <f>SUM(H6:H13)</f>
        <v>34.1</v>
      </c>
      <c r="H4" s="217" t="s">
        <v>9</v>
      </c>
      <c r="I4" s="225"/>
      <c r="L4" s="350" t="s">
        <v>2</v>
      </c>
      <c r="M4" s="351"/>
      <c r="N4" s="351"/>
      <c r="O4" s="351"/>
      <c r="P4" s="352"/>
      <c r="X4" s="258"/>
      <c r="Y4" s="258"/>
      <c r="Z4" s="259" t="s">
        <v>4</v>
      </c>
      <c r="AA4" s="259">
        <v>0.6</v>
      </c>
      <c r="AB4" s="259" t="s">
        <v>5</v>
      </c>
      <c r="AC4" s="258"/>
      <c r="AD4" s="258"/>
      <c r="AE4" s="258"/>
      <c r="AM4" s="154" t="s">
        <v>389</v>
      </c>
      <c r="AN4" s="81" t="s">
        <v>390</v>
      </c>
      <c r="AO4" s="81" t="s">
        <v>391</v>
      </c>
      <c r="AP4" s="81">
        <f>SUM(O6:O9)/(SUM($O$6:$O$14,$O$26,O30)+2*SUM($O$27))</f>
        <v>0.15058202140242583</v>
      </c>
      <c r="AQ4" s="81" t="s">
        <v>392</v>
      </c>
      <c r="AR4" s="204">
        <v>0.1641929</v>
      </c>
      <c r="AV4" s="205" t="s">
        <v>389</v>
      </c>
      <c r="AW4" s="205" t="s">
        <v>390</v>
      </c>
      <c r="AX4" s="205" t="s">
        <v>391</v>
      </c>
      <c r="AY4" s="207" t="s">
        <v>434</v>
      </c>
      <c r="AZ4" s="206">
        <f>BZ4</f>
        <v>0.19500000000000001</v>
      </c>
      <c r="BA4" s="205" t="s">
        <v>392</v>
      </c>
      <c r="BF4" s="81" t="s">
        <v>281</v>
      </c>
      <c r="BG4" s="81">
        <f>1/(1/AP19+1/AP23)</f>
        <v>36.773417703699536</v>
      </c>
      <c r="BJ4" s="81" t="s">
        <v>439</v>
      </c>
      <c r="BK4" s="81">
        <f>BG4</f>
        <v>36.773417703699536</v>
      </c>
      <c r="BQ4" s="154" t="s">
        <v>389</v>
      </c>
      <c r="BR4" s="81" t="s">
        <v>390</v>
      </c>
      <c r="BS4" s="81" t="s">
        <v>391</v>
      </c>
      <c r="BT4" s="204">
        <f>AR4</f>
        <v>0.1641929</v>
      </c>
      <c r="BU4" s="81" t="s">
        <v>392</v>
      </c>
      <c r="BV4" s="204">
        <v>0.1641929</v>
      </c>
      <c r="BZ4" s="211">
        <f>CC8</f>
        <v>0.19500000000000001</v>
      </c>
      <c r="CA4" s="211"/>
      <c r="CB4" s="81" t="s">
        <v>466</v>
      </c>
      <c r="CC4" s="204">
        <v>291</v>
      </c>
      <c r="CD4" s="204">
        <v>0.105</v>
      </c>
      <c r="CH4" s="81" t="s">
        <v>497</v>
      </c>
      <c r="CI4" s="81" t="s">
        <v>498</v>
      </c>
      <c r="CN4" s="81" t="s">
        <v>497</v>
      </c>
      <c r="CO4" s="81" t="s">
        <v>507</v>
      </c>
      <c r="DL4" s="81" t="s">
        <v>393</v>
      </c>
      <c r="DM4" s="286">
        <f t="shared" ref="DM4:DM49" si="0">AP5</f>
        <v>0.37160322670037677</v>
      </c>
      <c r="DN4" s="286">
        <f t="shared" ref="DN4:DN49" si="1">BV5</f>
        <v>0.32600000000000001</v>
      </c>
      <c r="DO4" s="286">
        <f t="shared" ref="DO4:DO48" si="2">BZ5</f>
        <v>0.38800000000000001</v>
      </c>
      <c r="DQ4" s="290" t="s">
        <v>506</v>
      </c>
      <c r="DR4" s="290" t="s">
        <v>497</v>
      </c>
      <c r="DS4" s="290" t="s">
        <v>540</v>
      </c>
      <c r="EE4" s="160"/>
      <c r="EF4" s="160"/>
      <c r="EG4" s="160"/>
      <c r="EH4" s="160"/>
      <c r="EI4" s="160"/>
      <c r="EK4" s="329" t="s">
        <v>506</v>
      </c>
      <c r="EL4" s="329" t="s">
        <v>497</v>
      </c>
      <c r="EM4" s="329" t="s">
        <v>540</v>
      </c>
    </row>
    <row r="5" spans="1:153" ht="15" customHeight="1" thickTop="1" thickBot="1" x14ac:dyDescent="0.3">
      <c r="A5" s="218"/>
      <c r="B5" s="219"/>
      <c r="C5" s="219"/>
      <c r="D5" s="220"/>
      <c r="E5" s="221"/>
      <c r="F5" s="221"/>
      <c r="G5" s="221"/>
      <c r="H5" s="222"/>
      <c r="I5" s="221"/>
      <c r="K5" s="81" t="s">
        <v>10</v>
      </c>
      <c r="L5" s="243" t="s">
        <v>11</v>
      </c>
      <c r="M5" s="244" t="s">
        <v>12</v>
      </c>
      <c r="N5" s="244" t="s">
        <v>13</v>
      </c>
      <c r="O5" s="244" t="s">
        <v>14</v>
      </c>
      <c r="P5" s="245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60" t="s">
        <v>20</v>
      </c>
      <c r="Y5" s="261"/>
      <c r="Z5" s="262" t="s">
        <v>21</v>
      </c>
      <c r="AA5" s="263">
        <f>1/(1/10+SUM(AD7:AD10)+1/23)</f>
        <v>0.27062537995411134</v>
      </c>
      <c r="AB5" s="261" t="s">
        <v>5</v>
      </c>
      <c r="AC5" s="261"/>
      <c r="AD5" s="261" t="s">
        <v>22</v>
      </c>
      <c r="AE5" s="264">
        <f>SUM(AE7:AE10)</f>
        <v>66192</v>
      </c>
      <c r="AF5" s="14" t="s">
        <v>23</v>
      </c>
      <c r="AG5" s="14">
        <f>SUM(AE9:AE10)</f>
        <v>30492</v>
      </c>
      <c r="AH5" s="14"/>
      <c r="AM5" s="154" t="s">
        <v>389</v>
      </c>
      <c r="AN5" s="81" t="s">
        <v>390</v>
      </c>
      <c r="AO5" s="81" t="s">
        <v>393</v>
      </c>
      <c r="AP5" s="81">
        <f>(2*O27+O30)/(SUM($O$6:$O$14,$O$26,O30)+2*SUM($O$27))</f>
        <v>0.37160322670037677</v>
      </c>
      <c r="AQ5" s="81" t="s">
        <v>392</v>
      </c>
      <c r="AR5" s="204">
        <v>0.32600000000000001</v>
      </c>
      <c r="AV5" s="205" t="s">
        <v>389</v>
      </c>
      <c r="AW5" s="205" t="s">
        <v>390</v>
      </c>
      <c r="AX5" s="205" t="s">
        <v>393</v>
      </c>
      <c r="AY5" s="207" t="s">
        <v>434</v>
      </c>
      <c r="AZ5" s="206">
        <f t="shared" ref="AZ5:AZ50" si="3">BZ5</f>
        <v>0.38800000000000001</v>
      </c>
      <c r="BA5" s="205" t="s">
        <v>392</v>
      </c>
      <c r="BF5" s="81" t="s">
        <v>291</v>
      </c>
      <c r="BG5" s="204">
        <f>AP10</f>
        <v>8856365.1000000015</v>
      </c>
      <c r="BJ5" s="81" t="s">
        <v>440</v>
      </c>
      <c r="BK5" s="81">
        <f>BG24</f>
        <v>78.398284152245196</v>
      </c>
      <c r="BQ5" s="154" t="s">
        <v>389</v>
      </c>
      <c r="BR5" s="81" t="s">
        <v>390</v>
      </c>
      <c r="BS5" s="81" t="s">
        <v>393</v>
      </c>
      <c r="BT5" s="204">
        <f t="shared" ref="BT5:BT7" si="4">AR5</f>
        <v>0.32600000000000001</v>
      </c>
      <c r="BU5" s="81" t="s">
        <v>392</v>
      </c>
      <c r="BV5" s="204">
        <v>0.32600000000000001</v>
      </c>
      <c r="BZ5" s="211">
        <f>CC9</f>
        <v>0.38800000000000001</v>
      </c>
      <c r="CA5" s="211"/>
      <c r="CB5" s="81" t="s">
        <v>467</v>
      </c>
      <c r="CC5" s="204">
        <v>294</v>
      </c>
      <c r="CD5" s="204">
        <v>5.4199999999999998E-2</v>
      </c>
      <c r="CH5" s="81" t="s">
        <v>499</v>
      </c>
      <c r="CN5" s="81" t="s">
        <v>499</v>
      </c>
      <c r="DL5" s="81" t="s">
        <v>394</v>
      </c>
      <c r="DM5" s="286">
        <f t="shared" si="0"/>
        <v>3.884024562501652E-2</v>
      </c>
      <c r="DN5" s="286">
        <f t="shared" si="1"/>
        <v>0.251</v>
      </c>
      <c r="DO5" s="286">
        <f t="shared" si="2"/>
        <v>6.13E-2</v>
      </c>
      <c r="DQ5" s="290" t="s">
        <v>506</v>
      </c>
      <c r="DR5" s="290" t="s">
        <v>499</v>
      </c>
      <c r="DY5" s="212" t="s">
        <v>568</v>
      </c>
      <c r="DZ5" s="292" t="s">
        <v>569</v>
      </c>
      <c r="EA5" s="292" t="s">
        <v>434</v>
      </c>
      <c r="EB5" s="293">
        <f>DS12</f>
        <v>0.159</v>
      </c>
      <c r="EC5" s="212" t="s">
        <v>392</v>
      </c>
      <c r="EE5" s="160" t="s">
        <v>568</v>
      </c>
      <c r="EF5" s="322" t="s">
        <v>569</v>
      </c>
      <c r="EG5" s="322" t="s">
        <v>434</v>
      </c>
      <c r="EH5" s="160">
        <f>$O$11*$Z$37*$AP$4</f>
        <v>0.24416874770403346</v>
      </c>
      <c r="EI5" s="160" t="s">
        <v>392</v>
      </c>
      <c r="EK5" s="329" t="s">
        <v>506</v>
      </c>
      <c r="EL5" s="329" t="s">
        <v>499</v>
      </c>
      <c r="ES5" s="330" t="s">
        <v>568</v>
      </c>
      <c r="ET5" s="331" t="s">
        <v>569</v>
      </c>
      <c r="EU5" s="331" t="s">
        <v>434</v>
      </c>
      <c r="EV5" s="332">
        <f>EM12</f>
        <v>0.33100000000000002</v>
      </c>
      <c r="EW5" s="330" t="s">
        <v>392</v>
      </c>
    </row>
    <row r="6" spans="1:153" ht="15" customHeight="1" thickTop="1" thickBot="1" x14ac:dyDescent="0.3">
      <c r="A6" s="223" t="s">
        <v>34</v>
      </c>
      <c r="B6" s="224">
        <f>'Tabula data'!B4</f>
        <v>224</v>
      </c>
      <c r="C6" s="225" t="s">
        <v>9</v>
      </c>
      <c r="D6" s="226" t="s">
        <v>35</v>
      </c>
      <c r="E6" s="221" t="s">
        <v>36</v>
      </c>
      <c r="F6" s="227">
        <f t="shared" ref="F6:F13" si="5">H6/$G$4</f>
        <v>0.11876832844574779</v>
      </c>
      <c r="G6" s="221"/>
      <c r="H6" s="228">
        <f>'Tabula data'!B22*'Tabula RefULG 1'!C45</f>
        <v>4.05</v>
      </c>
      <c r="I6" s="240"/>
      <c r="K6" s="81" t="s">
        <v>24</v>
      </c>
      <c r="L6" s="246">
        <v>0</v>
      </c>
      <c r="M6" s="247">
        <v>1</v>
      </c>
      <c r="N6" s="247" t="s">
        <v>25</v>
      </c>
      <c r="O6" s="248">
        <f>'[1]Tabula data'!B19*C43</f>
        <v>17.590457494591035</v>
      </c>
      <c r="P6" s="249" t="s">
        <v>26</v>
      </c>
      <c r="Q6" s="30">
        <f t="shared" ref="Q6:Q31" si="6">VLOOKUP(N6,$X$5:$AA$391,4,0)</f>
        <v>0.59788861556532236</v>
      </c>
      <c r="R6" s="30">
        <f t="shared" ref="R6:R31" si="7">Q6*O6</f>
        <v>10.517134278601683</v>
      </c>
      <c r="S6" s="30">
        <f t="shared" ref="S6:S14" si="8">VLOOKUP(N6,$X$5:$AE$391,8,0)*O6</f>
        <v>4448938.051479727</v>
      </c>
      <c r="T6" s="30">
        <f t="shared" ref="T6:T14" si="9">S6/O6</f>
        <v>252917.69999999998</v>
      </c>
      <c r="U6" s="30">
        <f t="shared" ref="U6:U14" si="10">VLOOKUP(N6,$X$5:$AG$391,10,0)*O6</f>
        <v>2356769.4951253068</v>
      </c>
      <c r="V6" s="31"/>
      <c r="W6" s="3"/>
      <c r="X6" s="265"/>
      <c r="Y6" s="266" t="s">
        <v>27</v>
      </c>
      <c r="Z6" s="266" t="s">
        <v>28</v>
      </c>
      <c r="AA6" s="266" t="s">
        <v>29</v>
      </c>
      <c r="AB6" s="266" t="s">
        <v>30</v>
      </c>
      <c r="AC6" s="266" t="s">
        <v>31</v>
      </c>
      <c r="AD6" s="266" t="s">
        <v>32</v>
      </c>
      <c r="AE6" s="267" t="s">
        <v>33</v>
      </c>
      <c r="AF6" s="14"/>
      <c r="AG6" s="14"/>
      <c r="AH6" s="14"/>
      <c r="AM6" s="154" t="s">
        <v>389</v>
      </c>
      <c r="AN6" s="81" t="s">
        <v>390</v>
      </c>
      <c r="AO6" s="81" t="s">
        <v>394</v>
      </c>
      <c r="AP6" s="81">
        <f>SUM(O10:O13)/(SUM($O$6:$O$14,$O$26,O30)+2*SUM($O$27))</f>
        <v>3.884024562501652E-2</v>
      </c>
      <c r="AQ6" s="81" t="s">
        <v>392</v>
      </c>
      <c r="AR6" s="204">
        <v>0.251</v>
      </c>
      <c r="AV6" s="205" t="s">
        <v>389</v>
      </c>
      <c r="AW6" s="205" t="s">
        <v>390</v>
      </c>
      <c r="AX6" s="205" t="s">
        <v>394</v>
      </c>
      <c r="AY6" s="207" t="s">
        <v>434</v>
      </c>
      <c r="AZ6" s="206">
        <f t="shared" si="3"/>
        <v>6.13E-2</v>
      </c>
      <c r="BA6" s="205" t="s">
        <v>392</v>
      </c>
      <c r="BF6" s="81" t="s">
        <v>282</v>
      </c>
      <c r="BG6" s="3">
        <f>AP22</f>
        <v>91.923239162201668</v>
      </c>
      <c r="BJ6" s="81" t="s">
        <v>441</v>
      </c>
      <c r="BK6" s="3">
        <f>BG6</f>
        <v>91.923239162201668</v>
      </c>
      <c r="BQ6" s="154" t="s">
        <v>389</v>
      </c>
      <c r="BR6" s="81" t="s">
        <v>390</v>
      </c>
      <c r="BS6" s="81" t="s">
        <v>394</v>
      </c>
      <c r="BT6" s="204">
        <f t="shared" si="4"/>
        <v>0.251</v>
      </c>
      <c r="BU6" s="81" t="s">
        <v>392</v>
      </c>
      <c r="BV6" s="204">
        <v>0.251</v>
      </c>
      <c r="BZ6" s="211">
        <f>CC10</f>
        <v>6.13E-2</v>
      </c>
      <c r="CA6" s="211"/>
      <c r="CB6" s="81" t="s">
        <v>468</v>
      </c>
      <c r="CC6" s="204">
        <v>290</v>
      </c>
      <c r="CD6" s="204">
        <v>0.111</v>
      </c>
      <c r="CH6" s="81" t="s">
        <v>500</v>
      </c>
      <c r="CI6" s="81" t="s">
        <v>501</v>
      </c>
      <c r="CJ6" s="81" t="s">
        <v>502</v>
      </c>
      <c r="CK6" s="81" t="s">
        <v>503</v>
      </c>
      <c r="CL6" s="81" t="s">
        <v>504</v>
      </c>
      <c r="CN6" s="81" t="s">
        <v>500</v>
      </c>
      <c r="CO6" s="81" t="s">
        <v>501</v>
      </c>
      <c r="CP6" s="81" t="s">
        <v>502</v>
      </c>
      <c r="CQ6" s="81" t="s">
        <v>503</v>
      </c>
      <c r="CR6" s="81" t="s">
        <v>504</v>
      </c>
      <c r="CS6" s="81" t="s">
        <v>508</v>
      </c>
      <c r="CV6" s="212" t="s">
        <v>506</v>
      </c>
      <c r="CW6" s="81" t="s">
        <v>497</v>
      </c>
      <c r="CX6" s="81" t="s">
        <v>521</v>
      </c>
      <c r="DL6" s="81" t="s">
        <v>395</v>
      </c>
      <c r="DM6" s="286">
        <f t="shared" si="0"/>
        <v>0.23554729604848729</v>
      </c>
      <c r="DN6" s="286">
        <f t="shared" si="1"/>
        <v>0.13800000000000001</v>
      </c>
      <c r="DO6" s="286">
        <f t="shared" si="2"/>
        <v>0.17799999999999999</v>
      </c>
      <c r="DQ6" s="290" t="s">
        <v>506</v>
      </c>
      <c r="DR6" s="290" t="s">
        <v>500</v>
      </c>
      <c r="DS6" s="290" t="s">
        <v>501</v>
      </c>
      <c r="DT6" s="290" t="s">
        <v>502</v>
      </c>
      <c r="DU6" s="290" t="s">
        <v>503</v>
      </c>
      <c r="DV6" s="290" t="s">
        <v>504</v>
      </c>
      <c r="DW6" s="290" t="s">
        <v>508</v>
      </c>
      <c r="DY6" s="212" t="s">
        <v>568</v>
      </c>
      <c r="DZ6" s="292" t="s">
        <v>570</v>
      </c>
      <c r="EA6" s="292" t="s">
        <v>434</v>
      </c>
      <c r="EB6" s="293">
        <f t="shared" ref="EB6:EB24" si="11">DS13</f>
        <v>0.29599999999999999</v>
      </c>
      <c r="EC6" s="212" t="s">
        <v>392</v>
      </c>
      <c r="EE6" s="160" t="s">
        <v>568</v>
      </c>
      <c r="EF6" s="322" t="s">
        <v>570</v>
      </c>
      <c r="EG6" s="322" t="s">
        <v>434</v>
      </c>
      <c r="EH6" s="160">
        <f>$O$10*$Z$37*$AP$4</f>
        <v>0.28663287773951751</v>
      </c>
      <c r="EI6" s="160" t="s">
        <v>392</v>
      </c>
      <c r="EK6" s="329" t="s">
        <v>506</v>
      </c>
      <c r="EL6" s="329" t="s">
        <v>500</v>
      </c>
      <c r="EM6" s="329" t="s">
        <v>501</v>
      </c>
      <c r="EN6" s="329" t="s">
        <v>502</v>
      </c>
      <c r="EO6" s="329" t="s">
        <v>503</v>
      </c>
      <c r="EP6" s="329" t="s">
        <v>504</v>
      </c>
      <c r="EQ6" s="329" t="s">
        <v>508</v>
      </c>
      <c r="ES6" s="330" t="s">
        <v>568</v>
      </c>
      <c r="ET6" s="331" t="s">
        <v>570</v>
      </c>
      <c r="EU6" s="331" t="s">
        <v>434</v>
      </c>
      <c r="EV6" s="332">
        <f t="shared" ref="EV6:EV24" si="12">EM13</f>
        <v>0.28999999999999998</v>
      </c>
      <c r="EW6" s="330" t="s">
        <v>392</v>
      </c>
    </row>
    <row r="7" spans="1:153" ht="15" customHeight="1" thickTop="1" thickBot="1" x14ac:dyDescent="0.3">
      <c r="A7" s="226" t="s">
        <v>42</v>
      </c>
      <c r="B7" s="229">
        <f>'Tabula data'!B14</f>
        <v>103.4</v>
      </c>
      <c r="C7" s="230" t="s">
        <v>9</v>
      </c>
      <c r="D7" s="226" t="s">
        <v>43</v>
      </c>
      <c r="E7" s="221" t="s">
        <v>36</v>
      </c>
      <c r="F7" s="227">
        <f t="shared" si="5"/>
        <v>0.10117302052785924</v>
      </c>
      <c r="G7" s="221"/>
      <c r="H7" s="228">
        <f>'Tabula data'!B23*'Tabula RefULG 1'!C45</f>
        <v>3.45</v>
      </c>
      <c r="I7" s="240"/>
      <c r="K7" s="81" t="s">
        <v>38</v>
      </c>
      <c r="L7" s="250">
        <v>0</v>
      </c>
      <c r="M7" s="251">
        <v>1</v>
      </c>
      <c r="N7" s="251" t="s">
        <v>25</v>
      </c>
      <c r="O7" s="252">
        <f>'[1]Tabula data'!B20*C43</f>
        <v>30.921227867960802</v>
      </c>
      <c r="P7" s="253" t="s">
        <v>39</v>
      </c>
      <c r="Q7" s="30">
        <f t="shared" si="6"/>
        <v>0.59788861556532236</v>
      </c>
      <c r="R7" s="30">
        <f t="shared" si="7"/>
        <v>18.487450121554946</v>
      </c>
      <c r="S7" s="30">
        <f t="shared" si="8"/>
        <v>7820525.8335405504</v>
      </c>
      <c r="T7" s="30">
        <f t="shared" si="9"/>
        <v>252917.7</v>
      </c>
      <c r="U7" s="30">
        <f t="shared" si="10"/>
        <v>4142826.1097493884</v>
      </c>
      <c r="V7" s="31"/>
      <c r="W7" s="3"/>
      <c r="X7" s="220"/>
      <c r="Y7" s="221" t="s">
        <v>40</v>
      </c>
      <c r="Z7" s="221">
        <v>2.5000000000000001E-2</v>
      </c>
      <c r="AA7" s="221">
        <v>1</v>
      </c>
      <c r="AB7" s="221">
        <v>1700</v>
      </c>
      <c r="AC7" s="221">
        <v>840</v>
      </c>
      <c r="AD7" s="268">
        <f>Z7/AA7</f>
        <v>2.5000000000000001E-2</v>
      </c>
      <c r="AE7" s="222">
        <f>Z7*AB7*AC7</f>
        <v>35700</v>
      </c>
      <c r="AF7" s="14" t="s">
        <v>41</v>
      </c>
      <c r="AG7" s="14"/>
      <c r="AH7" s="14"/>
      <c r="AM7" s="154" t="s">
        <v>389</v>
      </c>
      <c r="AN7" s="81" t="s">
        <v>390</v>
      </c>
      <c r="AO7" s="81" t="s">
        <v>395</v>
      </c>
      <c r="AP7" s="81">
        <f>SUM(O14)/(SUM($O$6:$O$14,$O$26,O30)+2*SUM($O$27))</f>
        <v>0.23554729604848729</v>
      </c>
      <c r="AQ7" s="81" t="s">
        <v>392</v>
      </c>
      <c r="AR7" s="204">
        <v>0.13800000000000001</v>
      </c>
      <c r="AV7" s="205" t="s">
        <v>389</v>
      </c>
      <c r="AW7" s="205" t="s">
        <v>390</v>
      </c>
      <c r="AX7" s="205" t="s">
        <v>395</v>
      </c>
      <c r="AY7" s="207" t="s">
        <v>434</v>
      </c>
      <c r="AZ7" s="206">
        <f t="shared" si="3"/>
        <v>0.17799999999999999</v>
      </c>
      <c r="BA7" s="205" t="s">
        <v>392</v>
      </c>
      <c r="BF7" s="81" t="s">
        <v>122</v>
      </c>
      <c r="BG7" s="204">
        <f>AP9</f>
        <v>1904462.5600000003</v>
      </c>
      <c r="BJ7" s="81" t="s">
        <v>442</v>
      </c>
      <c r="BK7" s="3">
        <f>BG25</f>
        <v>51.346760837798342</v>
      </c>
      <c r="BQ7" s="154" t="s">
        <v>389</v>
      </c>
      <c r="BR7" s="81" t="s">
        <v>390</v>
      </c>
      <c r="BS7" s="81" t="s">
        <v>395</v>
      </c>
      <c r="BT7" s="204">
        <f t="shared" si="4"/>
        <v>0.13800000000000001</v>
      </c>
      <c r="BU7" s="81" t="s">
        <v>392</v>
      </c>
      <c r="BV7" s="204">
        <v>0.13800000000000001</v>
      </c>
      <c r="BZ7" s="211">
        <f>CC11</f>
        <v>0.17799999999999999</v>
      </c>
      <c r="CA7" s="211"/>
      <c r="CB7" s="81" t="s">
        <v>469</v>
      </c>
      <c r="CC7" s="204">
        <v>292</v>
      </c>
      <c r="CD7" s="204">
        <v>6.6199999999999995E-2</v>
      </c>
      <c r="CH7" s="81" t="s">
        <v>465</v>
      </c>
      <c r="CI7" s="204">
        <v>292</v>
      </c>
      <c r="CJ7" s="204">
        <v>0.10299999999999999</v>
      </c>
      <c r="CK7" s="81">
        <v>2836.8</v>
      </c>
      <c r="CL7" s="81" t="s">
        <v>505</v>
      </c>
      <c r="CN7" s="81" t="s">
        <v>465</v>
      </c>
      <c r="CO7" s="204">
        <v>290</v>
      </c>
      <c r="CP7" s="204">
        <v>0.23599999999999999</v>
      </c>
      <c r="CQ7" s="81">
        <v>1228.6600000000001</v>
      </c>
      <c r="CR7" s="81" t="s">
        <v>509</v>
      </c>
      <c r="CS7" s="204">
        <v>2E-16</v>
      </c>
      <c r="CT7" s="81" t="s">
        <v>510</v>
      </c>
      <c r="CV7" s="212" t="s">
        <v>506</v>
      </c>
      <c r="CW7" s="81" t="s">
        <v>499</v>
      </c>
      <c r="DM7" s="287">
        <f t="shared" si="0"/>
        <v>0</v>
      </c>
      <c r="DN7" s="287">
        <f t="shared" si="1"/>
        <v>0</v>
      </c>
      <c r="DO7" s="287">
        <f t="shared" si="2"/>
        <v>0</v>
      </c>
      <c r="DQ7" s="290" t="s">
        <v>506</v>
      </c>
      <c r="DR7" s="290" t="s">
        <v>465</v>
      </c>
      <c r="DS7" s="291">
        <v>293</v>
      </c>
      <c r="DT7" s="291">
        <v>3.73E-2</v>
      </c>
      <c r="DU7" s="290">
        <v>7859.47</v>
      </c>
      <c r="DV7" s="290" t="s">
        <v>509</v>
      </c>
      <c r="DW7" s="291">
        <v>2E-16</v>
      </c>
      <c r="DX7" s="81" t="s">
        <v>510</v>
      </c>
      <c r="DY7" s="212" t="s">
        <v>568</v>
      </c>
      <c r="DZ7" s="294" t="s">
        <v>571</v>
      </c>
      <c r="EA7" s="292" t="s">
        <v>434</v>
      </c>
      <c r="EB7" s="293">
        <f t="shared" si="11"/>
        <v>0.23300000000000001</v>
      </c>
      <c r="EC7" s="212" t="s">
        <v>392</v>
      </c>
      <c r="EE7" s="160" t="s">
        <v>568</v>
      </c>
      <c r="EF7" s="323" t="s">
        <v>571</v>
      </c>
      <c r="EG7" s="322" t="s">
        <v>434</v>
      </c>
      <c r="EH7" s="160">
        <f>$O$12*$Z$37*$AP$4</f>
        <v>0.31848097526613056</v>
      </c>
      <c r="EI7" s="160" t="s">
        <v>392</v>
      </c>
      <c r="EK7" s="329" t="s">
        <v>506</v>
      </c>
      <c r="EL7" s="329" t="s">
        <v>465</v>
      </c>
      <c r="EM7" s="333">
        <v>298</v>
      </c>
      <c r="EN7" s="333">
        <v>0.33900000000000002</v>
      </c>
      <c r="EO7" s="329">
        <v>878.45</v>
      </c>
      <c r="EP7" s="329" t="s">
        <v>509</v>
      </c>
      <c r="EQ7" s="333">
        <v>2E-16</v>
      </c>
      <c r="ER7" s="329" t="s">
        <v>510</v>
      </c>
      <c r="ES7" s="330" t="s">
        <v>568</v>
      </c>
      <c r="ET7" s="334" t="s">
        <v>571</v>
      </c>
      <c r="EU7" s="331" t="s">
        <v>434</v>
      </c>
      <c r="EV7" s="332">
        <f t="shared" si="12"/>
        <v>0.39200000000000002</v>
      </c>
      <c r="EW7" s="330" t="s">
        <v>392</v>
      </c>
    </row>
    <row r="8" spans="1:153" ht="15" customHeight="1" thickTop="1" thickBot="1" x14ac:dyDescent="0.3">
      <c r="A8" s="226" t="s">
        <v>47</v>
      </c>
      <c r="B8" s="229">
        <f>B6-B7</f>
        <v>120.6</v>
      </c>
      <c r="C8" s="221"/>
      <c r="D8" s="226" t="s">
        <v>48</v>
      </c>
      <c r="E8" s="221" t="s">
        <v>36</v>
      </c>
      <c r="F8" s="227">
        <f t="shared" si="5"/>
        <v>0.13196480938416422</v>
      </c>
      <c r="G8" s="221"/>
      <c r="H8" s="228">
        <f>'Tabula data'!B24*C45</f>
        <v>4.5</v>
      </c>
      <c r="I8" s="240"/>
      <c r="K8" s="81" t="s">
        <v>44</v>
      </c>
      <c r="L8" s="250">
        <v>0</v>
      </c>
      <c r="M8" s="251">
        <v>1</v>
      </c>
      <c r="N8" s="251" t="s">
        <v>25</v>
      </c>
      <c r="O8" s="252">
        <f>O6</f>
        <v>17.590457494591035</v>
      </c>
      <c r="P8" s="253" t="s">
        <v>45</v>
      </c>
      <c r="Q8" s="30">
        <f t="shared" si="6"/>
        <v>0.59788861556532236</v>
      </c>
      <c r="R8" s="30">
        <f t="shared" si="7"/>
        <v>10.517134278601683</v>
      </c>
      <c r="S8" s="30">
        <f t="shared" si="8"/>
        <v>4448938.051479727</v>
      </c>
      <c r="T8" s="30">
        <f t="shared" si="9"/>
        <v>252917.69999999998</v>
      </c>
      <c r="U8" s="30">
        <f t="shared" si="10"/>
        <v>2356769.4951253068</v>
      </c>
      <c r="V8" s="31"/>
      <c r="W8" s="3"/>
      <c r="X8" s="220"/>
      <c r="Y8" s="221" t="s">
        <v>46</v>
      </c>
      <c r="Z8" s="221">
        <v>0</v>
      </c>
      <c r="AA8" s="221">
        <v>0</v>
      </c>
      <c r="AB8" s="221">
        <v>0</v>
      </c>
      <c r="AC8" s="221">
        <v>0</v>
      </c>
      <c r="AD8" s="268">
        <v>0.16</v>
      </c>
      <c r="AE8" s="222">
        <f>Z8*AB8*AC8</f>
        <v>0</v>
      </c>
      <c r="AF8" s="14"/>
      <c r="AG8" s="14"/>
      <c r="AH8" s="14"/>
      <c r="AQ8" s="81" t="s">
        <v>392</v>
      </c>
      <c r="AR8" s="204"/>
      <c r="AV8" s="205"/>
      <c r="AW8" s="205"/>
      <c r="AX8" s="205"/>
      <c r="AY8" s="207"/>
      <c r="BA8" s="205"/>
      <c r="BT8" s="204">
        <f>AR8</f>
        <v>0</v>
      </c>
      <c r="BU8" s="81" t="s">
        <v>392</v>
      </c>
      <c r="BV8" s="204"/>
      <c r="CB8" s="81" t="s">
        <v>470</v>
      </c>
      <c r="CC8" s="204">
        <v>0.19500000000000001</v>
      </c>
      <c r="CD8" s="204">
        <v>1.0499999999999999E-3</v>
      </c>
      <c r="CH8" s="81" t="s">
        <v>466</v>
      </c>
      <c r="CI8" s="204">
        <v>291</v>
      </c>
      <c r="CJ8" s="204">
        <v>0.105</v>
      </c>
      <c r="CK8" s="81">
        <v>2780.29</v>
      </c>
      <c r="CL8" s="81" t="s">
        <v>505</v>
      </c>
      <c r="CN8" s="81" t="s">
        <v>466</v>
      </c>
      <c r="CO8" s="204">
        <v>285</v>
      </c>
      <c r="CP8" s="204">
        <v>0.35499999999999998</v>
      </c>
      <c r="CQ8" s="81">
        <v>802.92</v>
      </c>
      <c r="CR8" s="81" t="s">
        <v>509</v>
      </c>
      <c r="CS8" s="204">
        <v>2E-16</v>
      </c>
      <c r="CT8" s="81" t="s">
        <v>510</v>
      </c>
      <c r="CV8" s="212" t="s">
        <v>506</v>
      </c>
      <c r="CW8" s="81" t="s">
        <v>500</v>
      </c>
      <c r="CX8" s="81" t="s">
        <v>501</v>
      </c>
      <c r="CY8" s="81" t="s">
        <v>502</v>
      </c>
      <c r="CZ8" s="81" t="s">
        <v>503</v>
      </c>
      <c r="DA8" s="81" t="s">
        <v>504</v>
      </c>
      <c r="DB8" s="81" t="s">
        <v>508</v>
      </c>
      <c r="DL8" s="81" t="s">
        <v>396</v>
      </c>
      <c r="DM8" s="288">
        <f t="shared" si="0"/>
        <v>1904462.5600000003</v>
      </c>
      <c r="DN8" s="288">
        <f t="shared" si="1"/>
        <v>2850000</v>
      </c>
      <c r="DO8" s="288">
        <f t="shared" si="2"/>
        <v>3460000</v>
      </c>
      <c r="DQ8" s="290" t="s">
        <v>506</v>
      </c>
      <c r="DR8" s="290" t="s">
        <v>466</v>
      </c>
      <c r="DS8" s="291">
        <v>292</v>
      </c>
      <c r="DT8" s="291">
        <v>3.2199999999999999E-2</v>
      </c>
      <c r="DU8" s="290">
        <v>9082.6299999999992</v>
      </c>
      <c r="DV8" s="290" t="s">
        <v>509</v>
      </c>
      <c r="DW8" s="291">
        <v>2E-16</v>
      </c>
      <c r="DX8" s="81" t="s">
        <v>510</v>
      </c>
      <c r="DY8" s="212" t="s">
        <v>568</v>
      </c>
      <c r="DZ8" s="295" t="s">
        <v>572</v>
      </c>
      <c r="EA8" s="292" t="s">
        <v>434</v>
      </c>
      <c r="EB8" s="293">
        <f t="shared" si="11"/>
        <v>0.20499999999999999</v>
      </c>
      <c r="EC8" s="212" t="s">
        <v>392</v>
      </c>
      <c r="EE8" s="160" t="s">
        <v>568</v>
      </c>
      <c r="EF8" s="324" t="s">
        <v>572</v>
      </c>
      <c r="EG8" s="322" t="s">
        <v>434</v>
      </c>
      <c r="EH8" s="160">
        <f>$O$13*$Z$37*$AP$4</f>
        <v>0.35740642779865767</v>
      </c>
      <c r="EI8" s="160" t="s">
        <v>392</v>
      </c>
      <c r="EK8" s="329" t="s">
        <v>506</v>
      </c>
      <c r="EL8" s="329" t="s">
        <v>466</v>
      </c>
      <c r="EM8" s="333">
        <v>294</v>
      </c>
      <c r="EN8" s="333">
        <v>0.13800000000000001</v>
      </c>
      <c r="EO8" s="329">
        <v>2126.0100000000002</v>
      </c>
      <c r="EP8" s="329" t="s">
        <v>509</v>
      </c>
      <c r="EQ8" s="333">
        <v>2E-16</v>
      </c>
      <c r="ER8" s="329" t="s">
        <v>510</v>
      </c>
      <c r="ES8" s="330" t="s">
        <v>568</v>
      </c>
      <c r="ET8" s="335" t="s">
        <v>572</v>
      </c>
      <c r="EU8" s="331" t="s">
        <v>434</v>
      </c>
      <c r="EV8" s="332">
        <f t="shared" si="12"/>
        <v>0.33900000000000002</v>
      </c>
      <c r="EW8" s="330" t="s">
        <v>392</v>
      </c>
    </row>
    <row r="9" spans="1:153" ht="15" customHeight="1" thickTop="1" thickBot="1" x14ac:dyDescent="0.3">
      <c r="A9" s="220"/>
      <c r="B9" s="221"/>
      <c r="C9" s="221"/>
      <c r="D9" s="226" t="s">
        <v>52</v>
      </c>
      <c r="E9" s="231" t="s">
        <v>36</v>
      </c>
      <c r="F9" s="227">
        <f t="shared" si="5"/>
        <v>0.14809384164222872</v>
      </c>
      <c r="G9" s="221"/>
      <c r="H9" s="228">
        <f>'Tabula data'!B25*'Tabula RefULG 1'!C45</f>
        <v>5.05</v>
      </c>
      <c r="I9" s="240"/>
      <c r="K9" s="81" t="s">
        <v>49</v>
      </c>
      <c r="L9" s="250">
        <v>0</v>
      </c>
      <c r="M9" s="251">
        <v>1</v>
      </c>
      <c r="N9" s="251" t="s">
        <v>25</v>
      </c>
      <c r="O9" s="252">
        <v>0</v>
      </c>
      <c r="P9" s="253" t="s">
        <v>50</v>
      </c>
      <c r="Q9" s="30">
        <f t="shared" si="6"/>
        <v>0.59788861556532236</v>
      </c>
      <c r="R9" s="30">
        <f t="shared" si="7"/>
        <v>0</v>
      </c>
      <c r="S9" s="30">
        <f t="shared" si="8"/>
        <v>0</v>
      </c>
      <c r="T9" s="30" t="e">
        <f t="shared" si="9"/>
        <v>#DIV/0!</v>
      </c>
      <c r="U9" s="30">
        <f t="shared" si="10"/>
        <v>0</v>
      </c>
      <c r="V9" s="31"/>
      <c r="W9" s="3"/>
      <c r="X9" s="220"/>
      <c r="Y9" s="231" t="s">
        <v>267</v>
      </c>
      <c r="Z9" s="320">
        <v>0.12</v>
      </c>
      <c r="AA9" s="221">
        <v>3.5999999999999997E-2</v>
      </c>
      <c r="AB9" s="221">
        <v>80</v>
      </c>
      <c r="AC9" s="221">
        <v>1470</v>
      </c>
      <c r="AD9" s="268">
        <f>Z9/AA9</f>
        <v>3.3333333333333335</v>
      </c>
      <c r="AE9" s="222">
        <f>Z9*AB9*AC9</f>
        <v>14112</v>
      </c>
      <c r="AF9" s="14"/>
      <c r="AG9" s="14"/>
      <c r="AH9" s="14"/>
      <c r="AM9" s="154" t="s">
        <v>389</v>
      </c>
      <c r="AN9" s="81" t="s">
        <v>390</v>
      </c>
      <c r="AO9" s="81" t="s">
        <v>396</v>
      </c>
      <c r="AP9" s="204">
        <f>B34*1.04*1012*5</f>
        <v>1904462.5600000003</v>
      </c>
      <c r="AQ9" s="81" t="s">
        <v>392</v>
      </c>
      <c r="AR9" s="204">
        <v>2850000</v>
      </c>
      <c r="AV9" s="205" t="s">
        <v>389</v>
      </c>
      <c r="AW9" s="205" t="s">
        <v>390</v>
      </c>
      <c r="AX9" s="205" t="s">
        <v>396</v>
      </c>
      <c r="AY9" s="207" t="s">
        <v>434</v>
      </c>
      <c r="AZ9" s="206">
        <f t="shared" si="3"/>
        <v>3460000</v>
      </c>
      <c r="BA9" s="205" t="s">
        <v>392</v>
      </c>
      <c r="BF9" s="81" t="s">
        <v>285</v>
      </c>
      <c r="BG9" s="81">
        <f>AP21</f>
        <v>199.08073338295438</v>
      </c>
      <c r="BJ9" s="81" t="s">
        <v>443</v>
      </c>
      <c r="BK9" s="204">
        <f>BG5</f>
        <v>8856365.1000000015</v>
      </c>
      <c r="BQ9" s="154" t="s">
        <v>389</v>
      </c>
      <c r="BR9" s="81" t="s">
        <v>390</v>
      </c>
      <c r="BS9" s="81" t="s">
        <v>396</v>
      </c>
      <c r="BT9" s="204">
        <f>AR9</f>
        <v>2850000</v>
      </c>
      <c r="BU9" s="81" t="s">
        <v>392</v>
      </c>
      <c r="BV9" s="204">
        <v>2850000</v>
      </c>
      <c r="BZ9" s="211">
        <f>CC15</f>
        <v>3460000</v>
      </c>
      <c r="CA9" s="211"/>
      <c r="CB9" s="81" t="s">
        <v>471</v>
      </c>
      <c r="CC9" s="204">
        <v>0.38800000000000001</v>
      </c>
      <c r="CD9" s="204">
        <v>1.15E-3</v>
      </c>
      <c r="CH9" s="81" t="s">
        <v>467</v>
      </c>
      <c r="CI9" s="204">
        <v>294</v>
      </c>
      <c r="CJ9" s="204">
        <v>5.4199999999999998E-2</v>
      </c>
      <c r="CK9" s="81">
        <v>5435.78</v>
      </c>
      <c r="CL9" s="81" t="s">
        <v>505</v>
      </c>
      <c r="CN9" s="81" t="s">
        <v>467</v>
      </c>
      <c r="CO9" s="204">
        <v>291</v>
      </c>
      <c r="CP9" s="204">
        <v>0.127</v>
      </c>
      <c r="CQ9" s="81">
        <v>2291.35</v>
      </c>
      <c r="CR9" s="81" t="s">
        <v>509</v>
      </c>
      <c r="CS9" s="204">
        <v>2E-16</v>
      </c>
      <c r="CT9" s="81" t="s">
        <v>510</v>
      </c>
      <c r="CV9" s="212" t="s">
        <v>506</v>
      </c>
      <c r="CW9" s="81" t="s">
        <v>522</v>
      </c>
      <c r="CX9" s="204">
        <v>294</v>
      </c>
      <c r="CY9" s="204">
        <v>3.8399999999999998E-5</v>
      </c>
      <c r="CZ9" s="81">
        <v>7667965</v>
      </c>
      <c r="DA9" s="81" t="s">
        <v>505</v>
      </c>
      <c r="DB9" s="81" t="s">
        <v>510</v>
      </c>
      <c r="DL9" s="81" t="s">
        <v>397</v>
      </c>
      <c r="DM9" s="288">
        <f t="shared" si="0"/>
        <v>8856365.1000000015</v>
      </c>
      <c r="DN9" s="288">
        <f t="shared" si="1"/>
        <v>19700000</v>
      </c>
      <c r="DO9" s="288">
        <f t="shared" si="2"/>
        <v>23000000</v>
      </c>
      <c r="DQ9" s="290" t="s">
        <v>506</v>
      </c>
      <c r="DR9" s="290" t="s">
        <v>467</v>
      </c>
      <c r="DS9" s="291">
        <v>295</v>
      </c>
      <c r="DT9" s="291">
        <v>2.9499999999999998E-2</v>
      </c>
      <c r="DU9" s="290">
        <v>10001.58</v>
      </c>
      <c r="DV9" s="290" t="s">
        <v>509</v>
      </c>
      <c r="DW9" s="291">
        <v>2E-16</v>
      </c>
      <c r="DX9" s="81" t="s">
        <v>510</v>
      </c>
      <c r="DY9" s="212" t="s">
        <v>568</v>
      </c>
      <c r="DZ9" s="295" t="s">
        <v>573</v>
      </c>
      <c r="EA9" s="292" t="s">
        <v>434</v>
      </c>
      <c r="EB9" s="293">
        <f t="shared" si="11"/>
        <v>0.309</v>
      </c>
      <c r="EC9" s="212" t="s">
        <v>392</v>
      </c>
      <c r="EE9" s="160" t="s">
        <v>568</v>
      </c>
      <c r="EF9" s="324" t="s">
        <v>573</v>
      </c>
      <c r="EG9" s="322" t="s">
        <v>434</v>
      </c>
      <c r="EH9" s="160">
        <f>$O$11*$Z$37*$AP$5</f>
        <v>0.60255463209466087</v>
      </c>
      <c r="EI9" s="160" t="s">
        <v>392</v>
      </c>
      <c r="EK9" s="329" t="s">
        <v>506</v>
      </c>
      <c r="EL9" s="329" t="s">
        <v>467</v>
      </c>
      <c r="EM9" s="333">
        <v>297</v>
      </c>
      <c r="EN9" s="333">
        <v>8.4400000000000003E-2</v>
      </c>
      <c r="EO9" s="329">
        <v>3514.03</v>
      </c>
      <c r="EP9" s="329" t="s">
        <v>509</v>
      </c>
      <c r="EQ9" s="333">
        <v>2E-16</v>
      </c>
      <c r="ER9" s="329" t="s">
        <v>510</v>
      </c>
      <c r="ES9" s="330" t="s">
        <v>568</v>
      </c>
      <c r="ET9" s="335" t="s">
        <v>573</v>
      </c>
      <c r="EU9" s="331" t="s">
        <v>434</v>
      </c>
      <c r="EV9" s="332">
        <f t="shared" si="12"/>
        <v>0.55600000000000005</v>
      </c>
      <c r="EW9" s="330" t="s">
        <v>392</v>
      </c>
    </row>
    <row r="10" spans="1:153" ht="15" customHeight="1" thickTop="1" thickBot="1" x14ac:dyDescent="0.3">
      <c r="A10" s="220"/>
      <c r="B10" s="221"/>
      <c r="C10" s="221"/>
      <c r="D10" s="226" t="s">
        <v>35</v>
      </c>
      <c r="E10" s="231" t="s">
        <v>56</v>
      </c>
      <c r="F10" s="227">
        <f t="shared" si="5"/>
        <v>0.11876832844574779</v>
      </c>
      <c r="G10" s="221"/>
      <c r="H10" s="232">
        <f>'Tabula data'!B22*(1-C45)</f>
        <v>4.05</v>
      </c>
      <c r="I10" s="238"/>
      <c r="K10" s="81" t="s">
        <v>53</v>
      </c>
      <c r="L10" s="250">
        <v>0</v>
      </c>
      <c r="M10" s="251">
        <v>1</v>
      </c>
      <c r="N10" s="251" t="s">
        <v>54</v>
      </c>
      <c r="O10" s="252">
        <f>H6</f>
        <v>4.05</v>
      </c>
      <c r="P10" s="253" t="s">
        <v>26</v>
      </c>
      <c r="Q10" s="30">
        <f t="shared" si="6"/>
        <v>2</v>
      </c>
      <c r="R10" s="30">
        <f t="shared" si="7"/>
        <v>8.1</v>
      </c>
      <c r="S10" s="30">
        <f t="shared" si="8"/>
        <v>0</v>
      </c>
      <c r="T10" s="30">
        <f t="shared" si="9"/>
        <v>0</v>
      </c>
      <c r="U10" s="30">
        <f t="shared" si="10"/>
        <v>0</v>
      </c>
      <c r="V10" s="31"/>
      <c r="W10" s="3"/>
      <c r="X10" s="237"/>
      <c r="Y10" s="219" t="s">
        <v>58</v>
      </c>
      <c r="Z10" s="219">
        <v>0.02</v>
      </c>
      <c r="AA10" s="219">
        <v>0.6</v>
      </c>
      <c r="AB10" s="219">
        <v>975</v>
      </c>
      <c r="AC10" s="219">
        <v>840</v>
      </c>
      <c r="AD10" s="269">
        <f>Z10/AA10</f>
        <v>3.3333333333333333E-2</v>
      </c>
      <c r="AE10" s="242">
        <f>Z10*AB10*AC10</f>
        <v>16380</v>
      </c>
      <c r="AF10" s="14"/>
      <c r="AG10" s="14"/>
      <c r="AH10" s="14"/>
      <c r="AM10" s="154" t="s">
        <v>389</v>
      </c>
      <c r="AN10" s="81" t="s">
        <v>390</v>
      </c>
      <c r="AO10" s="81" t="s">
        <v>397</v>
      </c>
      <c r="AP10" s="204">
        <f>SUM(U6:U9)</f>
        <v>8856365.1000000015</v>
      </c>
      <c r="AQ10" s="81" t="s">
        <v>392</v>
      </c>
      <c r="AR10" s="204">
        <v>19700000</v>
      </c>
      <c r="AV10" s="205" t="s">
        <v>389</v>
      </c>
      <c r="AW10" s="205" t="s">
        <v>390</v>
      </c>
      <c r="AX10" s="205" t="s">
        <v>397</v>
      </c>
      <c r="AY10" s="207" t="s">
        <v>434</v>
      </c>
      <c r="AZ10" s="206">
        <f t="shared" si="3"/>
        <v>23000000</v>
      </c>
      <c r="BA10" s="205" t="s">
        <v>392</v>
      </c>
      <c r="BF10" s="81" t="s">
        <v>293</v>
      </c>
      <c r="BG10" s="204">
        <f>AP11</f>
        <v>6524281.5000000019</v>
      </c>
      <c r="BJ10" s="81" t="s">
        <v>444</v>
      </c>
      <c r="BK10" s="204">
        <f>BG26</f>
        <v>43428471.899999999</v>
      </c>
      <c r="BQ10" s="154" t="s">
        <v>389</v>
      </c>
      <c r="BR10" s="81" t="s">
        <v>390</v>
      </c>
      <c r="BS10" s="81" t="s">
        <v>397</v>
      </c>
      <c r="BT10" s="204">
        <f t="shared" ref="BT10:BT12" si="13">AR10</f>
        <v>19700000</v>
      </c>
      <c r="BU10" s="81" t="s">
        <v>392</v>
      </c>
      <c r="BV10" s="204">
        <v>19700000</v>
      </c>
      <c r="BZ10" s="211">
        <f>CC16</f>
        <v>23000000</v>
      </c>
      <c r="CA10" s="211"/>
      <c r="CB10" s="81" t="s">
        <v>472</v>
      </c>
      <c r="CC10" s="204">
        <v>6.13E-2</v>
      </c>
      <c r="CD10" s="204">
        <v>5.5399999999999998E-3</v>
      </c>
      <c r="CH10" s="81" t="s">
        <v>468</v>
      </c>
      <c r="CI10" s="204">
        <v>290</v>
      </c>
      <c r="CJ10" s="204">
        <v>0.111</v>
      </c>
      <c r="CK10" s="81">
        <v>2606.75</v>
      </c>
      <c r="CL10" s="81" t="s">
        <v>505</v>
      </c>
      <c r="CN10" s="81" t="s">
        <v>468</v>
      </c>
      <c r="CO10" s="204">
        <v>294</v>
      </c>
      <c r="CP10" s="204">
        <v>0.20300000000000001</v>
      </c>
      <c r="CQ10" s="81">
        <v>1448.79</v>
      </c>
      <c r="CR10" s="81" t="s">
        <v>509</v>
      </c>
      <c r="CS10" s="204">
        <v>2E-16</v>
      </c>
      <c r="CT10" s="81" t="s">
        <v>510</v>
      </c>
      <c r="CV10" s="212" t="s">
        <v>506</v>
      </c>
      <c r="CW10" s="81" t="s">
        <v>523</v>
      </c>
      <c r="CX10" s="204">
        <v>294</v>
      </c>
      <c r="CY10" s="204">
        <v>2.7399999999999999E-5</v>
      </c>
      <c r="CZ10" s="81">
        <v>10703458</v>
      </c>
      <c r="DA10" s="81" t="s">
        <v>505</v>
      </c>
      <c r="DB10" s="81" t="s">
        <v>510</v>
      </c>
      <c r="DF10" s="81" t="s">
        <v>389</v>
      </c>
      <c r="DG10" s="81" t="s">
        <v>390</v>
      </c>
      <c r="DH10" s="81" t="str">
        <f>CW17</f>
        <v>abs1D</v>
      </c>
      <c r="DI10" s="81" t="s">
        <v>434</v>
      </c>
      <c r="DJ10" s="204">
        <f>CX17</f>
        <v>0.17</v>
      </c>
      <c r="DK10" s="81" t="s">
        <v>392</v>
      </c>
      <c r="DL10" s="81" t="s">
        <v>398</v>
      </c>
      <c r="DM10" s="288">
        <f t="shared" si="0"/>
        <v>6524281.5000000019</v>
      </c>
      <c r="DN10" s="288">
        <f t="shared" si="1"/>
        <v>33400000</v>
      </c>
      <c r="DO10" s="288">
        <f t="shared" si="2"/>
        <v>28700000</v>
      </c>
      <c r="DQ10" s="290" t="s">
        <v>506</v>
      </c>
      <c r="DR10" s="290" t="s">
        <v>468</v>
      </c>
      <c r="DS10" s="291">
        <v>292</v>
      </c>
      <c r="DT10" s="291">
        <v>4.7800000000000002E-2</v>
      </c>
      <c r="DU10" s="290">
        <v>6110.38</v>
      </c>
      <c r="DV10" s="290" t="s">
        <v>509</v>
      </c>
      <c r="DW10" s="291">
        <v>2E-16</v>
      </c>
      <c r="DX10" s="81" t="s">
        <v>510</v>
      </c>
      <c r="DY10" s="212" t="s">
        <v>568</v>
      </c>
      <c r="DZ10" s="295" t="s">
        <v>574</v>
      </c>
      <c r="EA10" s="292" t="s">
        <v>434</v>
      </c>
      <c r="EB10" s="293">
        <f t="shared" si="11"/>
        <v>0.42</v>
      </c>
      <c r="EC10" s="212" t="s">
        <v>392</v>
      </c>
      <c r="EE10" s="160" t="s">
        <v>568</v>
      </c>
      <c r="EF10" s="324" t="s">
        <v>574</v>
      </c>
      <c r="EG10" s="322" t="s">
        <v>434</v>
      </c>
      <c r="EH10" s="160">
        <f>$O$10*$Z$37*$AP$5</f>
        <v>0.70734674202416703</v>
      </c>
      <c r="EI10" s="160" t="s">
        <v>392</v>
      </c>
      <c r="EK10" s="329" t="s">
        <v>506</v>
      </c>
      <c r="EL10" s="329" t="s">
        <v>468</v>
      </c>
      <c r="EM10" s="333">
        <v>292</v>
      </c>
      <c r="EN10" s="333">
        <v>0.155</v>
      </c>
      <c r="EO10" s="329">
        <v>1886.04</v>
      </c>
      <c r="EP10" s="329" t="s">
        <v>509</v>
      </c>
      <c r="EQ10" s="333">
        <v>2E-16</v>
      </c>
      <c r="ER10" s="329" t="s">
        <v>510</v>
      </c>
      <c r="ES10" s="330" t="s">
        <v>568</v>
      </c>
      <c r="ET10" s="335" t="s">
        <v>574</v>
      </c>
      <c r="EU10" s="331" t="s">
        <v>434</v>
      </c>
      <c r="EV10" s="332">
        <f t="shared" si="12"/>
        <v>0.5</v>
      </c>
      <c r="EW10" s="330" t="s">
        <v>392</v>
      </c>
    </row>
    <row r="11" spans="1:153" ht="15" customHeight="1" thickTop="1" thickBot="1" x14ac:dyDescent="0.3">
      <c r="A11" s="220"/>
      <c r="B11" s="221"/>
      <c r="C11" s="221"/>
      <c r="D11" s="226" t="s">
        <v>43</v>
      </c>
      <c r="E11" s="231" t="s">
        <v>56</v>
      </c>
      <c r="F11" s="227">
        <f t="shared" si="5"/>
        <v>0.10117302052785924</v>
      </c>
      <c r="G11" s="221"/>
      <c r="H11" s="232">
        <f>'Tabula data'!B23*(1-'Tabula RefULG 1'!C45)</f>
        <v>3.45</v>
      </c>
      <c r="I11" s="238"/>
      <c r="K11" s="81" t="s">
        <v>57</v>
      </c>
      <c r="L11" s="250">
        <v>0</v>
      </c>
      <c r="M11" s="251">
        <v>1</v>
      </c>
      <c r="N11" s="251" t="s">
        <v>54</v>
      </c>
      <c r="O11" s="252">
        <f>H7</f>
        <v>3.45</v>
      </c>
      <c r="P11" s="253" t="s">
        <v>39</v>
      </c>
      <c r="Q11" s="30">
        <f t="shared" si="6"/>
        <v>2</v>
      </c>
      <c r="R11" s="30">
        <f t="shared" si="7"/>
        <v>6.9</v>
      </c>
      <c r="S11" s="30">
        <f t="shared" si="8"/>
        <v>0</v>
      </c>
      <c r="T11" s="30">
        <f t="shared" si="9"/>
        <v>0</v>
      </c>
      <c r="U11" s="30">
        <f t="shared" si="10"/>
        <v>0</v>
      </c>
      <c r="V11" s="31"/>
      <c r="W11" s="3"/>
      <c r="X11" s="221"/>
      <c r="Y11" s="221"/>
      <c r="Z11" s="270"/>
      <c r="AA11" s="270"/>
      <c r="AB11" s="270"/>
      <c r="AC11" s="221"/>
      <c r="AD11" s="268"/>
      <c r="AE11" s="221"/>
      <c r="AF11" s="14"/>
      <c r="AG11" s="14"/>
      <c r="AH11" s="14"/>
      <c r="AM11" s="154" t="s">
        <v>389</v>
      </c>
      <c r="AN11" s="81" t="s">
        <v>390</v>
      </c>
      <c r="AO11" s="81" t="s">
        <v>398</v>
      </c>
      <c r="AP11" s="204">
        <f>SUM(U27,U30)/2</f>
        <v>6524281.5000000019</v>
      </c>
      <c r="AQ11" s="81" t="s">
        <v>392</v>
      </c>
      <c r="AR11" s="204">
        <v>33400000</v>
      </c>
      <c r="AV11" s="205" t="s">
        <v>389</v>
      </c>
      <c r="AW11" s="205" t="s">
        <v>390</v>
      </c>
      <c r="AX11" s="205" t="s">
        <v>398</v>
      </c>
      <c r="AY11" s="207" t="s">
        <v>434</v>
      </c>
      <c r="AZ11" s="206">
        <f t="shared" si="3"/>
        <v>28700000</v>
      </c>
      <c r="BA11" s="205" t="s">
        <v>392</v>
      </c>
      <c r="BF11" s="81" t="s">
        <v>297</v>
      </c>
      <c r="BG11" s="81">
        <f>1/(1/AP48+1/AP49+1/AP50)</f>
        <v>93.608985024958415</v>
      </c>
      <c r="BJ11" s="81" t="s">
        <v>445</v>
      </c>
      <c r="BK11" s="204">
        <f>BG10</f>
        <v>6524281.5000000019</v>
      </c>
      <c r="BQ11" s="154" t="s">
        <v>389</v>
      </c>
      <c r="BR11" s="81" t="s">
        <v>390</v>
      </c>
      <c r="BS11" s="81" t="s">
        <v>398</v>
      </c>
      <c r="BT11" s="204">
        <f t="shared" si="13"/>
        <v>33400000</v>
      </c>
      <c r="BU11" s="81" t="s">
        <v>392</v>
      </c>
      <c r="BV11" s="204">
        <v>33400000</v>
      </c>
      <c r="BZ11" s="211">
        <f>CC17</f>
        <v>28700000</v>
      </c>
      <c r="CA11" s="211"/>
      <c r="CB11" s="81" t="s">
        <v>473</v>
      </c>
      <c r="CC11" s="204">
        <v>0.17799999999999999</v>
      </c>
      <c r="CD11" s="204">
        <v>5.53E-4</v>
      </c>
      <c r="CH11" s="81" t="s">
        <v>469</v>
      </c>
      <c r="CI11" s="204">
        <v>292</v>
      </c>
      <c r="CJ11" s="204">
        <v>6.6199999999999995E-2</v>
      </c>
      <c r="CK11" s="81">
        <v>4411.26</v>
      </c>
      <c r="CL11" s="81" t="s">
        <v>505</v>
      </c>
      <c r="CN11" s="81" t="s">
        <v>470</v>
      </c>
      <c r="CO11" s="204">
        <v>0.44800000000000001</v>
      </c>
      <c r="CP11" s="204">
        <v>1.03E-2</v>
      </c>
      <c r="CQ11" s="81">
        <v>43.34</v>
      </c>
      <c r="CR11" s="81" t="s">
        <v>509</v>
      </c>
      <c r="CS11" s="204">
        <v>2E-16</v>
      </c>
      <c r="CT11" s="81" t="s">
        <v>510</v>
      </c>
      <c r="CV11" s="212" t="s">
        <v>506</v>
      </c>
      <c r="CW11" s="81" t="s">
        <v>524</v>
      </c>
      <c r="CX11" s="204">
        <v>296</v>
      </c>
      <c r="CY11" s="204">
        <v>2.55E-5</v>
      </c>
      <c r="CZ11" s="81">
        <v>11580092</v>
      </c>
      <c r="DA11" s="81" t="s">
        <v>505</v>
      </c>
      <c r="DB11" s="81" t="s">
        <v>510</v>
      </c>
      <c r="DF11" s="81" t="s">
        <v>389</v>
      </c>
      <c r="DG11" s="81" t="s">
        <v>390</v>
      </c>
      <c r="DH11" s="81" t="str">
        <f t="shared" ref="DH11:DH56" si="14">CW18</f>
        <v>abs1N</v>
      </c>
      <c r="DI11" s="81" t="s">
        <v>434</v>
      </c>
      <c r="DJ11" s="204">
        <f t="shared" ref="DJ11:DJ56" si="15">CX18</f>
        <v>0.45</v>
      </c>
      <c r="DK11" s="81" t="s">
        <v>392</v>
      </c>
      <c r="DL11" s="81" t="s">
        <v>399</v>
      </c>
      <c r="DM11" s="288">
        <f t="shared" si="0"/>
        <v>11473264</v>
      </c>
      <c r="DN11" s="288">
        <f t="shared" si="1"/>
        <v>14800000</v>
      </c>
      <c r="DO11" s="288">
        <f t="shared" si="2"/>
        <v>14600000</v>
      </c>
      <c r="DQ11" s="290" t="s">
        <v>506</v>
      </c>
      <c r="DR11" s="290" t="s">
        <v>469</v>
      </c>
      <c r="DS11" s="291">
        <v>293</v>
      </c>
      <c r="DT11" s="291">
        <v>3.04E-2</v>
      </c>
      <c r="DU11" s="290">
        <v>9640.5300000000007</v>
      </c>
      <c r="DV11" s="290" t="s">
        <v>509</v>
      </c>
      <c r="DW11" s="291">
        <v>2E-16</v>
      </c>
      <c r="DX11" s="81" t="s">
        <v>510</v>
      </c>
      <c r="DY11" s="212" t="s">
        <v>568</v>
      </c>
      <c r="DZ11" s="295" t="s">
        <v>575</v>
      </c>
      <c r="EA11" s="292" t="s">
        <v>434</v>
      </c>
      <c r="EB11" s="293">
        <f t="shared" si="11"/>
        <v>0.35299999999999998</v>
      </c>
      <c r="EC11" s="212" t="s">
        <v>392</v>
      </c>
      <c r="EE11" s="160" t="s">
        <v>568</v>
      </c>
      <c r="EF11" s="324" t="s">
        <v>575</v>
      </c>
      <c r="EG11" s="322" t="s">
        <v>434</v>
      </c>
      <c r="EH11" s="160">
        <f>$O$12*$Z$37*$AP$5</f>
        <v>0.78594082447129676</v>
      </c>
      <c r="EI11" s="160" t="s">
        <v>392</v>
      </c>
      <c r="EK11" s="329" t="s">
        <v>506</v>
      </c>
      <c r="EL11" s="329" t="s">
        <v>469</v>
      </c>
      <c r="EM11" s="333">
        <v>294</v>
      </c>
      <c r="EN11" s="333">
        <v>8.0500000000000002E-2</v>
      </c>
      <c r="EO11" s="329">
        <v>3655.82</v>
      </c>
      <c r="EP11" s="329" t="s">
        <v>509</v>
      </c>
      <c r="EQ11" s="333">
        <v>2E-16</v>
      </c>
      <c r="ER11" s="329" t="s">
        <v>510</v>
      </c>
      <c r="ES11" s="330" t="s">
        <v>568</v>
      </c>
      <c r="ET11" s="335" t="s">
        <v>575</v>
      </c>
      <c r="EU11" s="331" t="s">
        <v>434</v>
      </c>
      <c r="EV11" s="332">
        <f t="shared" si="12"/>
        <v>0.64500000000000002</v>
      </c>
      <c r="EW11" s="330" t="s">
        <v>392</v>
      </c>
    </row>
    <row r="12" spans="1:153" ht="15" customHeight="1" thickTop="1" thickBot="1" x14ac:dyDescent="0.3">
      <c r="A12" s="220"/>
      <c r="B12" s="221"/>
      <c r="C12" s="221"/>
      <c r="D12" s="226" t="s">
        <v>48</v>
      </c>
      <c r="E12" s="231" t="s">
        <v>56</v>
      </c>
      <c r="F12" s="227">
        <f t="shared" si="5"/>
        <v>0.13196480938416422</v>
      </c>
      <c r="G12" s="221"/>
      <c r="H12" s="232">
        <f>'Tabula data'!B24*(1-'Tabula RefULG 1'!C45)</f>
        <v>4.5</v>
      </c>
      <c r="I12" s="238"/>
      <c r="K12" s="81" t="s">
        <v>59</v>
      </c>
      <c r="L12" s="250">
        <v>0</v>
      </c>
      <c r="M12" s="251">
        <v>1</v>
      </c>
      <c r="N12" s="251" t="s">
        <v>54</v>
      </c>
      <c r="O12" s="252">
        <f>H8</f>
        <v>4.5</v>
      </c>
      <c r="P12" s="253" t="s">
        <v>45</v>
      </c>
      <c r="Q12" s="30">
        <f t="shared" si="6"/>
        <v>2</v>
      </c>
      <c r="R12" s="30">
        <f t="shared" si="7"/>
        <v>9</v>
      </c>
      <c r="S12" s="30">
        <f t="shared" si="8"/>
        <v>0</v>
      </c>
      <c r="T12" s="30">
        <f t="shared" si="9"/>
        <v>0</v>
      </c>
      <c r="U12" s="30">
        <f t="shared" si="10"/>
        <v>0</v>
      </c>
      <c r="V12" s="31"/>
      <c r="W12" s="3"/>
      <c r="X12" s="258"/>
      <c r="Y12" s="258"/>
      <c r="Z12" s="259" t="s">
        <v>4</v>
      </c>
      <c r="AA12" s="259">
        <v>0.6</v>
      </c>
      <c r="AB12" s="259" t="s">
        <v>5</v>
      </c>
      <c r="AC12" s="258"/>
      <c r="AD12" s="258"/>
      <c r="AE12" s="258"/>
      <c r="AF12" s="14"/>
      <c r="AG12" s="14"/>
      <c r="AH12" s="14"/>
      <c r="AM12" s="154" t="s">
        <v>389</v>
      </c>
      <c r="AN12" s="81" t="s">
        <v>390</v>
      </c>
      <c r="AO12" s="81" t="s">
        <v>399</v>
      </c>
      <c r="AP12" s="204">
        <f>SUM(U14)</f>
        <v>11473264</v>
      </c>
      <c r="AQ12" s="81" t="s">
        <v>392</v>
      </c>
      <c r="AR12" s="204">
        <v>14800000</v>
      </c>
      <c r="AV12" s="205" t="s">
        <v>389</v>
      </c>
      <c r="AW12" s="205" t="s">
        <v>390</v>
      </c>
      <c r="AX12" s="205" t="s">
        <v>399</v>
      </c>
      <c r="AY12" s="207" t="s">
        <v>434</v>
      </c>
      <c r="AZ12" s="206">
        <f t="shared" si="3"/>
        <v>14600000</v>
      </c>
      <c r="BA12" s="205" t="s">
        <v>392</v>
      </c>
      <c r="BF12" s="81" t="s">
        <v>298</v>
      </c>
      <c r="BG12" s="81">
        <f>AP44+AP45</f>
        <v>41572722.000000007</v>
      </c>
      <c r="BJ12" s="81" t="s">
        <v>446</v>
      </c>
      <c r="BK12" s="204">
        <f>BG26</f>
        <v>43428471.899999999</v>
      </c>
      <c r="BQ12" s="154" t="s">
        <v>389</v>
      </c>
      <c r="BR12" s="81" t="s">
        <v>390</v>
      </c>
      <c r="BS12" s="81" t="s">
        <v>399</v>
      </c>
      <c r="BT12" s="204">
        <f t="shared" si="13"/>
        <v>14800000</v>
      </c>
      <c r="BU12" s="81" t="s">
        <v>392</v>
      </c>
      <c r="BV12" s="204">
        <v>14800000</v>
      </c>
      <c r="BZ12" s="211">
        <f>CC14</f>
        <v>14600000</v>
      </c>
      <c r="CA12" s="211"/>
      <c r="CB12" s="81" t="s">
        <v>474</v>
      </c>
      <c r="CC12" s="204">
        <v>0.14199999999999999</v>
      </c>
      <c r="CD12" s="204">
        <v>6.4000000000000005E-4</v>
      </c>
      <c r="CH12" s="81" t="s">
        <v>470</v>
      </c>
      <c r="CI12" s="204">
        <v>0.19500000000000001</v>
      </c>
      <c r="CJ12" s="204">
        <v>1.0499999999999999E-3</v>
      </c>
      <c r="CK12" s="81">
        <v>184.38</v>
      </c>
      <c r="CL12" s="81" t="s">
        <v>505</v>
      </c>
      <c r="CN12" s="81" t="s">
        <v>471</v>
      </c>
      <c r="CO12" s="204">
        <v>0.15</v>
      </c>
      <c r="CP12" s="204">
        <v>2E-3</v>
      </c>
      <c r="CQ12" s="81">
        <v>75.25</v>
      </c>
      <c r="CR12" s="81" t="s">
        <v>509</v>
      </c>
      <c r="CS12" s="204">
        <v>2E-16</v>
      </c>
      <c r="CT12" s="81" t="s">
        <v>510</v>
      </c>
      <c r="CV12" s="212" t="s">
        <v>506</v>
      </c>
      <c r="CW12" s="81" t="s">
        <v>513</v>
      </c>
      <c r="CX12" s="204">
        <v>295</v>
      </c>
      <c r="CY12" s="204">
        <v>2.5500000000000002E-4</v>
      </c>
      <c r="CZ12" s="81">
        <v>1156688</v>
      </c>
      <c r="DA12" s="81" t="s">
        <v>505</v>
      </c>
      <c r="DB12" s="81" t="s">
        <v>510</v>
      </c>
      <c r="DF12" s="81" t="s">
        <v>389</v>
      </c>
      <c r="DG12" s="81" t="s">
        <v>390</v>
      </c>
      <c r="DH12" s="81" t="str">
        <f t="shared" si="14"/>
        <v>abs2D</v>
      </c>
      <c r="DI12" s="81" t="s">
        <v>434</v>
      </c>
      <c r="DJ12" s="204">
        <f t="shared" si="15"/>
        <v>0.42</v>
      </c>
      <c r="DK12" s="81" t="s">
        <v>392</v>
      </c>
      <c r="DM12" s="287">
        <f t="shared" si="0"/>
        <v>0</v>
      </c>
      <c r="DN12" s="287">
        <f t="shared" si="1"/>
        <v>0</v>
      </c>
      <c r="DO12" s="287">
        <f t="shared" si="2"/>
        <v>0</v>
      </c>
      <c r="DQ12" s="290" t="s">
        <v>506</v>
      </c>
      <c r="DR12" s="290" t="s">
        <v>541</v>
      </c>
      <c r="DS12" s="291">
        <v>0.159</v>
      </c>
      <c r="DT12" s="291">
        <v>7.4099999999999999E-3</v>
      </c>
      <c r="DU12" s="290">
        <v>21.49</v>
      </c>
      <c r="DV12" s="290" t="s">
        <v>509</v>
      </c>
      <c r="DW12" s="291">
        <v>2E-16</v>
      </c>
      <c r="DX12" s="81" t="s">
        <v>510</v>
      </c>
      <c r="DY12" s="212" t="s">
        <v>568</v>
      </c>
      <c r="DZ12" s="294" t="s">
        <v>576</v>
      </c>
      <c r="EA12" s="292" t="s">
        <v>434</v>
      </c>
      <c r="EB12" s="293">
        <f t="shared" si="11"/>
        <v>0.39600000000000002</v>
      </c>
      <c r="EC12" s="212" t="s">
        <v>392</v>
      </c>
      <c r="EE12" s="160" t="s">
        <v>568</v>
      </c>
      <c r="EF12" s="323" t="s">
        <v>576</v>
      </c>
      <c r="EG12" s="322" t="s">
        <v>434</v>
      </c>
      <c r="EH12" s="160">
        <f>$O$13*$Z$37*$AP$5</f>
        <v>0.88200025857334419</v>
      </c>
      <c r="EI12" s="160" t="s">
        <v>392</v>
      </c>
      <c r="EK12" s="329" t="s">
        <v>506</v>
      </c>
      <c r="EL12" s="329" t="s">
        <v>541</v>
      </c>
      <c r="EM12" s="333">
        <v>0.33100000000000002</v>
      </c>
      <c r="EN12" s="333">
        <v>3.0800000000000001E-2</v>
      </c>
      <c r="EO12" s="329">
        <v>10.73</v>
      </c>
      <c r="EP12" s="329" t="s">
        <v>509</v>
      </c>
      <c r="EQ12" s="333">
        <v>2E-16</v>
      </c>
      <c r="ER12" s="329" t="s">
        <v>510</v>
      </c>
      <c r="ES12" s="330" t="s">
        <v>568</v>
      </c>
      <c r="ET12" s="334" t="s">
        <v>576</v>
      </c>
      <c r="EU12" s="331" t="s">
        <v>434</v>
      </c>
      <c r="EV12" s="332">
        <f t="shared" si="12"/>
        <v>0.67100000000000004</v>
      </c>
      <c r="EW12" s="330" t="s">
        <v>392</v>
      </c>
    </row>
    <row r="13" spans="1:153" ht="15" customHeight="1" thickTop="1" thickBot="1" x14ac:dyDescent="0.3">
      <c r="A13" s="220"/>
      <c r="B13" s="221"/>
      <c r="C13" s="221"/>
      <c r="D13" s="226" t="s">
        <v>52</v>
      </c>
      <c r="E13" s="231" t="s">
        <v>56</v>
      </c>
      <c r="F13" s="227">
        <f t="shared" si="5"/>
        <v>0.14809384164222872</v>
      </c>
      <c r="G13" s="221"/>
      <c r="H13" s="232">
        <f>'Tabula data'!B25*(1-'Tabula RefULG 1'!C45)</f>
        <v>5.05</v>
      </c>
      <c r="I13" s="238"/>
      <c r="K13" s="81" t="s">
        <v>60</v>
      </c>
      <c r="L13" s="250">
        <v>0</v>
      </c>
      <c r="M13" s="251">
        <v>1</v>
      </c>
      <c r="N13" s="251" t="s">
        <v>54</v>
      </c>
      <c r="O13" s="252">
        <f>H9</f>
        <v>5.05</v>
      </c>
      <c r="P13" s="253" t="s">
        <v>50</v>
      </c>
      <c r="Q13" s="30">
        <f t="shared" si="6"/>
        <v>2</v>
      </c>
      <c r="R13" s="30">
        <f t="shared" si="7"/>
        <v>10.1</v>
      </c>
      <c r="S13" s="30">
        <f t="shared" si="8"/>
        <v>0</v>
      </c>
      <c r="T13" s="30">
        <f t="shared" si="9"/>
        <v>0</v>
      </c>
      <c r="U13" s="30">
        <f t="shared" si="10"/>
        <v>0</v>
      </c>
      <c r="V13" s="31"/>
      <c r="W13" s="3"/>
      <c r="X13" s="260" t="s">
        <v>64</v>
      </c>
      <c r="Y13" s="261"/>
      <c r="Z13" s="262" t="s">
        <v>21</v>
      </c>
      <c r="AA13" s="263">
        <f>1/(1/8+SUM(AD15:AD19)+1/23)</f>
        <v>0.59788861556532236</v>
      </c>
      <c r="AB13" s="261" t="s">
        <v>5</v>
      </c>
      <c r="AC13" s="261"/>
      <c r="AD13" s="261" t="s">
        <v>22</v>
      </c>
      <c r="AE13" s="264">
        <f>SUM(AE15:AE20)</f>
        <v>252917.7</v>
      </c>
      <c r="AF13" s="14" t="s">
        <v>23</v>
      </c>
      <c r="AG13" s="14">
        <f>SUM(AE18:AE19)</f>
        <v>133980</v>
      </c>
      <c r="AH13" s="14"/>
      <c r="AP13" s="204"/>
      <c r="AQ13" s="81" t="s">
        <v>392</v>
      </c>
      <c r="AR13" s="204"/>
      <c r="AV13" s="205"/>
      <c r="AW13" s="205"/>
      <c r="AX13" s="205"/>
      <c r="AY13" s="207"/>
      <c r="BA13" s="205"/>
      <c r="BT13" s="204"/>
      <c r="BU13" s="81" t="s">
        <v>392</v>
      </c>
      <c r="BV13" s="204"/>
      <c r="CB13" s="81" t="s">
        <v>298</v>
      </c>
      <c r="CC13" s="204">
        <v>995000000</v>
      </c>
      <c r="CD13" s="204">
        <v>22500000</v>
      </c>
      <c r="CH13" s="81" t="s">
        <v>471</v>
      </c>
      <c r="CI13" s="204">
        <v>0.38800000000000001</v>
      </c>
      <c r="CJ13" s="204">
        <v>1.15E-3</v>
      </c>
      <c r="CK13" s="81">
        <v>338.41</v>
      </c>
      <c r="CL13" s="81" t="s">
        <v>505</v>
      </c>
      <c r="CN13" s="81" t="s">
        <v>472</v>
      </c>
      <c r="CO13" s="204">
        <v>4.4699999999999997E-2</v>
      </c>
      <c r="CP13" s="204">
        <v>0.02</v>
      </c>
      <c r="CQ13" s="81">
        <v>2.23</v>
      </c>
      <c r="CR13" s="81">
        <v>2.5999999999999999E-2</v>
      </c>
      <c r="CS13" s="81" t="s">
        <v>511</v>
      </c>
      <c r="CV13" s="212" t="s">
        <v>506</v>
      </c>
      <c r="CW13" s="81" t="s">
        <v>514</v>
      </c>
      <c r="CX13" s="204">
        <v>294</v>
      </c>
      <c r="CY13" s="204">
        <v>2.5700000000000001E-4</v>
      </c>
      <c r="CZ13" s="81">
        <v>1144487</v>
      </c>
      <c r="DA13" s="81" t="s">
        <v>505</v>
      </c>
      <c r="DB13" s="81" t="s">
        <v>510</v>
      </c>
      <c r="DF13" s="81" t="s">
        <v>389</v>
      </c>
      <c r="DG13" s="81" t="s">
        <v>390</v>
      </c>
      <c r="DH13" s="81" t="str">
        <f t="shared" si="14"/>
        <v>abs2N</v>
      </c>
      <c r="DI13" s="81" t="s">
        <v>434</v>
      </c>
      <c r="DJ13" s="204">
        <f t="shared" si="15"/>
        <v>0.15</v>
      </c>
      <c r="DK13" s="81" t="s">
        <v>392</v>
      </c>
      <c r="DL13" s="81" t="s">
        <v>400</v>
      </c>
      <c r="DM13" s="286">
        <f t="shared" si="0"/>
        <v>4.5174606420727743E-2</v>
      </c>
      <c r="DN13" s="286">
        <f t="shared" si="1"/>
        <v>0.112</v>
      </c>
      <c r="DO13" s="286">
        <f t="shared" si="2"/>
        <v>6.9400000000000003E-2</v>
      </c>
      <c r="DQ13" s="290" t="s">
        <v>506</v>
      </c>
      <c r="DR13" s="290" t="s">
        <v>410</v>
      </c>
      <c r="DS13" s="291">
        <v>0.29599999999999999</v>
      </c>
      <c r="DT13" s="291">
        <v>1.9800000000000002E-2</v>
      </c>
      <c r="DU13" s="290">
        <v>14.95</v>
      </c>
      <c r="DV13" s="291" t="s">
        <v>509</v>
      </c>
      <c r="DW13" s="291">
        <v>2E-16</v>
      </c>
      <c r="DX13" s="81" t="s">
        <v>510</v>
      </c>
      <c r="DY13" s="212" t="s">
        <v>568</v>
      </c>
      <c r="DZ13" s="296" t="s">
        <v>577</v>
      </c>
      <c r="EA13" s="292" t="s">
        <v>434</v>
      </c>
      <c r="EB13" s="293">
        <f t="shared" si="11"/>
        <v>0.24</v>
      </c>
      <c r="EC13" s="212" t="s">
        <v>392</v>
      </c>
      <c r="EE13" s="160" t="s">
        <v>568</v>
      </c>
      <c r="EF13" s="325" t="s">
        <v>577</v>
      </c>
      <c r="EG13" s="322" t="s">
        <v>434</v>
      </c>
      <c r="EH13" s="160">
        <f>$O$11*$Z$37*$AP$6</f>
        <v>6.2979458280964282E-2</v>
      </c>
      <c r="EI13" s="160" t="s">
        <v>392</v>
      </c>
      <c r="EK13" s="329" t="s">
        <v>506</v>
      </c>
      <c r="EL13" s="329" t="s">
        <v>410</v>
      </c>
      <c r="EM13" s="333">
        <v>0.28999999999999998</v>
      </c>
      <c r="EN13" s="333">
        <v>7.3200000000000001E-2</v>
      </c>
      <c r="EO13" s="329">
        <v>3.96</v>
      </c>
      <c r="EP13" s="333">
        <v>7.4999999999999993E-5</v>
      </c>
      <c r="EQ13" s="333" t="s">
        <v>510</v>
      </c>
      <c r="ES13" s="330" t="s">
        <v>568</v>
      </c>
      <c r="ET13" s="336" t="s">
        <v>577</v>
      </c>
      <c r="EU13" s="331" t="s">
        <v>434</v>
      </c>
      <c r="EV13" s="332">
        <f t="shared" si="12"/>
        <v>0.41699999999999998</v>
      </c>
      <c r="EW13" s="330" t="s">
        <v>392</v>
      </c>
    </row>
    <row r="14" spans="1:153" ht="15" customHeight="1" thickTop="1" thickBot="1" x14ac:dyDescent="0.3">
      <c r="A14" s="220"/>
      <c r="B14" s="221"/>
      <c r="C14" s="221"/>
      <c r="D14" s="233" t="s">
        <v>65</v>
      </c>
      <c r="E14" s="234"/>
      <c r="F14" s="234"/>
      <c r="G14" s="234"/>
      <c r="H14" s="235"/>
      <c r="I14" s="225"/>
      <c r="K14" s="81" t="s">
        <v>61</v>
      </c>
      <c r="L14" s="250" t="s">
        <v>62</v>
      </c>
      <c r="M14" s="251">
        <v>1</v>
      </c>
      <c r="N14" s="251" t="s">
        <v>63</v>
      </c>
      <c r="O14" s="252">
        <f>B7</f>
        <v>103.4</v>
      </c>
      <c r="P14" s="253"/>
      <c r="Q14" s="30">
        <f t="shared" si="6"/>
        <v>0.66596194503171247</v>
      </c>
      <c r="R14" s="30">
        <f t="shared" si="7"/>
        <v>68.860465116279073</v>
      </c>
      <c r="S14" s="30">
        <f t="shared" si="8"/>
        <v>48110861.920000002</v>
      </c>
      <c r="T14" s="30">
        <f t="shared" si="9"/>
        <v>465288.8</v>
      </c>
      <c r="U14" s="30">
        <f t="shared" si="10"/>
        <v>11473264</v>
      </c>
      <c r="V14" s="31"/>
      <c r="W14" s="3"/>
      <c r="X14" s="265"/>
      <c r="Y14" s="266" t="s">
        <v>27</v>
      </c>
      <c r="Z14" s="266" t="s">
        <v>28</v>
      </c>
      <c r="AA14" s="266" t="s">
        <v>29</v>
      </c>
      <c r="AB14" s="266" t="s">
        <v>30</v>
      </c>
      <c r="AC14" s="266" t="s">
        <v>31</v>
      </c>
      <c r="AD14" s="266" t="s">
        <v>32</v>
      </c>
      <c r="AE14" s="267" t="s">
        <v>33</v>
      </c>
      <c r="AF14" s="14"/>
      <c r="AG14" s="14"/>
      <c r="AH14" s="14"/>
      <c r="AM14" s="154" t="s">
        <v>389</v>
      </c>
      <c r="AN14" s="81" t="s">
        <v>390</v>
      </c>
      <c r="AO14" s="81" t="s">
        <v>400</v>
      </c>
      <c r="AP14" s="81">
        <f>AP4*0.3</f>
        <v>4.5174606420727743E-2</v>
      </c>
      <c r="AQ14" s="81" t="s">
        <v>392</v>
      </c>
      <c r="AR14" s="204">
        <v>0.112</v>
      </c>
      <c r="AV14" s="205" t="s">
        <v>389</v>
      </c>
      <c r="AW14" s="205" t="s">
        <v>390</v>
      </c>
      <c r="AX14" s="205" t="s">
        <v>400</v>
      </c>
      <c r="AY14" s="207" t="s">
        <v>434</v>
      </c>
      <c r="AZ14" s="206">
        <f t="shared" si="3"/>
        <v>6.9400000000000003E-2</v>
      </c>
      <c r="BA14" s="205" t="s">
        <v>392</v>
      </c>
      <c r="BF14" s="81" t="s">
        <v>286</v>
      </c>
      <c r="BG14" s="81">
        <f>1/(1/AP20+1/AP24)</f>
        <v>18.81085763788623</v>
      </c>
      <c r="BJ14" s="81" t="s">
        <v>447</v>
      </c>
      <c r="BK14" s="81">
        <f>BG9</f>
        <v>199.08073338295438</v>
      </c>
      <c r="BQ14" s="154" t="s">
        <v>389</v>
      </c>
      <c r="BR14" s="81" t="s">
        <v>390</v>
      </c>
      <c r="BS14" s="81" t="s">
        <v>400</v>
      </c>
      <c r="BT14" s="204">
        <f>AR14</f>
        <v>0.112</v>
      </c>
      <c r="BU14" s="81" t="s">
        <v>392</v>
      </c>
      <c r="BV14" s="204">
        <v>0.112</v>
      </c>
      <c r="BZ14" s="211">
        <f>CC23</f>
        <v>6.9400000000000003E-2</v>
      </c>
      <c r="CA14" s="211"/>
      <c r="CB14" s="81" t="s">
        <v>294</v>
      </c>
      <c r="CC14" s="204">
        <v>14600000</v>
      </c>
      <c r="CD14" s="204">
        <v>300000</v>
      </c>
      <c r="CH14" s="81" t="s">
        <v>472</v>
      </c>
      <c r="CI14" s="204">
        <v>6.13E-2</v>
      </c>
      <c r="CJ14" s="204">
        <v>5.5399999999999998E-3</v>
      </c>
      <c r="CK14" s="81">
        <v>11.07</v>
      </c>
      <c r="CL14" s="81" t="s">
        <v>505</v>
      </c>
      <c r="CN14" s="81" t="s">
        <v>473</v>
      </c>
      <c r="CO14" s="204">
        <v>0.34599999999999997</v>
      </c>
      <c r="CP14" s="204">
        <v>6.0699999999999999E-3</v>
      </c>
      <c r="CQ14" s="81">
        <v>57.03</v>
      </c>
      <c r="CR14" s="81" t="s">
        <v>509</v>
      </c>
      <c r="CS14" s="204">
        <v>2E-16</v>
      </c>
      <c r="CT14" s="81" t="s">
        <v>510</v>
      </c>
      <c r="CV14" s="212" t="s">
        <v>506</v>
      </c>
      <c r="CW14" s="81" t="s">
        <v>525</v>
      </c>
      <c r="CX14" s="204">
        <v>293</v>
      </c>
      <c r="CY14" s="204">
        <v>1.5299999999999999E-5</v>
      </c>
      <c r="CZ14" s="81">
        <v>19154623</v>
      </c>
      <c r="DA14" s="81" t="s">
        <v>505</v>
      </c>
      <c r="DB14" s="81" t="s">
        <v>510</v>
      </c>
      <c r="DF14" s="81" t="s">
        <v>389</v>
      </c>
      <c r="DG14" s="81" t="s">
        <v>390</v>
      </c>
      <c r="DH14" s="81" t="str">
        <f t="shared" si="14"/>
        <v>abs3D</v>
      </c>
      <c r="DI14" s="81" t="s">
        <v>434</v>
      </c>
      <c r="DJ14" s="204">
        <f t="shared" si="15"/>
        <v>0.14000000000000001</v>
      </c>
      <c r="DK14" s="81" t="s">
        <v>392</v>
      </c>
      <c r="DL14" s="81" t="s">
        <v>401</v>
      </c>
      <c r="DM14" s="286">
        <f t="shared" si="0"/>
        <v>0.11148096801011302</v>
      </c>
      <c r="DN14" s="286">
        <f t="shared" si="1"/>
        <v>0.216</v>
      </c>
      <c r="DO14" s="286">
        <f t="shared" si="2"/>
        <v>0.14099999999999999</v>
      </c>
      <c r="DQ14" s="290" t="s">
        <v>506</v>
      </c>
      <c r="DR14" s="290" t="s">
        <v>542</v>
      </c>
      <c r="DS14" s="291">
        <v>0.23300000000000001</v>
      </c>
      <c r="DT14" s="291">
        <v>4.13E-3</v>
      </c>
      <c r="DU14" s="290">
        <v>56.28</v>
      </c>
      <c r="DV14" s="290" t="s">
        <v>509</v>
      </c>
      <c r="DW14" s="291">
        <v>2E-16</v>
      </c>
      <c r="DX14" s="81" t="s">
        <v>510</v>
      </c>
      <c r="DY14" s="212" t="s">
        <v>568</v>
      </c>
      <c r="DZ14" s="296" t="s">
        <v>578</v>
      </c>
      <c r="EA14" s="292" t="s">
        <v>434</v>
      </c>
      <c r="EB14" s="293">
        <f t="shared" si="11"/>
        <v>0.16500000000000001</v>
      </c>
      <c r="EC14" s="212" t="s">
        <v>392</v>
      </c>
      <c r="EE14" s="160" t="s">
        <v>568</v>
      </c>
      <c r="EF14" s="325" t="s">
        <v>578</v>
      </c>
      <c r="EG14" s="322" t="s">
        <v>434</v>
      </c>
      <c r="EH14" s="160">
        <f>$O$10*$Z$37*$AP$6</f>
        <v>7.3932407547218942E-2</v>
      </c>
      <c r="EI14" s="160" t="s">
        <v>392</v>
      </c>
      <c r="EK14" s="329" t="s">
        <v>506</v>
      </c>
      <c r="EL14" s="329" t="s">
        <v>542</v>
      </c>
      <c r="EM14" s="333">
        <v>0.39200000000000002</v>
      </c>
      <c r="EN14" s="333">
        <v>1.5599999999999999E-2</v>
      </c>
      <c r="EO14" s="329">
        <v>25.11</v>
      </c>
      <c r="EP14" s="329" t="s">
        <v>509</v>
      </c>
      <c r="EQ14" s="333">
        <v>2E-16</v>
      </c>
      <c r="ER14" s="329" t="s">
        <v>510</v>
      </c>
      <c r="ES14" s="330" t="s">
        <v>568</v>
      </c>
      <c r="ET14" s="336" t="s">
        <v>578</v>
      </c>
      <c r="EU14" s="331" t="s">
        <v>434</v>
      </c>
      <c r="EV14" s="332">
        <f t="shared" si="12"/>
        <v>1.01</v>
      </c>
      <c r="EW14" s="330" t="s">
        <v>392</v>
      </c>
    </row>
    <row r="15" spans="1:153" ht="15" customHeight="1" thickTop="1" thickBot="1" x14ac:dyDescent="0.3">
      <c r="A15" s="220"/>
      <c r="B15" s="221"/>
      <c r="C15" s="221"/>
      <c r="D15" s="236"/>
      <c r="E15" s="221"/>
      <c r="F15" s="221"/>
      <c r="G15" s="221"/>
      <c r="H15" s="222"/>
      <c r="I15" s="221"/>
      <c r="K15" s="81" t="s">
        <v>66</v>
      </c>
      <c r="L15" s="250">
        <v>0</v>
      </c>
      <c r="M15" s="251">
        <v>1</v>
      </c>
      <c r="N15" s="251" t="s">
        <v>20</v>
      </c>
      <c r="O15" s="254">
        <v>0</v>
      </c>
      <c r="P15" s="253"/>
      <c r="Q15" s="30">
        <f t="shared" si="6"/>
        <v>0.27062537995411134</v>
      </c>
      <c r="R15" s="30">
        <f t="shared" si="7"/>
        <v>0</v>
      </c>
      <c r="S15" s="30">
        <f>VLOOKUP(N15,$X$5:$AE$391,8,0)*O25</f>
        <v>7181832</v>
      </c>
      <c r="T15" s="30">
        <f>S15/O25</f>
        <v>66192</v>
      </c>
      <c r="U15" s="30">
        <f>VLOOKUP(N15,$X$5:$AG$391,10,0)*O25</f>
        <v>3308382</v>
      </c>
      <c r="V15" s="31"/>
      <c r="W15" s="3"/>
      <c r="X15" s="220"/>
      <c r="Y15" s="221" t="s">
        <v>268</v>
      </c>
      <c r="Z15" s="221">
        <v>0.1</v>
      </c>
      <c r="AA15" s="221">
        <v>0.75</v>
      </c>
      <c r="AB15" s="221">
        <v>1400</v>
      </c>
      <c r="AC15" s="231">
        <v>840</v>
      </c>
      <c r="AD15" s="268">
        <f>Z15/AA15</f>
        <v>0.13333333333333333</v>
      </c>
      <c r="AE15" s="222">
        <f>AB15*AC15*Z15</f>
        <v>117600</v>
      </c>
      <c r="AF15" s="14"/>
      <c r="AG15" s="14"/>
      <c r="AH15" s="14"/>
      <c r="AM15" s="154" t="s">
        <v>389</v>
      </c>
      <c r="AN15" s="81" t="s">
        <v>390</v>
      </c>
      <c r="AO15" s="81" t="s">
        <v>401</v>
      </c>
      <c r="AP15" s="81">
        <f>AP5*0.3</f>
        <v>0.11148096801011302</v>
      </c>
      <c r="AQ15" s="81" t="s">
        <v>392</v>
      </c>
      <c r="AR15" s="204">
        <v>0.216</v>
      </c>
      <c r="AV15" s="205" t="s">
        <v>389</v>
      </c>
      <c r="AW15" s="205" t="s">
        <v>390</v>
      </c>
      <c r="AX15" s="205" t="s">
        <v>401</v>
      </c>
      <c r="AY15" s="207" t="s">
        <v>434</v>
      </c>
      <c r="AZ15" s="206">
        <f t="shared" si="3"/>
        <v>0.14099999999999999</v>
      </c>
      <c r="BA15" s="205" t="s">
        <v>392</v>
      </c>
      <c r="BF15" s="81" t="s">
        <v>294</v>
      </c>
      <c r="BG15" s="204">
        <f>AP12</f>
        <v>11473264</v>
      </c>
      <c r="BJ15" s="81" t="s">
        <v>448</v>
      </c>
      <c r="BK15" s="81">
        <f>AP38</f>
        <v>297.81730970684839</v>
      </c>
      <c r="BQ15" s="154" t="s">
        <v>389</v>
      </c>
      <c r="BR15" s="81" t="s">
        <v>390</v>
      </c>
      <c r="BS15" s="81" t="s">
        <v>401</v>
      </c>
      <c r="BT15" s="204">
        <f t="shared" ref="BT15:BT17" si="16">AR15</f>
        <v>0.216</v>
      </c>
      <c r="BU15" s="81" t="s">
        <v>392</v>
      </c>
      <c r="BV15" s="204">
        <v>0.216</v>
      </c>
      <c r="BZ15" s="211">
        <f>CC24</f>
        <v>0.14099999999999999</v>
      </c>
      <c r="CA15" s="211"/>
      <c r="CB15" s="81" t="s">
        <v>475</v>
      </c>
      <c r="CC15" s="204">
        <v>3460000</v>
      </c>
      <c r="CD15" s="204">
        <v>48400</v>
      </c>
      <c r="CH15" s="81" t="s">
        <v>473</v>
      </c>
      <c r="CI15" s="204">
        <v>0.17799999999999999</v>
      </c>
      <c r="CJ15" s="204">
        <v>5.53E-4</v>
      </c>
      <c r="CK15" s="81">
        <v>322.19</v>
      </c>
      <c r="CL15" s="81" t="s">
        <v>505</v>
      </c>
      <c r="CN15" s="81" t="s">
        <v>298</v>
      </c>
      <c r="CO15" s="204">
        <v>992000000</v>
      </c>
      <c r="CP15" s="204">
        <v>51400000</v>
      </c>
      <c r="CQ15" s="81">
        <v>19.29</v>
      </c>
      <c r="CR15" s="81" t="s">
        <v>509</v>
      </c>
      <c r="CS15" s="204">
        <v>2E-16</v>
      </c>
      <c r="CT15" s="81" t="s">
        <v>510</v>
      </c>
      <c r="CV15" s="212" t="s">
        <v>506</v>
      </c>
      <c r="CW15" s="81" t="s">
        <v>526</v>
      </c>
      <c r="CX15" s="204">
        <v>293</v>
      </c>
      <c r="CY15" s="204">
        <v>5.8999999999999998E-5</v>
      </c>
      <c r="CZ15" s="81">
        <v>4966969</v>
      </c>
      <c r="DA15" s="81" t="s">
        <v>505</v>
      </c>
      <c r="DB15" s="81" t="s">
        <v>510</v>
      </c>
      <c r="DF15" s="81" t="s">
        <v>389</v>
      </c>
      <c r="DG15" s="81" t="s">
        <v>390</v>
      </c>
      <c r="DH15" s="81" t="str">
        <f t="shared" si="14"/>
        <v>abs3N</v>
      </c>
      <c r="DI15" s="81" t="s">
        <v>434</v>
      </c>
      <c r="DJ15" s="204">
        <f t="shared" si="15"/>
        <v>0.11</v>
      </c>
      <c r="DK15" s="81" t="s">
        <v>392</v>
      </c>
      <c r="DL15" s="81" t="s">
        <v>402</v>
      </c>
      <c r="DM15" s="286">
        <f t="shared" si="0"/>
        <v>0.71165207368750494</v>
      </c>
      <c r="DN15" s="286">
        <f t="shared" si="1"/>
        <v>0.49</v>
      </c>
      <c r="DO15" s="286">
        <f t="shared" si="2"/>
        <v>0.76</v>
      </c>
      <c r="DQ15" s="290" t="s">
        <v>506</v>
      </c>
      <c r="DR15" s="290" t="s">
        <v>543</v>
      </c>
      <c r="DS15" s="291">
        <v>0.20499999999999999</v>
      </c>
      <c r="DT15" s="291">
        <v>4.4600000000000004E-3</v>
      </c>
      <c r="DU15" s="290">
        <v>45.91</v>
      </c>
      <c r="DV15" s="290" t="s">
        <v>509</v>
      </c>
      <c r="DW15" s="291">
        <v>2E-16</v>
      </c>
      <c r="DX15" s="81" t="s">
        <v>510</v>
      </c>
      <c r="DY15" s="212" t="s">
        <v>568</v>
      </c>
      <c r="DZ15" s="296" t="s">
        <v>579</v>
      </c>
      <c r="EA15" s="292" t="s">
        <v>434</v>
      </c>
      <c r="EB15" s="293">
        <f t="shared" si="11"/>
        <v>8.6199999999999999E-2</v>
      </c>
      <c r="EC15" s="212" t="s">
        <v>392</v>
      </c>
      <c r="EE15" s="160" t="s">
        <v>568</v>
      </c>
      <c r="EF15" s="325" t="s">
        <v>579</v>
      </c>
      <c r="EG15" s="322" t="s">
        <v>434</v>
      </c>
      <c r="EH15" s="160">
        <f>$O$12*$Z$37*$AP$6</f>
        <v>8.2147119496909934E-2</v>
      </c>
      <c r="EI15" s="160" t="s">
        <v>392</v>
      </c>
      <c r="EK15" s="329" t="s">
        <v>506</v>
      </c>
      <c r="EL15" s="329" t="s">
        <v>543</v>
      </c>
      <c r="EM15" s="333">
        <v>0.33900000000000002</v>
      </c>
      <c r="EN15" s="333">
        <v>1.3299999999999999E-2</v>
      </c>
      <c r="EO15" s="329">
        <v>25.53</v>
      </c>
      <c r="EP15" s="329" t="s">
        <v>509</v>
      </c>
      <c r="EQ15" s="333">
        <v>2E-16</v>
      </c>
      <c r="ER15" s="329" t="s">
        <v>510</v>
      </c>
      <c r="ES15" s="330" t="s">
        <v>568</v>
      </c>
      <c r="ET15" s="336" t="s">
        <v>579</v>
      </c>
      <c r="EU15" s="331" t="s">
        <v>434</v>
      </c>
      <c r="EV15" s="332">
        <f t="shared" si="12"/>
        <v>9.6000000000000002E-2</v>
      </c>
      <c r="EW15" s="330" t="s">
        <v>392</v>
      </c>
    </row>
    <row r="16" spans="1:153" ht="15" customHeight="1" thickTop="1" thickBot="1" x14ac:dyDescent="0.3">
      <c r="A16" s="237"/>
      <c r="B16" s="219"/>
      <c r="C16" s="219"/>
      <c r="D16" s="226" t="s">
        <v>69</v>
      </c>
      <c r="E16" s="221"/>
      <c r="F16" s="238">
        <f>B4/B26</f>
        <v>1.5021951219512195</v>
      </c>
      <c r="G16" s="231" t="s">
        <v>70</v>
      </c>
      <c r="H16" s="222"/>
      <c r="I16" s="221"/>
      <c r="K16" s="81" t="s">
        <v>67</v>
      </c>
      <c r="L16" s="250">
        <v>0</v>
      </c>
      <c r="M16" s="251">
        <v>1</v>
      </c>
      <c r="N16" s="251" t="s">
        <v>68</v>
      </c>
      <c r="O16" s="252">
        <f>'[1]Tabula data'!B21</f>
        <v>9.5</v>
      </c>
      <c r="P16" s="253"/>
      <c r="Q16" s="30">
        <f t="shared" si="6"/>
        <v>3.5</v>
      </c>
      <c r="R16" s="30">
        <f t="shared" si="7"/>
        <v>33.25</v>
      </c>
      <c r="S16" s="30">
        <f t="shared" ref="S16:S31" si="17">VLOOKUP(N16,$X$5:$AE$391,8,0)*O16</f>
        <v>346940</v>
      </c>
      <c r="T16" s="30">
        <f t="shared" ref="T16:T31" si="18">S16/O16</f>
        <v>36520</v>
      </c>
      <c r="U16" s="30">
        <f t="shared" ref="U16:U31" si="19">VLOOKUP(N16,$X$5:$AG$391,10,0)*O16</f>
        <v>1719690.0000000002</v>
      </c>
      <c r="V16" s="31"/>
      <c r="W16" s="3"/>
      <c r="X16" s="220"/>
      <c r="Y16" s="221" t="s">
        <v>46</v>
      </c>
      <c r="Z16" s="221">
        <v>0.03</v>
      </c>
      <c r="AA16" s="221"/>
      <c r="AB16" s="221"/>
      <c r="AC16" s="221"/>
      <c r="AD16" s="268">
        <v>0.18</v>
      </c>
      <c r="AE16" s="222"/>
      <c r="AF16" s="14"/>
      <c r="AG16" s="14"/>
      <c r="AH16" s="14"/>
      <c r="AM16" s="154" t="s">
        <v>389</v>
      </c>
      <c r="AN16" s="81" t="s">
        <v>390</v>
      </c>
      <c r="AO16" s="81" t="s">
        <v>402</v>
      </c>
      <c r="AP16" s="81">
        <f>AP6*0.3+0.7</f>
        <v>0.71165207368750494</v>
      </c>
      <c r="AQ16" s="81" t="s">
        <v>392</v>
      </c>
      <c r="AR16" s="204">
        <v>0.49</v>
      </c>
      <c r="AV16" s="205" t="s">
        <v>389</v>
      </c>
      <c r="AW16" s="205" t="s">
        <v>390</v>
      </c>
      <c r="AX16" s="205" t="s">
        <v>402</v>
      </c>
      <c r="AY16" s="207" t="s">
        <v>434</v>
      </c>
      <c r="AZ16" s="206">
        <f t="shared" si="3"/>
        <v>0.76</v>
      </c>
      <c r="BA16" s="205" t="s">
        <v>392</v>
      </c>
      <c r="BQ16" s="154" t="s">
        <v>389</v>
      </c>
      <c r="BR16" s="81" t="s">
        <v>390</v>
      </c>
      <c r="BS16" s="81" t="s">
        <v>402</v>
      </c>
      <c r="BT16" s="204">
        <f t="shared" si="16"/>
        <v>0.49</v>
      </c>
      <c r="BU16" s="81" t="s">
        <v>392</v>
      </c>
      <c r="BV16" s="204">
        <v>0.49</v>
      </c>
      <c r="BZ16" s="211">
        <f>CC25</f>
        <v>0.76</v>
      </c>
      <c r="CA16" s="211"/>
      <c r="CB16" s="81" t="s">
        <v>291</v>
      </c>
      <c r="CC16" s="204">
        <v>23000000</v>
      </c>
      <c r="CD16" s="204">
        <v>709000</v>
      </c>
      <c r="CH16" s="81" t="s">
        <v>474</v>
      </c>
      <c r="CI16" s="204">
        <v>0.14199999999999999</v>
      </c>
      <c r="CJ16" s="204">
        <v>6.4000000000000005E-4</v>
      </c>
      <c r="CK16" s="81">
        <v>221.71</v>
      </c>
      <c r="CL16" s="81" t="s">
        <v>505</v>
      </c>
      <c r="CN16" s="81" t="s">
        <v>475</v>
      </c>
      <c r="CO16" s="204">
        <v>1130000</v>
      </c>
      <c r="CP16" s="204">
        <v>29900</v>
      </c>
      <c r="CQ16" s="81">
        <v>37.909999999999997</v>
      </c>
      <c r="CR16" s="81" t="s">
        <v>509</v>
      </c>
      <c r="CS16" s="204">
        <v>2E-16</v>
      </c>
      <c r="CT16" s="81" t="s">
        <v>510</v>
      </c>
      <c r="CV16" s="212" t="s">
        <v>506</v>
      </c>
      <c r="CW16" s="81" t="s">
        <v>527</v>
      </c>
      <c r="CX16" s="204">
        <v>294</v>
      </c>
      <c r="CY16" s="204">
        <v>5.7000000000000003E-5</v>
      </c>
      <c r="CZ16" s="81">
        <v>5160670</v>
      </c>
      <c r="DA16" s="81" t="s">
        <v>505</v>
      </c>
      <c r="DB16" s="81" t="s">
        <v>510</v>
      </c>
      <c r="DJ16" s="204"/>
      <c r="DL16" s="81" t="s">
        <v>403</v>
      </c>
      <c r="DM16" s="286">
        <f t="shared" si="0"/>
        <v>7.0664188814546183E-2</v>
      </c>
      <c r="DN16" s="286">
        <f t="shared" si="1"/>
        <v>9.01E-2</v>
      </c>
      <c r="DO16" s="286">
        <f t="shared" si="2"/>
        <v>6.4100000000000004E-2</v>
      </c>
      <c r="DQ16" s="290" t="s">
        <v>506</v>
      </c>
      <c r="DR16" s="290" t="s">
        <v>544</v>
      </c>
      <c r="DS16" s="291">
        <v>0.309</v>
      </c>
      <c r="DT16" s="291">
        <v>1.1299999999999999E-2</v>
      </c>
      <c r="DU16" s="290">
        <v>27.32</v>
      </c>
      <c r="DV16" s="290" t="s">
        <v>509</v>
      </c>
      <c r="DW16" s="291">
        <v>2E-16</v>
      </c>
      <c r="DX16" s="81" t="s">
        <v>510</v>
      </c>
      <c r="DY16" s="212" t="s">
        <v>568</v>
      </c>
      <c r="DZ16" s="296" t="s">
        <v>580</v>
      </c>
      <c r="EA16" s="292" t="s">
        <v>434</v>
      </c>
      <c r="EB16" s="293">
        <f t="shared" si="11"/>
        <v>0.38800000000000001</v>
      </c>
      <c r="EC16" s="212" t="s">
        <v>392</v>
      </c>
      <c r="EE16" s="160" t="s">
        <v>568</v>
      </c>
      <c r="EF16" s="325" t="s">
        <v>580</v>
      </c>
      <c r="EG16" s="322" t="s">
        <v>434</v>
      </c>
      <c r="EH16" s="160">
        <f>$O$13*$Z$37*$AP$6</f>
        <v>9.2187322990976706E-2</v>
      </c>
      <c r="EI16" s="160" t="s">
        <v>392</v>
      </c>
      <c r="EK16" s="329" t="s">
        <v>506</v>
      </c>
      <c r="EL16" s="329" t="s">
        <v>544</v>
      </c>
      <c r="EM16" s="333">
        <v>0.55600000000000005</v>
      </c>
      <c r="EN16" s="333">
        <v>3.9399999999999998E-2</v>
      </c>
      <c r="EO16" s="329">
        <v>14.1</v>
      </c>
      <c r="EP16" s="329" t="s">
        <v>509</v>
      </c>
      <c r="EQ16" s="333">
        <v>2E-16</v>
      </c>
      <c r="ER16" s="329" t="s">
        <v>510</v>
      </c>
      <c r="ES16" s="330" t="s">
        <v>568</v>
      </c>
      <c r="ET16" s="336" t="s">
        <v>580</v>
      </c>
      <c r="EU16" s="331" t="s">
        <v>434</v>
      </c>
      <c r="EV16" s="332">
        <f t="shared" si="12"/>
        <v>0.46700000000000003</v>
      </c>
      <c r="EW16" s="330" t="s">
        <v>392</v>
      </c>
    </row>
    <row r="17" spans="1:153" ht="15" customHeight="1" thickTop="1" thickBot="1" x14ac:dyDescent="0.3">
      <c r="A17" s="223" t="s">
        <v>73</v>
      </c>
      <c r="B17" s="224">
        <v>0</v>
      </c>
      <c r="C17" s="234" t="s">
        <v>9</v>
      </c>
      <c r="D17" s="226" t="s">
        <v>74</v>
      </c>
      <c r="E17" s="221"/>
      <c r="F17" s="238">
        <f>B26/B23</f>
        <v>1.8303571428571428</v>
      </c>
      <c r="G17" s="231"/>
      <c r="H17" s="222"/>
      <c r="I17" s="221"/>
      <c r="K17" s="81" t="s">
        <v>71</v>
      </c>
      <c r="L17" s="250">
        <v>0</v>
      </c>
      <c r="M17" s="251">
        <v>2</v>
      </c>
      <c r="N17" s="251" t="s">
        <v>25</v>
      </c>
      <c r="O17" s="252">
        <f>'[1]Tabula data'!B19*(1-C43)</f>
        <v>20.516529727733833</v>
      </c>
      <c r="P17" s="253" t="s">
        <v>26</v>
      </c>
      <c r="Q17" s="30">
        <f t="shared" si="6"/>
        <v>0.59788861556532236</v>
      </c>
      <c r="R17" s="30">
        <f t="shared" si="7"/>
        <v>12.26659955511956</v>
      </c>
      <c r="S17" s="30">
        <f t="shared" si="17"/>
        <v>5188993.5107200677</v>
      </c>
      <c r="T17" s="30">
        <f t="shared" si="18"/>
        <v>252917.7</v>
      </c>
      <c r="U17" s="30">
        <f t="shared" si="19"/>
        <v>2748804.6529217791</v>
      </c>
      <c r="V17" s="31"/>
      <c r="W17" s="3"/>
      <c r="X17" s="220"/>
      <c r="Y17" s="221" t="s">
        <v>269</v>
      </c>
      <c r="Z17" s="221">
        <v>3.5000000000000003E-2</v>
      </c>
      <c r="AA17" s="221">
        <v>3.5999999999999997E-2</v>
      </c>
      <c r="AB17" s="221">
        <v>26</v>
      </c>
      <c r="AC17" s="221">
        <v>1470</v>
      </c>
      <c r="AD17" s="268">
        <f>Z17/AA17</f>
        <v>0.97222222222222243</v>
      </c>
      <c r="AE17" s="222">
        <f>Z17*AB17*AC17</f>
        <v>1337.7000000000003</v>
      </c>
      <c r="AF17" s="14"/>
      <c r="AG17" s="14"/>
      <c r="AH17" s="14"/>
      <c r="AM17" s="154" t="s">
        <v>389</v>
      </c>
      <c r="AN17" s="81" t="s">
        <v>390</v>
      </c>
      <c r="AO17" s="81" t="s">
        <v>403</v>
      </c>
      <c r="AP17" s="81">
        <f>AP7*0.3</f>
        <v>7.0664188814546183E-2</v>
      </c>
      <c r="AQ17" s="81" t="s">
        <v>392</v>
      </c>
      <c r="AR17" s="204">
        <v>9.01E-2</v>
      </c>
      <c r="AV17" s="205" t="s">
        <v>389</v>
      </c>
      <c r="AW17" s="205" t="s">
        <v>390</v>
      </c>
      <c r="AX17" s="205" t="s">
        <v>403</v>
      </c>
      <c r="AY17" s="207" t="s">
        <v>434</v>
      </c>
      <c r="AZ17" s="206">
        <f t="shared" si="3"/>
        <v>6.4100000000000004E-2</v>
      </c>
      <c r="BA17" s="205" t="s">
        <v>392</v>
      </c>
      <c r="BF17" s="81" t="s">
        <v>295</v>
      </c>
      <c r="BG17" s="204">
        <f>SUM(BG12+BG5+BG10)</f>
        <v>56953368.600000009</v>
      </c>
      <c r="BJ17" s="81" t="s">
        <v>297</v>
      </c>
      <c r="BK17" s="81">
        <f>BG11</f>
        <v>93.608985024958415</v>
      </c>
      <c r="BQ17" s="154" t="s">
        <v>389</v>
      </c>
      <c r="BR17" s="81" t="s">
        <v>390</v>
      </c>
      <c r="BS17" s="81" t="s">
        <v>403</v>
      </c>
      <c r="BT17" s="204">
        <f t="shared" si="16"/>
        <v>9.01E-2</v>
      </c>
      <c r="BU17" s="81" t="s">
        <v>392</v>
      </c>
      <c r="BV17" s="204">
        <v>9.01E-2</v>
      </c>
      <c r="BZ17" s="211">
        <f>CC26</f>
        <v>6.4100000000000004E-2</v>
      </c>
      <c r="CA17" s="211"/>
      <c r="CB17" s="81" t="s">
        <v>293</v>
      </c>
      <c r="CC17" s="204">
        <v>28700000</v>
      </c>
      <c r="CD17" s="204">
        <v>324000</v>
      </c>
      <c r="CH17" s="81" t="s">
        <v>298</v>
      </c>
      <c r="CI17" s="204">
        <v>995000000</v>
      </c>
      <c r="CJ17" s="204">
        <v>22500000</v>
      </c>
      <c r="CK17" s="81">
        <v>44.3</v>
      </c>
      <c r="CL17" s="81" t="s">
        <v>505</v>
      </c>
      <c r="CN17" s="81" t="s">
        <v>291</v>
      </c>
      <c r="CO17" s="204">
        <v>6980000</v>
      </c>
      <c r="CP17" s="204">
        <v>679000</v>
      </c>
      <c r="CQ17" s="81">
        <v>10.29</v>
      </c>
      <c r="CR17" s="81" t="s">
        <v>509</v>
      </c>
      <c r="CS17" s="204">
        <v>2E-16</v>
      </c>
      <c r="CT17" s="81" t="s">
        <v>510</v>
      </c>
      <c r="CV17" s="212" t="s">
        <v>506</v>
      </c>
      <c r="CW17" s="81" t="s">
        <v>391</v>
      </c>
      <c r="CX17" s="204">
        <v>0.17</v>
      </c>
      <c r="CY17" s="204">
        <v>2.6400000000000001E-6</v>
      </c>
      <c r="CZ17" s="81">
        <v>64508</v>
      </c>
      <c r="DA17" s="81" t="s">
        <v>505</v>
      </c>
      <c r="DB17" s="81" t="s">
        <v>510</v>
      </c>
      <c r="DF17" s="81" t="s">
        <v>389</v>
      </c>
      <c r="DG17" s="81" t="s">
        <v>390</v>
      </c>
      <c r="DH17" s="81" t="str">
        <f t="shared" si="14"/>
        <v>abs5D</v>
      </c>
      <c r="DI17" s="81" t="s">
        <v>434</v>
      </c>
      <c r="DJ17" s="204">
        <f t="shared" si="15"/>
        <v>0.17</v>
      </c>
      <c r="DK17" s="81" t="s">
        <v>392</v>
      </c>
      <c r="DM17" s="287">
        <f t="shared" si="0"/>
        <v>0</v>
      </c>
      <c r="DN17" s="287">
        <f t="shared" si="1"/>
        <v>0</v>
      </c>
      <c r="DO17" s="287">
        <f t="shared" si="2"/>
        <v>0</v>
      </c>
      <c r="DQ17" s="290" t="s">
        <v>506</v>
      </c>
      <c r="DR17" s="290" t="s">
        <v>411</v>
      </c>
      <c r="DS17" s="291">
        <v>0.42</v>
      </c>
      <c r="DT17" s="291">
        <v>3.0499999999999999E-2</v>
      </c>
      <c r="DU17" s="290">
        <v>13.76</v>
      </c>
      <c r="DV17" s="290" t="s">
        <v>509</v>
      </c>
      <c r="DW17" s="291">
        <v>2E-16</v>
      </c>
      <c r="DX17" s="81" t="s">
        <v>510</v>
      </c>
      <c r="DY17" s="212" t="s">
        <v>568</v>
      </c>
      <c r="DZ17" s="296" t="s">
        <v>581</v>
      </c>
      <c r="EA17" s="292" t="s">
        <v>434</v>
      </c>
      <c r="EB17" s="293">
        <f t="shared" si="11"/>
        <v>0.33500000000000002</v>
      </c>
      <c r="EC17" s="212" t="s">
        <v>392</v>
      </c>
      <c r="EE17" s="160" t="s">
        <v>568</v>
      </c>
      <c r="EF17" s="325" t="s">
        <v>581</v>
      </c>
      <c r="EG17" s="322" t="s">
        <v>434</v>
      </c>
      <c r="EH17" s="160">
        <f>$O$11*$Z$37*$AP$7</f>
        <v>0.38193994054262215</v>
      </c>
      <c r="EI17" s="160" t="s">
        <v>392</v>
      </c>
      <c r="EK17" s="329" t="s">
        <v>506</v>
      </c>
      <c r="EL17" s="329" t="s">
        <v>411</v>
      </c>
      <c r="EM17" s="333">
        <v>0.5</v>
      </c>
      <c r="EN17" s="333">
        <v>7.6100000000000001E-2</v>
      </c>
      <c r="EO17" s="329">
        <v>6.57</v>
      </c>
      <c r="EP17" s="333">
        <v>5.6E-11</v>
      </c>
      <c r="EQ17" s="333" t="s">
        <v>510</v>
      </c>
      <c r="ES17" s="330" t="s">
        <v>568</v>
      </c>
      <c r="ET17" s="336" t="s">
        <v>581</v>
      </c>
      <c r="EU17" s="331" t="s">
        <v>434</v>
      </c>
      <c r="EV17" s="332">
        <f t="shared" si="12"/>
        <v>0.58899999999999997</v>
      </c>
      <c r="EW17" s="330" t="s">
        <v>392</v>
      </c>
    </row>
    <row r="18" spans="1:153" ht="15" customHeight="1" thickTop="1" thickBot="1" x14ac:dyDescent="0.3">
      <c r="A18" s="220" t="s">
        <v>77</v>
      </c>
      <c r="B18" s="221">
        <v>0</v>
      </c>
      <c r="C18" s="221"/>
      <c r="D18" s="226" t="s">
        <v>78</v>
      </c>
      <c r="E18" s="221"/>
      <c r="F18" s="238">
        <f>B26/B6</f>
        <v>1.8303571428571428</v>
      </c>
      <c r="G18" s="231"/>
      <c r="H18" s="222"/>
      <c r="I18" s="221"/>
      <c r="K18" s="81" t="s">
        <v>75</v>
      </c>
      <c r="L18" s="250">
        <v>0</v>
      </c>
      <c r="M18" s="251">
        <v>2</v>
      </c>
      <c r="N18" s="251" t="s">
        <v>25</v>
      </c>
      <c r="O18" s="252">
        <f>'[1]Tabula data'!B20*(1-C43)</f>
        <v>36.064797687389479</v>
      </c>
      <c r="P18" s="253" t="s">
        <v>39</v>
      </c>
      <c r="Q18" s="30">
        <f t="shared" si="6"/>
        <v>0.59788861556532236</v>
      </c>
      <c r="R18" s="30">
        <f t="shared" si="7"/>
        <v>21.562731959956736</v>
      </c>
      <c r="S18" s="30">
        <f t="shared" si="17"/>
        <v>9121425.6820598673</v>
      </c>
      <c r="T18" s="30">
        <f t="shared" si="18"/>
        <v>252917.70000000004</v>
      </c>
      <c r="U18" s="30">
        <f t="shared" si="19"/>
        <v>4831961.5941564422</v>
      </c>
      <c r="V18" s="31"/>
      <c r="W18" s="3"/>
      <c r="X18" s="220"/>
      <c r="Y18" s="231" t="s">
        <v>270</v>
      </c>
      <c r="Z18" s="221">
        <v>0.1</v>
      </c>
      <c r="AA18" s="221">
        <v>0.54</v>
      </c>
      <c r="AB18" s="221">
        <v>1400</v>
      </c>
      <c r="AC18" s="231">
        <v>840</v>
      </c>
      <c r="AD18" s="268">
        <f>Z18/AA18</f>
        <v>0.18518518518518517</v>
      </c>
      <c r="AE18" s="222">
        <f>Z18*AB18*AC18</f>
        <v>117600</v>
      </c>
      <c r="AF18" s="14"/>
      <c r="AG18" s="14"/>
      <c r="AH18" s="14"/>
      <c r="AQ18" s="81" t="s">
        <v>392</v>
      </c>
      <c r="AR18" s="204"/>
      <c r="AV18" s="205"/>
      <c r="AW18" s="205"/>
      <c r="AX18" s="205"/>
      <c r="AY18" s="207"/>
      <c r="BA18" s="205"/>
      <c r="BF18" s="81" t="s">
        <v>449</v>
      </c>
      <c r="BG18" s="204">
        <f>BG17+BG7</f>
        <v>58857831.160000011</v>
      </c>
      <c r="BJ18" s="81" t="s">
        <v>298</v>
      </c>
      <c r="BK18" s="81">
        <f>BG12</f>
        <v>41572722.000000007</v>
      </c>
      <c r="BT18" s="204"/>
      <c r="BU18" s="81" t="s">
        <v>392</v>
      </c>
      <c r="BV18" s="204"/>
      <c r="CB18" s="81" t="s">
        <v>476</v>
      </c>
      <c r="CC18" s="204">
        <v>-6.33</v>
      </c>
      <c r="CD18" s="204">
        <v>8.6699999999999999E-2</v>
      </c>
      <c r="CH18" s="81" t="s">
        <v>294</v>
      </c>
      <c r="CI18" s="204">
        <v>14600000</v>
      </c>
      <c r="CJ18" s="204">
        <v>300000</v>
      </c>
      <c r="CK18" s="81">
        <v>48.77</v>
      </c>
      <c r="CL18" s="81" t="s">
        <v>505</v>
      </c>
      <c r="CN18" s="81" t="s">
        <v>293</v>
      </c>
      <c r="CO18" s="204">
        <v>11000000</v>
      </c>
      <c r="CP18" s="204">
        <v>1930000</v>
      </c>
      <c r="CQ18" s="81">
        <v>5.67</v>
      </c>
      <c r="CR18" s="204">
        <v>1.4999999999999999E-8</v>
      </c>
      <c r="CS18" s="81" t="s">
        <v>510</v>
      </c>
      <c r="CV18" s="212" t="s">
        <v>506</v>
      </c>
      <c r="CW18" s="81" t="s">
        <v>410</v>
      </c>
      <c r="CX18" s="204">
        <v>0.45</v>
      </c>
      <c r="CY18" s="204">
        <v>6.7800000000000003E-6</v>
      </c>
      <c r="CZ18" s="81">
        <v>66399</v>
      </c>
      <c r="DA18" s="81" t="s">
        <v>505</v>
      </c>
      <c r="DB18" s="81" t="s">
        <v>510</v>
      </c>
      <c r="DF18" s="81" t="s">
        <v>389</v>
      </c>
      <c r="DG18" s="81" t="s">
        <v>390</v>
      </c>
      <c r="DH18" s="81" t="str">
        <f t="shared" si="14"/>
        <v>abs5N</v>
      </c>
      <c r="DI18" s="81" t="s">
        <v>434</v>
      </c>
      <c r="DJ18" s="204">
        <f t="shared" si="15"/>
        <v>0.34</v>
      </c>
      <c r="DK18" s="81" t="s">
        <v>392</v>
      </c>
      <c r="DL18" s="81" t="s">
        <v>404</v>
      </c>
      <c r="DM18" s="289">
        <f t="shared" si="0"/>
        <v>141.08757763975157</v>
      </c>
      <c r="DN18" s="289">
        <f t="shared" si="1"/>
        <v>654</v>
      </c>
      <c r="DO18" s="289">
        <f t="shared" si="2"/>
        <v>259</v>
      </c>
      <c r="DQ18" s="290" t="s">
        <v>506</v>
      </c>
      <c r="DR18" s="290" t="s">
        <v>545</v>
      </c>
      <c r="DS18" s="291">
        <v>0.35299999999999998</v>
      </c>
      <c r="DT18" s="291">
        <v>6.0600000000000003E-3</v>
      </c>
      <c r="DU18" s="290">
        <v>58.28</v>
      </c>
      <c r="DV18" s="290" t="s">
        <v>509</v>
      </c>
      <c r="DW18" s="291">
        <v>2E-16</v>
      </c>
      <c r="DX18" s="81" t="s">
        <v>510</v>
      </c>
      <c r="DY18" s="212" t="s">
        <v>568</v>
      </c>
      <c r="DZ18" s="296" t="s">
        <v>582</v>
      </c>
      <c r="EA18" s="292" t="s">
        <v>434</v>
      </c>
      <c r="EB18" s="293">
        <f t="shared" si="11"/>
        <v>0.44800000000000001</v>
      </c>
      <c r="EC18" s="212" t="s">
        <v>392</v>
      </c>
      <c r="EE18" s="160" t="s">
        <v>568</v>
      </c>
      <c r="EF18" s="325" t="s">
        <v>582</v>
      </c>
      <c r="EG18" s="322" t="s">
        <v>434</v>
      </c>
      <c r="EH18" s="160">
        <f>$O$10*$Z$37*$AP$7</f>
        <v>0.44836427802829548</v>
      </c>
      <c r="EI18" s="160" t="s">
        <v>392</v>
      </c>
      <c r="EK18" s="329" t="s">
        <v>506</v>
      </c>
      <c r="EL18" s="329" t="s">
        <v>545</v>
      </c>
      <c r="EM18" s="333">
        <v>0.64500000000000002</v>
      </c>
      <c r="EN18" s="333">
        <v>1.6400000000000001E-2</v>
      </c>
      <c r="EO18" s="329">
        <v>39.44</v>
      </c>
      <c r="EP18" s="329" t="s">
        <v>509</v>
      </c>
      <c r="EQ18" s="333">
        <v>2E-16</v>
      </c>
      <c r="ER18" s="329" t="s">
        <v>510</v>
      </c>
      <c r="ES18" s="330" t="s">
        <v>568</v>
      </c>
      <c r="ET18" s="336" t="s">
        <v>582</v>
      </c>
      <c r="EU18" s="331" t="s">
        <v>434</v>
      </c>
      <c r="EV18" s="332">
        <f t="shared" si="12"/>
        <v>0.52500000000000002</v>
      </c>
      <c r="EW18" s="330" t="s">
        <v>392</v>
      </c>
    </row>
    <row r="19" spans="1:153" ht="15" customHeight="1" thickTop="1" thickBot="1" x14ac:dyDescent="0.3">
      <c r="A19" s="220" t="s">
        <v>81</v>
      </c>
      <c r="B19" s="229">
        <f>B17-B18</f>
        <v>0</v>
      </c>
      <c r="C19" s="221"/>
      <c r="D19" s="236"/>
      <c r="E19" s="231"/>
      <c r="F19" s="231"/>
      <c r="G19" s="231"/>
      <c r="H19" s="230"/>
      <c r="I19" s="231"/>
      <c r="K19" s="81" t="s">
        <v>79</v>
      </c>
      <c r="L19" s="250">
        <v>0</v>
      </c>
      <c r="M19" s="251">
        <v>2</v>
      </c>
      <c r="N19" s="251" t="s">
        <v>25</v>
      </c>
      <c r="O19" s="252">
        <f>O17</f>
        <v>20.516529727733833</v>
      </c>
      <c r="P19" s="253" t="s">
        <v>45</v>
      </c>
      <c r="Q19" s="30">
        <f t="shared" si="6"/>
        <v>0.59788861556532236</v>
      </c>
      <c r="R19" s="30">
        <f t="shared" si="7"/>
        <v>12.26659955511956</v>
      </c>
      <c r="S19" s="30">
        <f t="shared" si="17"/>
        <v>5188993.5107200677</v>
      </c>
      <c r="T19" s="30">
        <f t="shared" si="18"/>
        <v>252917.7</v>
      </c>
      <c r="U19" s="30">
        <f t="shared" si="19"/>
        <v>2748804.6529217791</v>
      </c>
      <c r="V19" s="31"/>
      <c r="W19" s="3"/>
      <c r="X19" s="237"/>
      <c r="Y19" s="219" t="s">
        <v>80</v>
      </c>
      <c r="Z19" s="219">
        <v>0.02</v>
      </c>
      <c r="AA19" s="219">
        <v>0.6</v>
      </c>
      <c r="AB19" s="219">
        <v>975</v>
      </c>
      <c r="AC19" s="219">
        <v>840</v>
      </c>
      <c r="AD19" s="269">
        <f>Z19/AA19</f>
        <v>3.3333333333333333E-2</v>
      </c>
      <c r="AE19" s="242">
        <f>Z19*AB19*AC19</f>
        <v>16380</v>
      </c>
      <c r="AF19" s="14"/>
      <c r="AG19" s="14"/>
      <c r="AH19" s="14"/>
      <c r="AM19" s="154" t="s">
        <v>389</v>
      </c>
      <c r="AN19" s="81" t="s">
        <v>390</v>
      </c>
      <c r="AO19" s="81" t="s">
        <v>404</v>
      </c>
      <c r="AP19" s="81">
        <f>SUM(O6:O9)*(1/(SUM(AD18:AD19)+1/4))</f>
        <v>141.08757763975157</v>
      </c>
      <c r="AQ19" s="81" t="s">
        <v>392</v>
      </c>
      <c r="AR19" s="204">
        <v>654</v>
      </c>
      <c r="AV19" s="205" t="s">
        <v>389</v>
      </c>
      <c r="AW19" s="205" t="s">
        <v>390</v>
      </c>
      <c r="AX19" s="205" t="s">
        <v>404</v>
      </c>
      <c r="AY19" s="207" t="s">
        <v>434</v>
      </c>
      <c r="AZ19" s="206">
        <f t="shared" si="3"/>
        <v>259</v>
      </c>
      <c r="BA19" s="205" t="s">
        <v>392</v>
      </c>
      <c r="BF19" s="81" t="s">
        <v>450</v>
      </c>
      <c r="BG19" s="3">
        <f>BG4+BG6</f>
        <v>128.69665686590122</v>
      </c>
      <c r="BQ19" s="154" t="s">
        <v>389</v>
      </c>
      <c r="BR19" s="81" t="s">
        <v>390</v>
      </c>
      <c r="BS19" s="81" t="s">
        <v>404</v>
      </c>
      <c r="BT19" s="204">
        <f>SUM(O6:O9)*(1/(SUM(AD18:AD19)*0.5+1/3.5))</f>
        <v>167.35840589417282</v>
      </c>
      <c r="BU19" s="81" t="s">
        <v>392</v>
      </c>
      <c r="BV19" s="204">
        <v>654</v>
      </c>
      <c r="BX19" s="81" t="s">
        <v>459</v>
      </c>
      <c r="BY19" s="81">
        <f>AVERAGE(SUM(O6:O9),2*O27)*(1/(1/8+SUM(AD18:AD19)/2+SUM(AD23:AD25)/4))</f>
        <v>314.03364055299545</v>
      </c>
      <c r="BZ19" s="211">
        <f>CC28</f>
        <v>259</v>
      </c>
      <c r="CA19" s="211"/>
      <c r="CB19" s="81" t="s">
        <v>477</v>
      </c>
      <c r="CC19" s="204">
        <v>-24.6</v>
      </c>
      <c r="CD19" s="204">
        <v>1360</v>
      </c>
      <c r="CH19" s="81" t="s">
        <v>475</v>
      </c>
      <c r="CI19" s="204">
        <v>3460000</v>
      </c>
      <c r="CJ19" s="204">
        <v>48400</v>
      </c>
      <c r="CK19" s="81">
        <v>71.56</v>
      </c>
      <c r="CL19" s="81" t="s">
        <v>505</v>
      </c>
      <c r="CN19" s="81" t="s">
        <v>476</v>
      </c>
      <c r="CO19" s="204">
        <v>-6.06</v>
      </c>
      <c r="CP19" s="204">
        <v>0.14799999999999999</v>
      </c>
      <c r="CQ19" s="81">
        <v>-40.880000000000003</v>
      </c>
      <c r="CR19" s="81" t="s">
        <v>509</v>
      </c>
      <c r="CS19" s="204">
        <v>2E-16</v>
      </c>
      <c r="CT19" s="81" t="s">
        <v>510</v>
      </c>
      <c r="CV19" s="212" t="s">
        <v>506</v>
      </c>
      <c r="CW19" s="81" t="s">
        <v>393</v>
      </c>
      <c r="CX19" s="204">
        <v>0.42</v>
      </c>
      <c r="CY19" s="204">
        <v>6.3500000000000002E-6</v>
      </c>
      <c r="CZ19" s="81">
        <v>66191</v>
      </c>
      <c r="DA19" s="81" t="s">
        <v>505</v>
      </c>
      <c r="DB19" s="81" t="s">
        <v>510</v>
      </c>
      <c r="DF19" s="81" t="s">
        <v>389</v>
      </c>
      <c r="DG19" s="81" t="s">
        <v>390</v>
      </c>
      <c r="DH19" s="81" t="str">
        <f t="shared" si="14"/>
        <v>CfiD</v>
      </c>
      <c r="DI19" s="81" t="s">
        <v>434</v>
      </c>
      <c r="DJ19" s="204">
        <f t="shared" si="15"/>
        <v>31500000</v>
      </c>
      <c r="DK19" s="81" t="s">
        <v>392</v>
      </c>
      <c r="DL19" s="81" t="s">
        <v>405</v>
      </c>
      <c r="DM19" s="289">
        <f t="shared" si="0"/>
        <v>214.99009900990103</v>
      </c>
      <c r="DN19" s="289">
        <f t="shared" si="1"/>
        <v>701</v>
      </c>
      <c r="DO19" s="289">
        <f t="shared" si="2"/>
        <v>197</v>
      </c>
      <c r="DQ19" s="290" t="s">
        <v>506</v>
      </c>
      <c r="DR19" s="290" t="s">
        <v>546</v>
      </c>
      <c r="DS19" s="291">
        <v>0.39600000000000002</v>
      </c>
      <c r="DT19" s="291">
        <v>6.8999999999999999E-3</v>
      </c>
      <c r="DU19" s="290">
        <v>57.34</v>
      </c>
      <c r="DV19" s="290" t="s">
        <v>509</v>
      </c>
      <c r="DW19" s="291">
        <v>2E-16</v>
      </c>
      <c r="DX19" s="81" t="s">
        <v>510</v>
      </c>
      <c r="DY19" s="212" t="s">
        <v>568</v>
      </c>
      <c r="DZ19" s="294" t="s">
        <v>583</v>
      </c>
      <c r="EA19" s="292" t="s">
        <v>434</v>
      </c>
      <c r="EB19" s="293">
        <f t="shared" si="11"/>
        <v>0.40600000000000003</v>
      </c>
      <c r="EC19" s="212" t="s">
        <v>392</v>
      </c>
      <c r="EE19" s="160" t="s">
        <v>568</v>
      </c>
      <c r="EF19" s="323" t="s">
        <v>583</v>
      </c>
      <c r="EG19" s="322" t="s">
        <v>434</v>
      </c>
      <c r="EH19" s="160">
        <f>$O$12*$Z$37*$AP$7</f>
        <v>0.49818253114255057</v>
      </c>
      <c r="EI19" s="160" t="s">
        <v>392</v>
      </c>
      <c r="EK19" s="329" t="s">
        <v>506</v>
      </c>
      <c r="EL19" s="329" t="s">
        <v>546</v>
      </c>
      <c r="EM19" s="333">
        <v>0.67100000000000004</v>
      </c>
      <c r="EN19" s="333">
        <v>1.6400000000000001E-2</v>
      </c>
      <c r="EO19" s="329">
        <v>40.79</v>
      </c>
      <c r="EP19" s="329" t="s">
        <v>509</v>
      </c>
      <c r="EQ19" s="333">
        <v>2E-16</v>
      </c>
      <c r="ER19" s="329" t="s">
        <v>510</v>
      </c>
      <c r="ES19" s="330" t="s">
        <v>568</v>
      </c>
      <c r="ET19" s="334" t="s">
        <v>583</v>
      </c>
      <c r="EU19" s="331" t="s">
        <v>434</v>
      </c>
      <c r="EV19" s="332">
        <f t="shared" si="12"/>
        <v>0.70899999999999996</v>
      </c>
      <c r="EW19" s="330" t="s">
        <v>392</v>
      </c>
    </row>
    <row r="20" spans="1:153" ht="15" customHeight="1" thickTop="1" thickBot="1" x14ac:dyDescent="0.3">
      <c r="A20" s="220"/>
      <c r="B20" s="221"/>
      <c r="C20" s="221"/>
      <c r="D20" s="226" t="s">
        <v>83</v>
      </c>
      <c r="E20" s="231"/>
      <c r="F20" s="239">
        <f>G4/B23</f>
        <v>0.15223214285714287</v>
      </c>
      <c r="G20" s="231"/>
      <c r="H20" s="222"/>
      <c r="I20" s="221"/>
      <c r="K20" s="81" t="s">
        <v>82</v>
      </c>
      <c r="L20" s="250">
        <v>0</v>
      </c>
      <c r="M20" s="251">
        <v>2</v>
      </c>
      <c r="N20" s="251" t="s">
        <v>25</v>
      </c>
      <c r="O20" s="252">
        <v>0</v>
      </c>
      <c r="P20" s="253" t="s">
        <v>50</v>
      </c>
      <c r="Q20" s="30">
        <f t="shared" si="6"/>
        <v>0.59788861556532236</v>
      </c>
      <c r="R20" s="30">
        <f t="shared" si="7"/>
        <v>0</v>
      </c>
      <c r="S20" s="30">
        <f t="shared" si="17"/>
        <v>0</v>
      </c>
      <c r="T20" s="30" t="e">
        <f t="shared" si="18"/>
        <v>#DIV/0!</v>
      </c>
      <c r="U20" s="30">
        <f t="shared" si="19"/>
        <v>0</v>
      </c>
      <c r="V20" s="31"/>
      <c r="W20" s="3"/>
      <c r="X20" s="258"/>
      <c r="Y20" s="258"/>
      <c r="Z20" s="258"/>
      <c r="AA20" s="258"/>
      <c r="AB20" s="258"/>
      <c r="AC20" s="258"/>
      <c r="AD20" s="258"/>
      <c r="AE20" s="258"/>
      <c r="AF20" s="14"/>
      <c r="AG20" s="14"/>
      <c r="AH20" s="14"/>
      <c r="AM20" s="154" t="s">
        <v>389</v>
      </c>
      <c r="AN20" s="81" t="s">
        <v>390</v>
      </c>
      <c r="AO20" s="81" t="s">
        <v>405</v>
      </c>
      <c r="AP20" s="81">
        <f>SUM(O14)*1/(SUM(AD42:AD43)+1/3)</f>
        <v>214.99009900990103</v>
      </c>
      <c r="AQ20" s="81" t="s">
        <v>392</v>
      </c>
      <c r="AR20" s="204">
        <v>701</v>
      </c>
      <c r="AV20" s="205" t="s">
        <v>389</v>
      </c>
      <c r="AW20" s="205" t="s">
        <v>390</v>
      </c>
      <c r="AX20" s="205" t="s">
        <v>405</v>
      </c>
      <c r="AY20" s="207" t="s">
        <v>434</v>
      </c>
      <c r="AZ20" s="206">
        <f t="shared" si="3"/>
        <v>197</v>
      </c>
      <c r="BA20" s="205" t="s">
        <v>392</v>
      </c>
      <c r="BJ20" s="81" t="s">
        <v>451</v>
      </c>
      <c r="BK20" s="204">
        <f>BG7</f>
        <v>1904462.5600000003</v>
      </c>
      <c r="BQ20" s="154" t="s">
        <v>389</v>
      </c>
      <c r="BR20" s="81" t="s">
        <v>390</v>
      </c>
      <c r="BS20" s="81" t="s">
        <v>405</v>
      </c>
      <c r="BT20" s="204">
        <f>SUM(O14)*1/(0.5*SUM(AD42:AD43)+1/3.5)</f>
        <v>287.60264900662253</v>
      </c>
      <c r="BU20" s="81" t="s">
        <v>392</v>
      </c>
      <c r="BV20" s="204">
        <v>701</v>
      </c>
      <c r="BX20" s="81" t="s">
        <v>460</v>
      </c>
      <c r="BY20" s="81">
        <f>AVERAGE(SUM(O6:O9),O26)*(1/(1/8+SUM(AD31:AD32)/2+SUM(AD18:AD19)/2))</f>
        <v>241.04230611407471</v>
      </c>
      <c r="BZ20" s="211">
        <f>CC29</f>
        <v>197</v>
      </c>
      <c r="CA20" s="211"/>
      <c r="CB20" s="81" t="s">
        <v>478</v>
      </c>
      <c r="CC20" s="204">
        <v>-13.1</v>
      </c>
      <c r="CD20" s="204">
        <v>157</v>
      </c>
      <c r="CH20" s="81" t="s">
        <v>291</v>
      </c>
      <c r="CI20" s="204">
        <v>23000000</v>
      </c>
      <c r="CJ20" s="204">
        <v>709000</v>
      </c>
      <c r="CK20" s="81">
        <v>32.450000000000003</v>
      </c>
      <c r="CL20" s="81" t="s">
        <v>505</v>
      </c>
      <c r="CN20" s="81" t="s">
        <v>477</v>
      </c>
      <c r="CO20" s="204">
        <v>-11.2</v>
      </c>
      <c r="CP20" s="204">
        <v>112</v>
      </c>
      <c r="CQ20" s="81">
        <v>-0.1</v>
      </c>
      <c r="CR20" s="81">
        <v>0.92</v>
      </c>
      <c r="CV20" s="212" t="s">
        <v>506</v>
      </c>
      <c r="CW20" s="81" t="s">
        <v>411</v>
      </c>
      <c r="CX20" s="204">
        <v>0.15</v>
      </c>
      <c r="CY20" s="204">
        <v>2.3300000000000001E-6</v>
      </c>
      <c r="CZ20" s="81">
        <v>64377</v>
      </c>
      <c r="DA20" s="81" t="s">
        <v>505</v>
      </c>
      <c r="DB20" s="81" t="s">
        <v>510</v>
      </c>
      <c r="DF20" s="81" t="s">
        <v>389</v>
      </c>
      <c r="DG20" s="81" t="s">
        <v>390</v>
      </c>
      <c r="DH20" s="81" t="str">
        <f t="shared" si="14"/>
        <v>CfiN</v>
      </c>
      <c r="DI20" s="81" t="s">
        <v>434</v>
      </c>
      <c r="DJ20" s="204">
        <f t="shared" si="15"/>
        <v>67000000</v>
      </c>
      <c r="DK20" s="81" t="s">
        <v>392</v>
      </c>
      <c r="DL20" s="81" t="s">
        <v>406</v>
      </c>
      <c r="DM20" s="289">
        <f t="shared" si="0"/>
        <v>199.08073338295438</v>
      </c>
      <c r="DN20" s="289">
        <f t="shared" si="1"/>
        <v>1380</v>
      </c>
      <c r="DO20" s="289">
        <f t="shared" si="2"/>
        <v>487</v>
      </c>
      <c r="DQ20" s="290" t="s">
        <v>506</v>
      </c>
      <c r="DR20" s="290" t="s">
        <v>547</v>
      </c>
      <c r="DS20" s="291">
        <v>0.24</v>
      </c>
      <c r="DT20" s="291">
        <v>6.0600000000000001E-2</v>
      </c>
      <c r="DU20" s="290">
        <v>3.96</v>
      </c>
      <c r="DV20" s="291">
        <v>7.3999999999999996E-5</v>
      </c>
      <c r="DW20" s="290" t="s">
        <v>510</v>
      </c>
      <c r="DY20" s="212" t="s">
        <v>568</v>
      </c>
      <c r="DZ20" s="295" t="s">
        <v>584</v>
      </c>
      <c r="EA20" s="292" t="s">
        <v>434</v>
      </c>
      <c r="EB20" s="293">
        <f t="shared" si="11"/>
        <v>0.42</v>
      </c>
      <c r="EC20" s="212" t="s">
        <v>392</v>
      </c>
      <c r="EE20" s="160" t="s">
        <v>568</v>
      </c>
      <c r="EF20" s="324" t="s">
        <v>584</v>
      </c>
      <c r="EG20" s="322" t="s">
        <v>434</v>
      </c>
      <c r="EH20" s="160">
        <f>$O$13*$Z$37*$AP$7</f>
        <v>0.55907150717108456</v>
      </c>
      <c r="EI20" s="160" t="s">
        <v>392</v>
      </c>
      <c r="EK20" s="329" t="s">
        <v>506</v>
      </c>
      <c r="EL20" s="329" t="s">
        <v>547</v>
      </c>
      <c r="EM20" s="333">
        <v>0.41699999999999998</v>
      </c>
      <c r="EN20" s="333">
        <v>0.38200000000000001</v>
      </c>
      <c r="EO20" s="329">
        <v>1.0900000000000001</v>
      </c>
      <c r="EP20" s="333">
        <v>0.27511000000000002</v>
      </c>
      <c r="ES20" s="330" t="s">
        <v>568</v>
      </c>
      <c r="ET20" s="335" t="s">
        <v>584</v>
      </c>
      <c r="EU20" s="331" t="s">
        <v>434</v>
      </c>
      <c r="EV20" s="332">
        <f t="shared" si="12"/>
        <v>0.69799999999999995</v>
      </c>
      <c r="EW20" s="330" t="s">
        <v>392</v>
      </c>
    </row>
    <row r="21" spans="1:153" ht="15" customHeight="1" thickTop="1" thickBot="1" x14ac:dyDescent="0.3">
      <c r="A21" s="220"/>
      <c r="B21" s="221"/>
      <c r="C21" s="221"/>
      <c r="D21" s="226" t="s">
        <v>86</v>
      </c>
      <c r="E21" s="231"/>
      <c r="F21" s="239">
        <f>G4/B6</f>
        <v>0.15223214285714287</v>
      </c>
      <c r="G21" s="231"/>
      <c r="H21" s="222"/>
      <c r="I21" s="221"/>
      <c r="K21" s="81" t="s">
        <v>84</v>
      </c>
      <c r="L21" s="250">
        <v>0</v>
      </c>
      <c r="M21" s="251">
        <v>2</v>
      </c>
      <c r="N21" s="251" t="s">
        <v>54</v>
      </c>
      <c r="O21" s="252">
        <f>H10</f>
        <v>4.05</v>
      </c>
      <c r="P21" s="253" t="s">
        <v>26</v>
      </c>
      <c r="Q21" s="30">
        <f t="shared" si="6"/>
        <v>2</v>
      </c>
      <c r="R21" s="30">
        <f t="shared" si="7"/>
        <v>8.1</v>
      </c>
      <c r="S21" s="30">
        <f t="shared" si="17"/>
        <v>0</v>
      </c>
      <c r="T21" s="30">
        <f t="shared" si="18"/>
        <v>0</v>
      </c>
      <c r="U21" s="30">
        <f t="shared" si="19"/>
        <v>0</v>
      </c>
      <c r="V21" s="31"/>
      <c r="W21" s="3"/>
      <c r="X21" s="260" t="s">
        <v>85</v>
      </c>
      <c r="Y21" s="261"/>
      <c r="Z21" s="262" t="s">
        <v>21</v>
      </c>
      <c r="AA21" s="263">
        <f>(1/(1/4+SUM(AD23:AD25)+1/4))</f>
        <v>1.210762331838565</v>
      </c>
      <c r="AB21" s="261" t="s">
        <v>5</v>
      </c>
      <c r="AC21" s="261"/>
      <c r="AD21" s="261" t="s">
        <v>22</v>
      </c>
      <c r="AE21" s="264">
        <f>SUM(AE23:AE26)</f>
        <v>197400.00000000003</v>
      </c>
      <c r="AF21" s="14" t="s">
        <v>23</v>
      </c>
      <c r="AG21" s="14">
        <f>SUM(AE23:AE25)</f>
        <v>197400.00000000003</v>
      </c>
      <c r="AH21" s="14"/>
      <c r="AM21" s="154" t="s">
        <v>389</v>
      </c>
      <c r="AN21" s="81" t="s">
        <v>390</v>
      </c>
      <c r="AO21" s="81" t="s">
        <v>406</v>
      </c>
      <c r="AP21" s="81">
        <f>2*AA21*O27+O30*1*AA52</f>
        <v>199.08073338295438</v>
      </c>
      <c r="AQ21" s="81" t="s">
        <v>392</v>
      </c>
      <c r="AR21" s="204">
        <v>1380</v>
      </c>
      <c r="AV21" s="205" t="s">
        <v>389</v>
      </c>
      <c r="AW21" s="205" t="s">
        <v>390</v>
      </c>
      <c r="AX21" s="205" t="s">
        <v>406</v>
      </c>
      <c r="AY21" s="207" t="s">
        <v>434</v>
      </c>
      <c r="AZ21" s="206">
        <f t="shared" si="3"/>
        <v>487</v>
      </c>
      <c r="BA21" s="205" t="s">
        <v>392</v>
      </c>
      <c r="BJ21" s="81" t="s">
        <v>452</v>
      </c>
      <c r="BK21" s="204">
        <f>BG27</f>
        <v>1336649.5999999999</v>
      </c>
      <c r="BQ21" s="154" t="s">
        <v>389</v>
      </c>
      <c r="BR21" s="81" t="s">
        <v>390</v>
      </c>
      <c r="BS21" s="81" t="s">
        <v>406</v>
      </c>
      <c r="BT21" s="204">
        <f>2*O27*1/(1/3.5+SUM(AD23:AD25)/2)</f>
        <v>294.65341981132082</v>
      </c>
      <c r="BU21" s="81" t="s">
        <v>392</v>
      </c>
      <c r="BV21" s="204">
        <v>1380</v>
      </c>
      <c r="BX21" s="81" t="s">
        <v>461</v>
      </c>
      <c r="BY21" s="81">
        <f>AVERAGE(SUM(O6:O9),O14)*(1/(1/8+SUM(AD42:AD43)/2+SUM(AD18:AD19)/2))</f>
        <v>275.10437956204385</v>
      </c>
      <c r="BZ21" s="211">
        <f>CC30</f>
        <v>487</v>
      </c>
      <c r="CA21" s="211"/>
      <c r="CB21" s="81" t="s">
        <v>479</v>
      </c>
      <c r="CC21" s="204">
        <v>-14.4</v>
      </c>
      <c r="CD21" s="204">
        <v>199</v>
      </c>
      <c r="CH21" s="81" t="s">
        <v>293</v>
      </c>
      <c r="CI21" s="204">
        <v>28700000</v>
      </c>
      <c r="CJ21" s="204">
        <v>324000</v>
      </c>
      <c r="CK21" s="81">
        <v>88.56</v>
      </c>
      <c r="CL21" s="81" t="s">
        <v>505</v>
      </c>
      <c r="CN21" s="81" t="s">
        <v>478</v>
      </c>
      <c r="CO21" s="204">
        <v>-15.5</v>
      </c>
      <c r="CP21" s="204">
        <v>201</v>
      </c>
      <c r="CQ21" s="81">
        <v>-0.08</v>
      </c>
      <c r="CR21" s="81">
        <v>0.93799999999999994</v>
      </c>
      <c r="CV21" s="212" t="s">
        <v>506</v>
      </c>
      <c r="CW21" s="81" t="s">
        <v>394</v>
      </c>
      <c r="CX21" s="204">
        <v>0.14000000000000001</v>
      </c>
      <c r="CY21" s="204">
        <v>2.1799999999999999E-6</v>
      </c>
      <c r="CZ21" s="81">
        <v>64312</v>
      </c>
      <c r="DA21" s="81" t="s">
        <v>505</v>
      </c>
      <c r="DB21" s="81" t="s">
        <v>510</v>
      </c>
      <c r="DF21" s="81" t="s">
        <v>389</v>
      </c>
      <c r="DG21" s="81" t="s">
        <v>390</v>
      </c>
      <c r="DH21" s="81" t="str">
        <f t="shared" si="14"/>
        <v>CiD</v>
      </c>
      <c r="DI21" s="81" t="s">
        <v>434</v>
      </c>
      <c r="DJ21" s="204">
        <f t="shared" si="15"/>
        <v>2700000</v>
      </c>
      <c r="DK21" s="81" t="s">
        <v>392</v>
      </c>
      <c r="DL21" s="81" t="s">
        <v>407</v>
      </c>
      <c r="DM21" s="289">
        <f t="shared" si="0"/>
        <v>91.923239162201668</v>
      </c>
      <c r="DN21" s="289">
        <f t="shared" si="1"/>
        <v>259</v>
      </c>
      <c r="DO21" s="289">
        <f t="shared" si="2"/>
        <v>274</v>
      </c>
      <c r="DQ21" s="290" t="s">
        <v>506</v>
      </c>
      <c r="DR21" s="290" t="s">
        <v>412</v>
      </c>
      <c r="DS21" s="291">
        <v>0.16500000000000001</v>
      </c>
      <c r="DT21" s="291">
        <v>0.11</v>
      </c>
      <c r="DU21" s="290">
        <v>1.5</v>
      </c>
      <c r="DV21" s="290">
        <v>0.13300000000000001</v>
      </c>
      <c r="DY21" s="212" t="s">
        <v>568</v>
      </c>
      <c r="DZ21" s="295" t="s">
        <v>585</v>
      </c>
      <c r="EA21" s="292" t="s">
        <v>434</v>
      </c>
      <c r="EB21" s="293">
        <f t="shared" si="11"/>
        <v>0.159</v>
      </c>
      <c r="EC21" s="212" t="s">
        <v>392</v>
      </c>
      <c r="EE21" s="160" t="s">
        <v>568</v>
      </c>
      <c r="EF21" s="324" t="s">
        <v>585</v>
      </c>
      <c r="EG21" s="322" t="s">
        <v>434</v>
      </c>
      <c r="EH21" s="160">
        <f>$O$11*$Z$37*$AP$42</f>
        <v>0.32985722137771917</v>
      </c>
      <c r="EI21" s="160" t="s">
        <v>392</v>
      </c>
      <c r="EK21" s="329" t="s">
        <v>506</v>
      </c>
      <c r="EL21" s="329" t="s">
        <v>412</v>
      </c>
      <c r="EM21" s="333">
        <v>1.01</v>
      </c>
      <c r="EN21" s="333">
        <v>0.59099999999999997</v>
      </c>
      <c r="EO21" s="329">
        <v>1.7</v>
      </c>
      <c r="EP21" s="329">
        <v>8.8709999999999997E-2</v>
      </c>
      <c r="EQ21" s="329" t="s">
        <v>557</v>
      </c>
      <c r="ES21" s="330" t="s">
        <v>568</v>
      </c>
      <c r="ET21" s="335" t="s">
        <v>585</v>
      </c>
      <c r="EU21" s="331" t="s">
        <v>434</v>
      </c>
      <c r="EV21" s="332">
        <f t="shared" si="12"/>
        <v>0.315</v>
      </c>
      <c r="EW21" s="330" t="s">
        <v>392</v>
      </c>
    </row>
    <row r="22" spans="1:153" ht="15" customHeight="1" thickTop="1" thickBot="1" x14ac:dyDescent="0.3">
      <c r="A22" s="237"/>
      <c r="B22" s="219"/>
      <c r="C22" s="219"/>
      <c r="D22" s="220" t="s">
        <v>88</v>
      </c>
      <c r="E22" s="221"/>
      <c r="F22" s="227">
        <f>G4/B26</f>
        <v>8.3170731707317078E-2</v>
      </c>
      <c r="G22" s="221"/>
      <c r="H22" s="222"/>
      <c r="I22" s="221"/>
      <c r="K22" s="81" t="s">
        <v>87</v>
      </c>
      <c r="L22" s="250">
        <v>0</v>
      </c>
      <c r="M22" s="251">
        <v>2</v>
      </c>
      <c r="N22" s="251" t="s">
        <v>54</v>
      </c>
      <c r="O22" s="252">
        <f>H11</f>
        <v>3.45</v>
      </c>
      <c r="P22" s="253" t="s">
        <v>39</v>
      </c>
      <c r="Q22" s="30">
        <f t="shared" si="6"/>
        <v>2</v>
      </c>
      <c r="R22" s="30">
        <f t="shared" si="7"/>
        <v>6.9</v>
      </c>
      <c r="S22" s="30">
        <f t="shared" si="17"/>
        <v>0</v>
      </c>
      <c r="T22" s="30">
        <f t="shared" si="18"/>
        <v>0</v>
      </c>
      <c r="U22" s="30">
        <f t="shared" si="19"/>
        <v>0</v>
      </c>
      <c r="V22" s="31"/>
      <c r="W22" s="3"/>
      <c r="X22" s="265"/>
      <c r="Y22" s="266" t="s">
        <v>27</v>
      </c>
      <c r="Z22" s="266" t="s">
        <v>28</v>
      </c>
      <c r="AA22" s="266" t="s">
        <v>29</v>
      </c>
      <c r="AB22" s="266" t="s">
        <v>30</v>
      </c>
      <c r="AC22" s="266" t="s">
        <v>31</v>
      </c>
      <c r="AD22" s="266" t="s">
        <v>32</v>
      </c>
      <c r="AE22" s="267" t="s">
        <v>33</v>
      </c>
      <c r="AF22" s="14"/>
      <c r="AG22" s="14"/>
      <c r="AH22" s="14"/>
      <c r="AM22" s="154" t="s">
        <v>389</v>
      </c>
      <c r="AN22" s="81" t="s">
        <v>390</v>
      </c>
      <c r="AO22" s="81" t="s">
        <v>407</v>
      </c>
      <c r="AP22" s="3">
        <f>'Verwarming Tabula 2zone Ref 1'!B60+SUM(R10:R13)+R16</f>
        <v>91.923239162201668</v>
      </c>
      <c r="AQ22" s="81" t="s">
        <v>392</v>
      </c>
      <c r="AR22" s="204">
        <v>259</v>
      </c>
      <c r="AV22" s="205" t="s">
        <v>389</v>
      </c>
      <c r="AW22" s="205" t="s">
        <v>390</v>
      </c>
      <c r="AX22" s="205" t="s">
        <v>407</v>
      </c>
      <c r="AY22" s="207" t="s">
        <v>434</v>
      </c>
      <c r="AZ22" s="206">
        <f t="shared" si="3"/>
        <v>274</v>
      </c>
      <c r="BA22" s="205" t="s">
        <v>392</v>
      </c>
      <c r="BQ22" s="154" t="s">
        <v>389</v>
      </c>
      <c r="BR22" s="81" t="s">
        <v>390</v>
      </c>
      <c r="BS22" s="81" t="s">
        <v>407</v>
      </c>
      <c r="BT22" s="204">
        <f t="shared" ref="BT22" si="20">AR22</f>
        <v>259</v>
      </c>
      <c r="BU22" s="81" t="s">
        <v>392</v>
      </c>
      <c r="BV22" s="204">
        <v>259</v>
      </c>
      <c r="BX22" s="81" t="s">
        <v>462</v>
      </c>
      <c r="BY22" s="81">
        <f>AVERAGE(SUM(O27),O26)*(1/(1/8+SUM(AD31:AD32)/2+SUM(AD23:AD25)/4))</f>
        <v>263.77193533902113</v>
      </c>
      <c r="BZ22" s="211">
        <f>CC31</f>
        <v>274</v>
      </c>
      <c r="CA22" s="211"/>
      <c r="CB22" s="81" t="s">
        <v>480</v>
      </c>
      <c r="CC22" s="204">
        <v>-14.1</v>
      </c>
      <c r="CD22" s="204">
        <v>189</v>
      </c>
      <c r="CH22" s="81" t="s">
        <v>476</v>
      </c>
      <c r="CI22" s="204">
        <v>-6.33</v>
      </c>
      <c r="CJ22" s="204">
        <v>8.6699999999999999E-2</v>
      </c>
      <c r="CK22" s="81">
        <v>-73.040000000000006</v>
      </c>
      <c r="CL22" s="81" t="s">
        <v>505</v>
      </c>
      <c r="CN22" s="81" t="s">
        <v>479</v>
      </c>
      <c r="CO22" s="204">
        <v>-12.1</v>
      </c>
      <c r="CP22" s="204">
        <v>79.7</v>
      </c>
      <c r="CQ22" s="81">
        <v>-0.15</v>
      </c>
      <c r="CR22" s="81">
        <v>0.879</v>
      </c>
      <c r="CV22" s="212" t="s">
        <v>506</v>
      </c>
      <c r="CW22" s="81" t="s">
        <v>412</v>
      </c>
      <c r="CX22" s="204">
        <v>0.11</v>
      </c>
      <c r="CY22" s="204">
        <v>1.72E-6</v>
      </c>
      <c r="CZ22" s="81">
        <v>64117</v>
      </c>
      <c r="DA22" s="81" t="s">
        <v>505</v>
      </c>
      <c r="DB22" s="81" t="s">
        <v>510</v>
      </c>
      <c r="DF22" s="81" t="s">
        <v>389</v>
      </c>
      <c r="DG22" s="81" t="s">
        <v>390</v>
      </c>
      <c r="DH22" s="81" t="str">
        <f t="shared" si="14"/>
        <v>CiN</v>
      </c>
      <c r="DI22" s="81" t="s">
        <v>434</v>
      </c>
      <c r="DJ22" s="204">
        <f t="shared" si="15"/>
        <v>1700000</v>
      </c>
      <c r="DK22" s="81" t="s">
        <v>392</v>
      </c>
      <c r="DL22" s="81" t="s">
        <v>408</v>
      </c>
      <c r="DM22" s="289">
        <f t="shared" si="0"/>
        <v>49.736990917918547</v>
      </c>
      <c r="DN22" s="289">
        <f t="shared" si="1"/>
        <v>123.91573729863691</v>
      </c>
      <c r="DO22" s="289">
        <f t="shared" si="2"/>
        <v>155.27950310559004</v>
      </c>
      <c r="DQ22" s="290" t="s">
        <v>506</v>
      </c>
      <c r="DR22" s="290" t="s">
        <v>548</v>
      </c>
      <c r="DS22" s="291">
        <v>8.6199999999999999E-2</v>
      </c>
      <c r="DT22" s="291">
        <v>2.2200000000000001E-2</v>
      </c>
      <c r="DU22" s="290">
        <v>3.89</v>
      </c>
      <c r="DV22" s="290">
        <v>1E-4</v>
      </c>
      <c r="DW22" s="290" t="s">
        <v>510</v>
      </c>
      <c r="DY22" s="212" t="s">
        <v>568</v>
      </c>
      <c r="DZ22" s="295" t="s">
        <v>586</v>
      </c>
      <c r="EA22" s="292" t="s">
        <v>434</v>
      </c>
      <c r="EB22" s="293">
        <f t="shared" si="11"/>
        <v>0.35899999999999999</v>
      </c>
      <c r="EC22" s="212" t="s">
        <v>392</v>
      </c>
      <c r="EE22" s="160" t="s">
        <v>568</v>
      </c>
      <c r="EF22" s="324" t="s">
        <v>586</v>
      </c>
      <c r="EG22" s="322" t="s">
        <v>434</v>
      </c>
      <c r="EH22" s="160">
        <f>$O$10*$Z$37*$AP$42</f>
        <v>0.3872236946608007</v>
      </c>
      <c r="EI22" s="160" t="s">
        <v>392</v>
      </c>
      <c r="EK22" s="329" t="s">
        <v>506</v>
      </c>
      <c r="EL22" s="329" t="s">
        <v>548</v>
      </c>
      <c r="EM22" s="333">
        <v>9.6000000000000002E-2</v>
      </c>
      <c r="EN22" s="333">
        <v>0.125</v>
      </c>
      <c r="EO22" s="329">
        <v>0.77</v>
      </c>
      <c r="EP22" s="329">
        <v>0.44236999999999999</v>
      </c>
      <c r="ES22" s="330" t="s">
        <v>568</v>
      </c>
      <c r="ET22" s="335" t="s">
        <v>586</v>
      </c>
      <c r="EU22" s="331" t="s">
        <v>434</v>
      </c>
      <c r="EV22" s="332">
        <f t="shared" si="12"/>
        <v>0.25800000000000001</v>
      </c>
      <c r="EW22" s="330" t="s">
        <v>392</v>
      </c>
    </row>
    <row r="23" spans="1:153" ht="15" customHeight="1" thickTop="1" thickBot="1" x14ac:dyDescent="0.3">
      <c r="A23" s="223" t="s">
        <v>91</v>
      </c>
      <c r="B23" s="224">
        <f>B17+B6</f>
        <v>224</v>
      </c>
      <c r="C23" s="234" t="s">
        <v>9</v>
      </c>
      <c r="D23" s="220"/>
      <c r="E23" s="221"/>
      <c r="F23" s="221"/>
      <c r="G23" s="221"/>
      <c r="H23" s="222"/>
      <c r="I23" s="221"/>
      <c r="K23" s="81" t="s">
        <v>89</v>
      </c>
      <c r="L23" s="250">
        <v>0</v>
      </c>
      <c r="M23" s="251">
        <v>2</v>
      </c>
      <c r="N23" s="251" t="s">
        <v>54</v>
      </c>
      <c r="O23" s="252">
        <f>H12</f>
        <v>4.5</v>
      </c>
      <c r="P23" s="253" t="s">
        <v>45</v>
      </c>
      <c r="Q23" s="30">
        <f t="shared" si="6"/>
        <v>2</v>
      </c>
      <c r="R23" s="30">
        <f t="shared" si="7"/>
        <v>9</v>
      </c>
      <c r="S23" s="30">
        <f t="shared" si="17"/>
        <v>0</v>
      </c>
      <c r="T23" s="30">
        <f t="shared" si="18"/>
        <v>0</v>
      </c>
      <c r="U23" s="30">
        <f t="shared" si="19"/>
        <v>0</v>
      </c>
      <c r="V23" s="31"/>
      <c r="W23" s="3"/>
      <c r="X23" s="220"/>
      <c r="Y23" s="221" t="s">
        <v>90</v>
      </c>
      <c r="Z23" s="221">
        <v>0.02</v>
      </c>
      <c r="AA23" s="221">
        <v>0.6</v>
      </c>
      <c r="AB23" s="221">
        <v>975</v>
      </c>
      <c r="AC23" s="221">
        <v>840</v>
      </c>
      <c r="AD23" s="268">
        <f>Z23/AA23</f>
        <v>3.3333333333333333E-2</v>
      </c>
      <c r="AE23" s="222">
        <f>Z23*AB23*AC23</f>
        <v>16380</v>
      </c>
      <c r="AF23" s="14"/>
      <c r="AG23" s="14"/>
      <c r="AH23" s="14"/>
      <c r="AM23" s="154" t="s">
        <v>389</v>
      </c>
      <c r="AN23" s="81" t="s">
        <v>390</v>
      </c>
      <c r="AO23" s="81" t="s">
        <v>408</v>
      </c>
      <c r="AP23" s="81">
        <f>SUM(O6:O9)*1/(SUM(AD15:AD17)+1/23)</f>
        <v>49.736990917918547</v>
      </c>
      <c r="AQ23" s="81" t="s">
        <v>392</v>
      </c>
      <c r="AR23" s="81">
        <f>1/(0.00807)</f>
        <v>123.91573729863691</v>
      </c>
      <c r="AV23" s="205" t="s">
        <v>389</v>
      </c>
      <c r="AW23" s="205" t="s">
        <v>390</v>
      </c>
      <c r="AX23" s="205" t="s">
        <v>408</v>
      </c>
      <c r="AY23" s="207" t="s">
        <v>434</v>
      </c>
      <c r="AZ23" s="206">
        <f t="shared" si="3"/>
        <v>155.27950310559004</v>
      </c>
      <c r="BA23" s="205" t="s">
        <v>392</v>
      </c>
      <c r="BE23" s="208"/>
      <c r="BF23" s="208" t="s">
        <v>453</v>
      </c>
      <c r="BJ23" s="81" t="s">
        <v>295</v>
      </c>
      <c r="BK23" s="204">
        <f>BK9+BK10+BK11+BK12+BK18</f>
        <v>143810312.40000001</v>
      </c>
      <c r="BQ23" s="154" t="s">
        <v>389</v>
      </c>
      <c r="BR23" s="81" t="s">
        <v>390</v>
      </c>
      <c r="BS23" s="81" t="s">
        <v>408</v>
      </c>
      <c r="BT23" s="204">
        <f>AR23</f>
        <v>123.91573729863691</v>
      </c>
      <c r="BU23" s="81" t="s">
        <v>392</v>
      </c>
      <c r="BV23" s="81">
        <f>1/(0.00807)</f>
        <v>123.91573729863691</v>
      </c>
      <c r="BX23" s="81" t="s">
        <v>463</v>
      </c>
      <c r="BY23" s="81">
        <f>AVERAGE(SUM(O27),O14)*(1/(1/8+SUM(AD42:AD43)/2+SUM(AD23:AD25)/4))</f>
        <v>302.36814535158095</v>
      </c>
      <c r="BZ23" s="211">
        <f>1/CC37</f>
        <v>155.27950310559004</v>
      </c>
      <c r="CA23" s="211"/>
      <c r="CB23" s="81" t="s">
        <v>481</v>
      </c>
      <c r="CC23" s="204">
        <v>6.9400000000000003E-2</v>
      </c>
      <c r="CD23" s="204">
        <v>7.76E-4</v>
      </c>
      <c r="CH23" s="81" t="s">
        <v>477</v>
      </c>
      <c r="CI23" s="204">
        <v>-24.6</v>
      </c>
      <c r="CJ23" s="204">
        <v>1360</v>
      </c>
      <c r="CK23" s="81">
        <v>-0.02</v>
      </c>
      <c r="CL23" s="81">
        <v>0.99</v>
      </c>
      <c r="CN23" s="81" t="s">
        <v>481</v>
      </c>
      <c r="CO23" s="204">
        <v>0.19700000000000001</v>
      </c>
      <c r="CP23" s="204">
        <v>1.81E-3</v>
      </c>
      <c r="CQ23" s="81">
        <v>108.63</v>
      </c>
      <c r="CR23" s="81" t="s">
        <v>509</v>
      </c>
      <c r="CS23" s="204">
        <v>2E-16</v>
      </c>
      <c r="CT23" s="81" t="s">
        <v>510</v>
      </c>
      <c r="CV23" s="212">
        <v>16</v>
      </c>
      <c r="DF23" s="81" t="s">
        <v>389</v>
      </c>
      <c r="DG23" s="81" t="s">
        <v>390</v>
      </c>
      <c r="DH23" s="81" t="str">
        <f t="shared" si="14"/>
        <v>CwD</v>
      </c>
      <c r="DI23" s="81" t="s">
        <v>434</v>
      </c>
      <c r="DJ23" s="204">
        <f t="shared" si="15"/>
        <v>16300000</v>
      </c>
      <c r="DK23" s="81" t="s">
        <v>392</v>
      </c>
      <c r="DL23" s="81" t="s">
        <v>409</v>
      </c>
      <c r="DM23" s="289">
        <f t="shared" si="0"/>
        <v>20.614556962025318</v>
      </c>
      <c r="DN23" s="289">
        <f t="shared" si="1"/>
        <v>63.9</v>
      </c>
      <c r="DO23" s="289">
        <f t="shared" si="2"/>
        <v>58.3</v>
      </c>
      <c r="DQ23" s="290" t="s">
        <v>506</v>
      </c>
      <c r="DR23" s="290" t="s">
        <v>549</v>
      </c>
      <c r="DS23" s="291">
        <v>0.38800000000000001</v>
      </c>
      <c r="DT23" s="291">
        <v>2.98E-2</v>
      </c>
      <c r="DU23" s="290">
        <v>13.03</v>
      </c>
      <c r="DV23" s="290" t="s">
        <v>509</v>
      </c>
      <c r="DW23" s="291">
        <v>2E-16</v>
      </c>
      <c r="DX23" s="81" t="s">
        <v>510</v>
      </c>
      <c r="DY23" s="212" t="s">
        <v>568</v>
      </c>
      <c r="DZ23" s="294" t="s">
        <v>587</v>
      </c>
      <c r="EA23" s="292" t="s">
        <v>434</v>
      </c>
      <c r="EB23" s="293">
        <f t="shared" si="11"/>
        <v>0.19800000000000001</v>
      </c>
      <c r="EC23" s="212" t="s">
        <v>392</v>
      </c>
      <c r="EE23" s="160" t="s">
        <v>568</v>
      </c>
      <c r="EF23" s="323" t="s">
        <v>587</v>
      </c>
      <c r="EG23" s="322" t="s">
        <v>434</v>
      </c>
      <c r="EH23" s="160">
        <f>$O$12*$Z$37*$AP$42</f>
        <v>0.43024854962311188</v>
      </c>
      <c r="EI23" s="160" t="s">
        <v>392</v>
      </c>
      <c r="EK23" s="329" t="s">
        <v>506</v>
      </c>
      <c r="EL23" s="329" t="s">
        <v>549</v>
      </c>
      <c r="EM23" s="333">
        <v>0.46700000000000003</v>
      </c>
      <c r="EN23" s="333">
        <v>0.158</v>
      </c>
      <c r="EO23" s="329">
        <v>2.96</v>
      </c>
      <c r="EP23" s="329">
        <v>3.1099999999999999E-3</v>
      </c>
      <c r="EQ23" s="333" t="s">
        <v>516</v>
      </c>
      <c r="ES23" s="330" t="s">
        <v>568</v>
      </c>
      <c r="ET23" s="334" t="s">
        <v>587</v>
      </c>
      <c r="EU23" s="331" t="s">
        <v>434</v>
      </c>
      <c r="EV23" s="332">
        <f t="shared" si="12"/>
        <v>0.29899999999999999</v>
      </c>
      <c r="EW23" s="330" t="s">
        <v>392</v>
      </c>
    </row>
    <row r="24" spans="1:153" ht="15" customHeight="1" thickTop="1" thickBot="1" x14ac:dyDescent="0.3">
      <c r="A24" s="220" t="s">
        <v>94</v>
      </c>
      <c r="B24" s="240">
        <f>B23/B6</f>
        <v>1</v>
      </c>
      <c r="C24" s="221"/>
      <c r="D24" s="220" t="s">
        <v>95</v>
      </c>
      <c r="E24" s="221"/>
      <c r="F24" s="240">
        <f>B8/B6</f>
        <v>0.53839285714285712</v>
      </c>
      <c r="G24" s="221"/>
      <c r="H24" s="222"/>
      <c r="I24" s="221"/>
      <c r="K24" s="81" t="s">
        <v>92</v>
      </c>
      <c r="L24" s="250">
        <v>0</v>
      </c>
      <c r="M24" s="251">
        <v>2</v>
      </c>
      <c r="N24" s="251" t="s">
        <v>54</v>
      </c>
      <c r="O24" s="252">
        <f>H13</f>
        <v>5.05</v>
      </c>
      <c r="P24" s="253" t="s">
        <v>50</v>
      </c>
      <c r="Q24" s="30">
        <f t="shared" si="6"/>
        <v>2</v>
      </c>
      <c r="R24" s="30">
        <f t="shared" si="7"/>
        <v>10.1</v>
      </c>
      <c r="S24" s="30">
        <f t="shared" si="17"/>
        <v>0</v>
      </c>
      <c r="T24" s="30">
        <f t="shared" si="18"/>
        <v>0</v>
      </c>
      <c r="U24" s="30">
        <f t="shared" si="19"/>
        <v>0</v>
      </c>
      <c r="V24" s="31"/>
      <c r="W24" s="3"/>
      <c r="X24" s="220"/>
      <c r="Y24" s="221" t="s">
        <v>93</v>
      </c>
      <c r="Z24" s="221">
        <v>0.14000000000000001</v>
      </c>
      <c r="AA24" s="221">
        <v>0.54</v>
      </c>
      <c r="AB24" s="221">
        <v>1400</v>
      </c>
      <c r="AC24" s="221">
        <v>840</v>
      </c>
      <c r="AD24" s="268">
        <f>Z24/AA24</f>
        <v>0.25925925925925924</v>
      </c>
      <c r="AE24" s="222">
        <f>Z24*AB24*AC24</f>
        <v>164640.00000000003</v>
      </c>
      <c r="AF24" s="14"/>
      <c r="AG24" s="14"/>
      <c r="AH24" s="14"/>
      <c r="AM24" s="154" t="s">
        <v>389</v>
      </c>
      <c r="AN24" s="81" t="s">
        <v>390</v>
      </c>
      <c r="AO24" s="81" t="s">
        <v>409</v>
      </c>
      <c r="AP24" s="81">
        <f>SUM(O14)*1/(SUM(AD44:AD46)*4)</f>
        <v>20.614556962025318</v>
      </c>
      <c r="AQ24" s="81" t="s">
        <v>392</v>
      </c>
      <c r="AR24" s="204">
        <f>63.9</f>
        <v>63.9</v>
      </c>
      <c r="AV24" s="205" t="s">
        <v>389</v>
      </c>
      <c r="AW24" s="205" t="s">
        <v>390</v>
      </c>
      <c r="AX24" s="205" t="s">
        <v>409</v>
      </c>
      <c r="AY24" s="207" t="s">
        <v>434</v>
      </c>
      <c r="AZ24" s="206">
        <f t="shared" si="3"/>
        <v>58.3</v>
      </c>
      <c r="BA24" s="205" t="s">
        <v>392</v>
      </c>
      <c r="BF24" s="81" t="s">
        <v>281</v>
      </c>
      <c r="BG24" s="81">
        <f>1/(1/AP37+1/AP40)</f>
        <v>78.398284152245196</v>
      </c>
      <c r="BJ24" s="81" t="s">
        <v>122</v>
      </c>
      <c r="BK24" s="204">
        <f>BK20+BK21</f>
        <v>3241112.16</v>
      </c>
      <c r="BQ24" s="154" t="s">
        <v>389</v>
      </c>
      <c r="BR24" s="81" t="s">
        <v>390</v>
      </c>
      <c r="BS24" s="81" t="s">
        <v>409</v>
      </c>
      <c r="BT24" s="204">
        <f>AR24</f>
        <v>63.9</v>
      </c>
      <c r="BU24" s="81" t="s">
        <v>392</v>
      </c>
      <c r="BV24" s="204">
        <f>63.9</f>
        <v>63.9</v>
      </c>
      <c r="BX24" s="81" t="s">
        <v>464</v>
      </c>
      <c r="BY24" s="81">
        <f>AVERAGE(SUM(O26),O14)*(1/(1/8+SUM(AD42:AD43)/2+SUM(AD31:AD32)/4))</f>
        <v>396.73529411764707</v>
      </c>
      <c r="BZ24" s="211">
        <f>CC40</f>
        <v>58.3</v>
      </c>
      <c r="CA24" s="211"/>
      <c r="CB24" s="81" t="s">
        <v>482</v>
      </c>
      <c r="CC24" s="204">
        <v>0.14099999999999999</v>
      </c>
      <c r="CD24" s="204">
        <v>9.4499999999999998E-4</v>
      </c>
      <c r="CH24" s="81" t="s">
        <v>478</v>
      </c>
      <c r="CI24" s="204">
        <v>-13.1</v>
      </c>
      <c r="CJ24" s="204">
        <v>157</v>
      </c>
      <c r="CK24" s="81">
        <v>-0.08</v>
      </c>
      <c r="CL24" s="81">
        <v>0.93</v>
      </c>
      <c r="CN24" s="81" t="s">
        <v>482</v>
      </c>
      <c r="CO24" s="204">
        <v>4.9399999999999999E-2</v>
      </c>
      <c r="CP24" s="204">
        <v>3.4299999999999999E-4</v>
      </c>
      <c r="CQ24" s="81">
        <v>144.25</v>
      </c>
      <c r="CR24" s="81" t="s">
        <v>509</v>
      </c>
      <c r="CS24" s="204">
        <v>2E-16</v>
      </c>
      <c r="CT24" s="81" t="s">
        <v>510</v>
      </c>
      <c r="CV24" s="212" t="s">
        <v>506</v>
      </c>
      <c r="CW24" s="81" t="s">
        <v>423</v>
      </c>
      <c r="CX24" s="204">
        <v>0.17</v>
      </c>
      <c r="CY24" s="204">
        <v>2.6400000000000001E-6</v>
      </c>
      <c r="CZ24" s="81">
        <v>64508</v>
      </c>
      <c r="DA24" s="81" t="s">
        <v>505</v>
      </c>
      <c r="DB24" s="81" t="s">
        <v>510</v>
      </c>
      <c r="DF24" s="81" t="s">
        <v>389</v>
      </c>
      <c r="DG24" s="81" t="s">
        <v>390</v>
      </c>
      <c r="DH24" s="81" t="str">
        <f t="shared" si="14"/>
        <v>CwiD</v>
      </c>
      <c r="DI24" s="81" t="s">
        <v>434</v>
      </c>
      <c r="DJ24" s="204">
        <f t="shared" si="15"/>
        <v>26200000</v>
      </c>
      <c r="DK24" s="81" t="s">
        <v>392</v>
      </c>
      <c r="DM24" s="287">
        <f t="shared" si="0"/>
        <v>0</v>
      </c>
      <c r="DN24" s="287">
        <f t="shared" si="1"/>
        <v>0</v>
      </c>
      <c r="DO24" s="287">
        <f t="shared" si="2"/>
        <v>0</v>
      </c>
      <c r="DQ24" s="290" t="s">
        <v>506</v>
      </c>
      <c r="DR24" s="290" t="s">
        <v>550</v>
      </c>
      <c r="DS24" s="291">
        <v>0.33500000000000002</v>
      </c>
      <c r="DT24" s="291">
        <v>9.4000000000000004E-3</v>
      </c>
      <c r="DU24" s="290">
        <v>35.64</v>
      </c>
      <c r="DV24" s="290" t="s">
        <v>509</v>
      </c>
      <c r="DW24" s="291">
        <v>2E-16</v>
      </c>
      <c r="DX24" s="81" t="s">
        <v>510</v>
      </c>
      <c r="DY24" s="212" t="s">
        <v>568</v>
      </c>
      <c r="DZ24" s="292" t="s">
        <v>588</v>
      </c>
      <c r="EA24" s="292" t="s">
        <v>434</v>
      </c>
      <c r="EB24" s="293">
        <f t="shared" si="11"/>
        <v>4.6100000000000002E-2</v>
      </c>
      <c r="EC24" s="212" t="s">
        <v>392</v>
      </c>
      <c r="EE24" s="160" t="s">
        <v>568</v>
      </c>
      <c r="EF24" s="322" t="s">
        <v>588</v>
      </c>
      <c r="EG24" s="322" t="s">
        <v>434</v>
      </c>
      <c r="EH24" s="160">
        <f>$O$13*$Z$37*$AP$42</f>
        <v>0.48283448346593671</v>
      </c>
      <c r="EI24" s="160" t="s">
        <v>392</v>
      </c>
      <c r="EK24" s="329" t="s">
        <v>506</v>
      </c>
      <c r="EL24" s="329" t="s">
        <v>550</v>
      </c>
      <c r="EM24" s="333">
        <v>0.58899999999999997</v>
      </c>
      <c r="EN24" s="333">
        <v>3.15E-2</v>
      </c>
      <c r="EO24" s="329">
        <v>18.670000000000002</v>
      </c>
      <c r="EP24" s="329" t="s">
        <v>509</v>
      </c>
      <c r="EQ24" s="333">
        <v>2E-16</v>
      </c>
      <c r="ER24" s="329" t="s">
        <v>510</v>
      </c>
      <c r="ES24" s="330" t="s">
        <v>568</v>
      </c>
      <c r="ET24" s="331" t="s">
        <v>588</v>
      </c>
      <c r="EU24" s="331" t="s">
        <v>434</v>
      </c>
      <c r="EV24" s="332">
        <f t="shared" si="12"/>
        <v>0.20899999999999999</v>
      </c>
      <c r="EW24" s="330" t="s">
        <v>392</v>
      </c>
    </row>
    <row r="25" spans="1:153" ht="15" customHeight="1" thickTop="1" thickBot="1" x14ac:dyDescent="0.3">
      <c r="A25" s="237"/>
      <c r="B25" s="219"/>
      <c r="C25" s="219"/>
      <c r="D25" s="220"/>
      <c r="E25" s="221"/>
      <c r="F25" s="221"/>
      <c r="G25" s="221"/>
      <c r="H25" s="222"/>
      <c r="I25" s="221"/>
      <c r="K25" s="81" t="s">
        <v>96</v>
      </c>
      <c r="L25" s="250">
        <v>0</v>
      </c>
      <c r="M25" s="251">
        <v>2</v>
      </c>
      <c r="N25" s="251" t="s">
        <v>20</v>
      </c>
      <c r="O25" s="252">
        <f>'[1]Tabula data'!B7</f>
        <v>108.5</v>
      </c>
      <c r="P25" s="253" t="s">
        <v>97</v>
      </c>
      <c r="Q25" s="30">
        <f t="shared" si="6"/>
        <v>0.27062537995411134</v>
      </c>
      <c r="R25" s="30">
        <f t="shared" si="7"/>
        <v>29.362853725021083</v>
      </c>
      <c r="S25" s="30">
        <f t="shared" si="17"/>
        <v>7181832</v>
      </c>
      <c r="T25" s="30">
        <f t="shared" si="18"/>
        <v>66192</v>
      </c>
      <c r="U25" s="30">
        <f t="shared" si="19"/>
        <v>3308382</v>
      </c>
      <c r="V25" s="31"/>
      <c r="W25" s="3"/>
      <c r="X25" s="237"/>
      <c r="Y25" s="219" t="s">
        <v>90</v>
      </c>
      <c r="Z25" s="219">
        <v>0.02</v>
      </c>
      <c r="AA25" s="219">
        <v>0.6</v>
      </c>
      <c r="AB25" s="219">
        <v>975</v>
      </c>
      <c r="AC25" s="219">
        <v>840</v>
      </c>
      <c r="AD25" s="269">
        <f>Z25/AA25</f>
        <v>3.3333333333333333E-2</v>
      </c>
      <c r="AE25" s="242">
        <f>Z25*AB25*AC25</f>
        <v>16380</v>
      </c>
      <c r="AF25" s="14"/>
      <c r="AG25" s="14"/>
      <c r="AH25" s="14"/>
      <c r="AQ25" s="81" t="s">
        <v>392</v>
      </c>
      <c r="AV25" s="205"/>
      <c r="AW25" s="205"/>
      <c r="AX25" s="205"/>
      <c r="AY25" s="207"/>
      <c r="BA25" s="205"/>
      <c r="BF25" s="81" t="s">
        <v>282</v>
      </c>
      <c r="BG25" s="3">
        <f>AP39</f>
        <v>51.346760837798342</v>
      </c>
      <c r="BJ25" s="81" t="s">
        <v>454</v>
      </c>
      <c r="BK25" s="204">
        <f>BK23+BK24</f>
        <v>147051424.56</v>
      </c>
      <c r="BT25" s="204"/>
      <c r="BU25" s="81" t="s">
        <v>392</v>
      </c>
      <c r="CB25" s="81" t="s">
        <v>483</v>
      </c>
      <c r="CC25" s="204">
        <v>0.76</v>
      </c>
      <c r="CD25" s="204">
        <v>3.9399999999999999E-3</v>
      </c>
      <c r="CH25" s="81" t="s">
        <v>479</v>
      </c>
      <c r="CI25" s="204">
        <v>-14.4</v>
      </c>
      <c r="CJ25" s="204">
        <v>199</v>
      </c>
      <c r="CK25" s="81">
        <v>-7.0000000000000007E-2</v>
      </c>
      <c r="CL25" s="81">
        <v>0.94</v>
      </c>
      <c r="CN25" s="81" t="s">
        <v>483</v>
      </c>
      <c r="CO25" s="204">
        <v>0.59799999999999998</v>
      </c>
      <c r="CP25" s="204">
        <v>1.04E-2</v>
      </c>
      <c r="CQ25" s="81">
        <v>57.36</v>
      </c>
      <c r="CR25" s="81" t="s">
        <v>509</v>
      </c>
      <c r="CS25" s="204">
        <v>2E-16</v>
      </c>
      <c r="CT25" s="81" t="s">
        <v>510</v>
      </c>
      <c r="CV25" s="212" t="s">
        <v>506</v>
      </c>
      <c r="CW25" s="81" t="s">
        <v>424</v>
      </c>
      <c r="CX25" s="204">
        <v>0.34</v>
      </c>
      <c r="CY25" s="204">
        <v>5.1800000000000004E-6</v>
      </c>
      <c r="CZ25" s="81">
        <v>65643</v>
      </c>
      <c r="DA25" s="81" t="s">
        <v>505</v>
      </c>
      <c r="DB25" s="81" t="s">
        <v>510</v>
      </c>
      <c r="DF25" s="81" t="s">
        <v>389</v>
      </c>
      <c r="DG25" s="81" t="s">
        <v>390</v>
      </c>
      <c r="DH25" s="81" t="str">
        <f t="shared" si="14"/>
        <v>CwiN</v>
      </c>
      <c r="DI25" s="81" t="s">
        <v>434</v>
      </c>
      <c r="DJ25" s="204">
        <f t="shared" si="15"/>
        <v>5730000</v>
      </c>
      <c r="DK25" s="81" t="s">
        <v>392</v>
      </c>
      <c r="DL25" s="81" t="s">
        <v>410</v>
      </c>
      <c r="DM25" s="286">
        <f t="shared" si="0"/>
        <v>0.34066631069566627</v>
      </c>
      <c r="DN25" s="286">
        <f t="shared" si="1"/>
        <v>0.41399999999999998</v>
      </c>
      <c r="DO25" s="286">
        <f t="shared" si="2"/>
        <v>0.44800000000000001</v>
      </c>
      <c r="DQ25" s="290" t="s">
        <v>506</v>
      </c>
      <c r="DR25" s="290" t="s">
        <v>551</v>
      </c>
      <c r="DS25" s="291">
        <v>0.44800000000000001</v>
      </c>
      <c r="DT25" s="291">
        <v>2.4500000000000001E-2</v>
      </c>
      <c r="DU25" s="290">
        <v>18.309999999999999</v>
      </c>
      <c r="DV25" s="290" t="s">
        <v>509</v>
      </c>
      <c r="DW25" s="291">
        <v>2E-16</v>
      </c>
      <c r="DX25" s="81" t="s">
        <v>510</v>
      </c>
      <c r="EA25" s="292"/>
      <c r="EE25" s="160"/>
      <c r="EF25" s="160"/>
      <c r="EG25" s="322"/>
      <c r="EH25" s="160"/>
      <c r="EI25" s="160"/>
      <c r="EK25" s="329" t="s">
        <v>506</v>
      </c>
      <c r="EL25" s="329" t="s">
        <v>551</v>
      </c>
      <c r="EM25" s="333">
        <v>0.52500000000000002</v>
      </c>
      <c r="EN25" s="333">
        <v>5.8799999999999998E-2</v>
      </c>
      <c r="EO25" s="329">
        <v>8.94</v>
      </c>
      <c r="EP25" s="329" t="s">
        <v>509</v>
      </c>
      <c r="EQ25" s="333">
        <v>2E-16</v>
      </c>
      <c r="ER25" s="329" t="s">
        <v>510</v>
      </c>
      <c r="EU25" s="331"/>
    </row>
    <row r="26" spans="1:153" ht="15" customHeight="1" thickTop="1" thickBot="1" x14ac:dyDescent="0.3">
      <c r="A26" s="223" t="s">
        <v>100</v>
      </c>
      <c r="B26" s="241">
        <f>'Tabula data'!B6</f>
        <v>410</v>
      </c>
      <c r="C26" s="235" t="s">
        <v>9</v>
      </c>
      <c r="D26" s="220"/>
      <c r="E26" s="221"/>
      <c r="F26" s="221"/>
      <c r="G26" s="221"/>
      <c r="H26" s="222"/>
      <c r="I26" s="221"/>
      <c r="K26" s="81" t="s">
        <v>98</v>
      </c>
      <c r="L26" s="250">
        <v>1</v>
      </c>
      <c r="M26" s="251">
        <v>2</v>
      </c>
      <c r="N26" s="251" t="s">
        <v>99</v>
      </c>
      <c r="O26" s="252">
        <f>'[1]Tabula data'!B4-'[1]Tabula data'!B14</f>
        <v>89.300000000000011</v>
      </c>
      <c r="P26" s="253"/>
      <c r="Q26" s="30">
        <f t="shared" si="6"/>
        <v>1.0482529118136439</v>
      </c>
      <c r="R26" s="30">
        <f t="shared" si="7"/>
        <v>93.608985024958415</v>
      </c>
      <c r="S26" s="30">
        <f t="shared" si="17"/>
        <v>41572722.000000007</v>
      </c>
      <c r="T26" s="30">
        <f t="shared" si="18"/>
        <v>465540</v>
      </c>
      <c r="U26" s="30">
        <f t="shared" si="19"/>
        <v>41572722.000000007</v>
      </c>
      <c r="V26" s="31"/>
      <c r="W26" s="3"/>
      <c r="X26" s="258"/>
      <c r="Y26" s="258"/>
      <c r="Z26" s="258"/>
      <c r="AA26" s="258"/>
      <c r="AB26" s="258"/>
      <c r="AC26" s="258"/>
      <c r="AD26" s="258"/>
      <c r="AE26" s="258"/>
      <c r="AF26" s="14"/>
      <c r="AG26" s="14"/>
      <c r="AH26" s="14"/>
      <c r="AM26" s="154" t="s">
        <v>389</v>
      </c>
      <c r="AN26" s="81" t="s">
        <v>390</v>
      </c>
      <c r="AO26" s="81" t="s">
        <v>410</v>
      </c>
      <c r="AP26" s="81">
        <f>SUM(O17:O20,O25)/SUM(O$17:O$25,2*O$28,O$26,O31,2*O29)</f>
        <v>0.34066631069566627</v>
      </c>
      <c r="AQ26" s="81" t="s">
        <v>392</v>
      </c>
      <c r="AR26" s="204">
        <v>0.41399999999999998</v>
      </c>
      <c r="AV26" s="205" t="s">
        <v>389</v>
      </c>
      <c r="AW26" s="205" t="s">
        <v>390</v>
      </c>
      <c r="AX26" s="205" t="s">
        <v>410</v>
      </c>
      <c r="AY26" s="207" t="s">
        <v>434</v>
      </c>
      <c r="AZ26" s="206">
        <f t="shared" si="3"/>
        <v>0.44800000000000001</v>
      </c>
      <c r="BA26" s="205" t="s">
        <v>392</v>
      </c>
      <c r="BF26" s="81" t="s">
        <v>295</v>
      </c>
      <c r="BG26" s="204">
        <f>AP31+AP32</f>
        <v>43428471.899999999</v>
      </c>
      <c r="BQ26" s="154" t="s">
        <v>389</v>
      </c>
      <c r="BR26" s="81" t="s">
        <v>390</v>
      </c>
      <c r="BS26" s="81" t="s">
        <v>410</v>
      </c>
      <c r="BT26" s="204">
        <f t="shared" ref="BT26:BT50" si="21">AR26</f>
        <v>0.41399999999999998</v>
      </c>
      <c r="BU26" s="81" t="s">
        <v>392</v>
      </c>
      <c r="BV26" s="204">
        <v>0.41399999999999998</v>
      </c>
      <c r="BZ26" s="211">
        <f>CO11</f>
        <v>0.44800000000000001</v>
      </c>
      <c r="CA26" s="211"/>
      <c r="CB26" s="81" t="s">
        <v>484</v>
      </c>
      <c r="CC26" s="204">
        <v>6.4100000000000004E-2</v>
      </c>
      <c r="CD26" s="204">
        <v>4.3300000000000001E-4</v>
      </c>
      <c r="CH26" s="81" t="s">
        <v>480</v>
      </c>
      <c r="CI26" s="204">
        <v>-14.1</v>
      </c>
      <c r="CJ26" s="204">
        <v>189</v>
      </c>
      <c r="CK26" s="81">
        <v>-7.0000000000000007E-2</v>
      </c>
      <c r="CL26" s="81">
        <v>0.94</v>
      </c>
      <c r="CN26" s="81" t="s">
        <v>484</v>
      </c>
      <c r="CO26" s="204">
        <v>9.5100000000000004E-2</v>
      </c>
      <c r="CP26" s="204">
        <v>9.5799999999999998E-4</v>
      </c>
      <c r="CQ26" s="81">
        <v>99.29</v>
      </c>
      <c r="CR26" s="81" t="s">
        <v>509</v>
      </c>
      <c r="CS26" s="204">
        <v>2E-16</v>
      </c>
      <c r="CT26" s="81" t="s">
        <v>510</v>
      </c>
      <c r="CV26" s="212" t="s">
        <v>506</v>
      </c>
      <c r="CW26" s="81" t="s">
        <v>515</v>
      </c>
      <c r="CX26" s="204">
        <v>31500000</v>
      </c>
      <c r="CY26" s="204">
        <v>157</v>
      </c>
      <c r="CZ26" s="81">
        <v>200875</v>
      </c>
      <c r="DA26" s="81" t="s">
        <v>505</v>
      </c>
      <c r="DB26" s="81" t="s">
        <v>510</v>
      </c>
      <c r="DF26" s="81" t="s">
        <v>389</v>
      </c>
      <c r="DG26" s="81" t="s">
        <v>390</v>
      </c>
      <c r="DH26" s="81" t="str">
        <f t="shared" si="14"/>
        <v>CwN</v>
      </c>
      <c r="DI26" s="81" t="s">
        <v>434</v>
      </c>
      <c r="DJ26" s="204">
        <f t="shared" si="15"/>
        <v>5800000</v>
      </c>
      <c r="DK26" s="81" t="s">
        <v>392</v>
      </c>
      <c r="DL26" s="81" t="s">
        <v>411</v>
      </c>
      <c r="DM26" s="286">
        <f t="shared" si="0"/>
        <v>0.4641274369250431</v>
      </c>
      <c r="DN26" s="286">
        <f t="shared" si="1"/>
        <v>0.111</v>
      </c>
      <c r="DO26" s="286">
        <f t="shared" si="2"/>
        <v>0.15</v>
      </c>
      <c r="DQ26" s="290" t="s">
        <v>506</v>
      </c>
      <c r="DR26" s="290" t="s">
        <v>552</v>
      </c>
      <c r="DS26" s="291">
        <v>0.40600000000000003</v>
      </c>
      <c r="DT26" s="291">
        <v>5.1599999999999997E-3</v>
      </c>
      <c r="DU26" s="290">
        <v>78.78</v>
      </c>
      <c r="DV26" s="290" t="s">
        <v>509</v>
      </c>
      <c r="DW26" s="291">
        <v>2E-16</v>
      </c>
      <c r="DX26" s="81" t="s">
        <v>510</v>
      </c>
      <c r="DZ26" s="292"/>
      <c r="EA26" s="292"/>
      <c r="EB26" s="293"/>
      <c r="EE26" s="160"/>
      <c r="EF26" s="322"/>
      <c r="EG26" s="322"/>
      <c r="EH26" s="160"/>
      <c r="EI26" s="160"/>
      <c r="EK26" s="329" t="s">
        <v>506</v>
      </c>
      <c r="EL26" s="329" t="s">
        <v>552</v>
      </c>
      <c r="EM26" s="333">
        <v>0.70899999999999996</v>
      </c>
      <c r="EN26" s="333">
        <v>1.2999999999999999E-2</v>
      </c>
      <c r="EO26" s="329">
        <v>54.34</v>
      </c>
      <c r="EP26" s="329" t="s">
        <v>509</v>
      </c>
      <c r="EQ26" s="333">
        <v>2E-16</v>
      </c>
      <c r="ER26" s="329" t="s">
        <v>510</v>
      </c>
      <c r="ET26" s="331"/>
      <c r="EU26" s="331"/>
      <c r="EV26" s="332"/>
    </row>
    <row r="27" spans="1:153" ht="15" customHeight="1" thickTop="1" thickBot="1" x14ac:dyDescent="0.3">
      <c r="A27" s="220"/>
      <c r="B27" s="240">
        <f>SUM(O6:O25)</f>
        <v>398.70000000000005</v>
      </c>
      <c r="C27" s="222"/>
      <c r="D27" s="220"/>
      <c r="E27" s="221"/>
      <c r="F27" s="221"/>
      <c r="G27" s="221"/>
      <c r="H27" s="222"/>
      <c r="I27" s="221"/>
      <c r="K27" s="81" t="s">
        <v>101</v>
      </c>
      <c r="L27" s="250">
        <v>1</v>
      </c>
      <c r="M27" s="251">
        <v>1</v>
      </c>
      <c r="N27" s="251" t="s">
        <v>85</v>
      </c>
      <c r="O27" s="252">
        <f>SUM(O6:O9)</f>
        <v>66.102142857142866</v>
      </c>
      <c r="P27" s="253"/>
      <c r="Q27" s="30">
        <f t="shared" si="6"/>
        <v>1.210762331838565</v>
      </c>
      <c r="R27" s="30">
        <f t="shared" si="7"/>
        <v>80.033984625240237</v>
      </c>
      <c r="S27" s="30">
        <f t="shared" si="17"/>
        <v>13048563.000000004</v>
      </c>
      <c r="T27" s="30">
        <f t="shared" si="18"/>
        <v>197400.00000000003</v>
      </c>
      <c r="U27" s="30">
        <f t="shared" si="19"/>
        <v>13048563.000000004</v>
      </c>
      <c r="V27" s="31"/>
      <c r="W27" s="3"/>
      <c r="X27" s="260" t="s">
        <v>99</v>
      </c>
      <c r="Y27" s="261"/>
      <c r="Z27" s="262" t="s">
        <v>21</v>
      </c>
      <c r="AA27" s="263">
        <f>1/(1/5+SUM(AD29:AD32)+1/3)</f>
        <v>1.0482529118136439</v>
      </c>
      <c r="AB27" s="261" t="s">
        <v>5</v>
      </c>
      <c r="AC27" s="261"/>
      <c r="AD27" s="261" t="s">
        <v>22</v>
      </c>
      <c r="AE27" s="264">
        <f>SUM(AE29:AE33)</f>
        <v>465540</v>
      </c>
      <c r="AF27" s="14" t="s">
        <v>23</v>
      </c>
      <c r="AG27" s="14">
        <f>SUM(AE29:AE32)</f>
        <v>465540</v>
      </c>
      <c r="AH27" s="14"/>
      <c r="AM27" s="154" t="s">
        <v>389</v>
      </c>
      <c r="AN27" s="81" t="s">
        <v>390</v>
      </c>
      <c r="AO27" s="81" t="s">
        <v>411</v>
      </c>
      <c r="AP27" s="81">
        <f>SUM(2*O28,2*O29,O31)/SUM(O$17:O$25,2*O$28,O$26,O31,2*O29)</f>
        <v>0.4641274369250431</v>
      </c>
      <c r="AQ27" s="81" t="s">
        <v>392</v>
      </c>
      <c r="AR27" s="204">
        <v>0.111</v>
      </c>
      <c r="AV27" s="205" t="s">
        <v>389</v>
      </c>
      <c r="AW27" s="205" t="s">
        <v>390</v>
      </c>
      <c r="AX27" s="205" t="s">
        <v>411</v>
      </c>
      <c r="AY27" s="207" t="s">
        <v>434</v>
      </c>
      <c r="AZ27" s="206">
        <f t="shared" si="3"/>
        <v>0.15</v>
      </c>
      <c r="BA27" s="205" t="s">
        <v>392</v>
      </c>
      <c r="BF27" s="81" t="s">
        <v>122</v>
      </c>
      <c r="BG27" s="204">
        <f>AP30</f>
        <v>1336649.5999999999</v>
      </c>
      <c r="BJ27" s="81" t="s">
        <v>455</v>
      </c>
      <c r="BK27" s="204">
        <v>-1000000</v>
      </c>
      <c r="BQ27" s="154" t="s">
        <v>389</v>
      </c>
      <c r="BR27" s="81" t="s">
        <v>390</v>
      </c>
      <c r="BS27" s="81" t="s">
        <v>411</v>
      </c>
      <c r="BT27" s="204">
        <f t="shared" si="21"/>
        <v>0.111</v>
      </c>
      <c r="BU27" s="81" t="s">
        <v>392</v>
      </c>
      <c r="BV27" s="204">
        <v>0.111</v>
      </c>
      <c r="BZ27" s="211">
        <f t="shared" ref="BZ27:BZ28" si="22">CO12</f>
        <v>0.15</v>
      </c>
      <c r="CA27" s="211"/>
      <c r="CB27" s="81" t="s">
        <v>485</v>
      </c>
      <c r="CC27" s="204">
        <v>5.4300000000000001E-2</v>
      </c>
      <c r="CD27" s="204">
        <v>4.44E-4</v>
      </c>
      <c r="CH27" s="81" t="s">
        <v>481</v>
      </c>
      <c r="CI27" s="204">
        <v>6.9400000000000003E-2</v>
      </c>
      <c r="CJ27" s="204">
        <v>7.76E-4</v>
      </c>
      <c r="CK27" s="81">
        <v>89.38</v>
      </c>
      <c r="CL27" s="81" t="s">
        <v>505</v>
      </c>
      <c r="CN27" s="81" t="s">
        <v>486</v>
      </c>
      <c r="CO27" s="204">
        <v>194</v>
      </c>
      <c r="CP27" s="204">
        <v>5.16</v>
      </c>
      <c r="CQ27" s="81">
        <v>37.520000000000003</v>
      </c>
      <c r="CR27" s="81" t="s">
        <v>509</v>
      </c>
      <c r="CS27" s="204">
        <v>2E-16</v>
      </c>
      <c r="CT27" s="81" t="s">
        <v>510</v>
      </c>
      <c r="CV27" s="212" t="s">
        <v>506</v>
      </c>
      <c r="CW27" s="81" t="s">
        <v>426</v>
      </c>
      <c r="CX27" s="204">
        <v>67000000</v>
      </c>
      <c r="CY27" s="204">
        <v>330</v>
      </c>
      <c r="CZ27" s="81">
        <v>203280</v>
      </c>
      <c r="DA27" s="81" t="s">
        <v>505</v>
      </c>
      <c r="DB27" s="81" t="s">
        <v>510</v>
      </c>
      <c r="DJ27" s="204"/>
      <c r="DL27" s="81" t="s">
        <v>412</v>
      </c>
      <c r="DM27" s="286">
        <f t="shared" si="0"/>
        <v>3.1295407645198926E-2</v>
      </c>
      <c r="DN27" s="286">
        <f t="shared" si="1"/>
        <v>0.251</v>
      </c>
      <c r="DO27" s="286">
        <f t="shared" si="2"/>
        <v>4.4699999999999997E-2</v>
      </c>
      <c r="DQ27" s="290" t="s">
        <v>506</v>
      </c>
      <c r="DR27" s="290" t="s">
        <v>553</v>
      </c>
      <c r="DS27" s="291">
        <v>0.42</v>
      </c>
      <c r="DT27" s="291">
        <v>5.6699999999999997E-3</v>
      </c>
      <c r="DU27" s="290">
        <v>74.010000000000005</v>
      </c>
      <c r="DV27" s="290" t="s">
        <v>509</v>
      </c>
      <c r="DW27" s="291">
        <v>2E-16</v>
      </c>
      <c r="DX27" s="81" t="s">
        <v>510</v>
      </c>
      <c r="DY27" s="212" t="s">
        <v>568</v>
      </c>
      <c r="DZ27" s="292" t="s">
        <v>399</v>
      </c>
      <c r="EA27" s="292" t="s">
        <v>434</v>
      </c>
      <c r="EB27" s="293">
        <f>DS33</f>
        <v>7370000</v>
      </c>
      <c r="EC27" s="212" t="s">
        <v>392</v>
      </c>
      <c r="EE27" s="160" t="s">
        <v>568</v>
      </c>
      <c r="EF27" s="322" t="s">
        <v>399</v>
      </c>
      <c r="EG27" s="322" t="s">
        <v>434</v>
      </c>
      <c r="EH27" s="326">
        <f>$AP12</f>
        <v>11473264</v>
      </c>
      <c r="EI27" s="160" t="s">
        <v>392</v>
      </c>
      <c r="EK27" s="329" t="s">
        <v>506</v>
      </c>
      <c r="EL27" s="329" t="s">
        <v>553</v>
      </c>
      <c r="EM27" s="333">
        <v>0.69799999999999995</v>
      </c>
      <c r="EN27" s="333">
        <v>1.32E-2</v>
      </c>
      <c r="EO27" s="329">
        <v>52.74</v>
      </c>
      <c r="EP27" s="329" t="s">
        <v>509</v>
      </c>
      <c r="EQ27" s="333">
        <v>2E-16</v>
      </c>
      <c r="ER27" s="329" t="s">
        <v>510</v>
      </c>
      <c r="ES27" s="330" t="s">
        <v>568</v>
      </c>
      <c r="ET27" s="331" t="s">
        <v>399</v>
      </c>
      <c r="EU27" s="331" t="s">
        <v>434</v>
      </c>
      <c r="EV27" s="332">
        <f>EM33</f>
        <v>8090000</v>
      </c>
      <c r="EW27" s="330" t="s">
        <v>392</v>
      </c>
    </row>
    <row r="28" spans="1:153" ht="15" customHeight="1" thickTop="1" thickBot="1" x14ac:dyDescent="0.3">
      <c r="A28" s="220"/>
      <c r="B28" s="221"/>
      <c r="C28" s="222"/>
      <c r="D28" s="220"/>
      <c r="E28" s="221"/>
      <c r="F28" s="221"/>
      <c r="G28" s="221"/>
      <c r="H28" s="222"/>
      <c r="I28" s="221"/>
      <c r="K28" s="81" t="s">
        <v>102</v>
      </c>
      <c r="L28" s="250">
        <v>2</v>
      </c>
      <c r="M28" s="251">
        <v>2</v>
      </c>
      <c r="N28" s="251" t="s">
        <v>85</v>
      </c>
      <c r="O28" s="252">
        <f>SUM(O17:O20)</f>
        <v>77.097857142857151</v>
      </c>
      <c r="P28" s="253"/>
      <c r="Q28" s="30">
        <f t="shared" si="6"/>
        <v>1.210762331838565</v>
      </c>
      <c r="R28" s="30">
        <f t="shared" si="7"/>
        <v>93.347181294042286</v>
      </c>
      <c r="S28" s="30">
        <f t="shared" si="17"/>
        <v>15219117.000000004</v>
      </c>
      <c r="T28" s="30">
        <f t="shared" si="18"/>
        <v>197400.00000000003</v>
      </c>
      <c r="U28" s="30">
        <f t="shared" si="19"/>
        <v>15219117.000000004</v>
      </c>
      <c r="V28" s="31"/>
      <c r="W28" s="3"/>
      <c r="X28" s="265"/>
      <c r="Y28" s="266" t="s">
        <v>27</v>
      </c>
      <c r="Z28" s="266" t="s">
        <v>28</v>
      </c>
      <c r="AA28" s="266" t="s">
        <v>29</v>
      </c>
      <c r="AB28" s="266" t="s">
        <v>30</v>
      </c>
      <c r="AC28" s="266" t="s">
        <v>31</v>
      </c>
      <c r="AD28" s="266" t="s">
        <v>32</v>
      </c>
      <c r="AE28" s="267" t="s">
        <v>33</v>
      </c>
      <c r="AF28" s="14"/>
      <c r="AG28" s="14"/>
      <c r="AH28" s="14"/>
      <c r="AM28" s="154" t="s">
        <v>389</v>
      </c>
      <c r="AN28" s="81" t="s">
        <v>390</v>
      </c>
      <c r="AO28" s="81" t="s">
        <v>412</v>
      </c>
      <c r="AP28" s="81">
        <f>SUM(O21:O24)/SUM(O$17:O$25,2*O$28,O$26,O31,2*O29)</f>
        <v>3.1295407645198926E-2</v>
      </c>
      <c r="AQ28" s="81" t="s">
        <v>392</v>
      </c>
      <c r="AR28" s="204">
        <v>0.251</v>
      </c>
      <c r="AV28" s="205" t="s">
        <v>389</v>
      </c>
      <c r="AW28" s="205" t="s">
        <v>390</v>
      </c>
      <c r="AX28" s="205" t="s">
        <v>412</v>
      </c>
      <c r="AY28" s="207" t="s">
        <v>434</v>
      </c>
      <c r="AZ28" s="206">
        <f t="shared" si="3"/>
        <v>4.4699999999999997E-2</v>
      </c>
      <c r="BA28" s="205" t="s">
        <v>392</v>
      </c>
      <c r="BF28" s="81" t="s">
        <v>449</v>
      </c>
      <c r="BG28" s="204">
        <f>BG26+BG27</f>
        <v>44765121.5</v>
      </c>
      <c r="BJ28" s="81" t="s">
        <v>456</v>
      </c>
      <c r="BK28" s="204">
        <v>-1000000</v>
      </c>
      <c r="BQ28" s="154" t="s">
        <v>389</v>
      </c>
      <c r="BR28" s="81" t="s">
        <v>390</v>
      </c>
      <c r="BS28" s="81" t="s">
        <v>412</v>
      </c>
      <c r="BT28" s="204">
        <f t="shared" si="21"/>
        <v>0.251</v>
      </c>
      <c r="BU28" s="81" t="s">
        <v>392</v>
      </c>
      <c r="BV28" s="204">
        <v>0.251</v>
      </c>
      <c r="BZ28" s="211">
        <f t="shared" si="22"/>
        <v>4.4699999999999997E-2</v>
      </c>
      <c r="CA28" s="211"/>
      <c r="CB28" s="81" t="s">
        <v>486</v>
      </c>
      <c r="CC28" s="204">
        <v>259</v>
      </c>
      <c r="CD28" s="204">
        <v>2.63</v>
      </c>
      <c r="CH28" s="81" t="s">
        <v>482</v>
      </c>
      <c r="CI28" s="204">
        <v>0.14099999999999999</v>
      </c>
      <c r="CJ28" s="204">
        <v>9.4499999999999998E-4</v>
      </c>
      <c r="CK28" s="81">
        <v>148.78</v>
      </c>
      <c r="CL28" s="81" t="s">
        <v>505</v>
      </c>
      <c r="CN28" s="81" t="s">
        <v>285</v>
      </c>
      <c r="CO28" s="204">
        <v>83.2</v>
      </c>
      <c r="CP28" s="204">
        <v>0.88100000000000001</v>
      </c>
      <c r="CQ28" s="81">
        <v>94.5</v>
      </c>
      <c r="CR28" s="81" t="s">
        <v>509</v>
      </c>
      <c r="CS28" s="204">
        <v>2E-16</v>
      </c>
      <c r="CT28" s="81" t="s">
        <v>510</v>
      </c>
      <c r="CV28" s="212" t="s">
        <v>506</v>
      </c>
      <c r="CW28" s="81" t="s">
        <v>396</v>
      </c>
      <c r="CX28" s="204">
        <v>2700000</v>
      </c>
      <c r="CY28" s="204">
        <v>8.4600000000000009</v>
      </c>
      <c r="CZ28" s="81">
        <v>319026</v>
      </c>
      <c r="DA28" s="81" t="s">
        <v>505</v>
      </c>
      <c r="DB28" s="81" t="s">
        <v>510</v>
      </c>
      <c r="DJ28" s="204"/>
      <c r="DM28" s="287">
        <f t="shared" si="0"/>
        <v>0</v>
      </c>
      <c r="DN28" s="287">
        <f t="shared" si="1"/>
        <v>0</v>
      </c>
      <c r="DO28" s="287">
        <f t="shared" si="2"/>
        <v>0</v>
      </c>
      <c r="DQ28" s="290" t="s">
        <v>506</v>
      </c>
      <c r="DR28" s="290" t="s">
        <v>554</v>
      </c>
      <c r="DS28" s="291">
        <v>0.159</v>
      </c>
      <c r="DT28" s="291">
        <v>1.6899999999999998E-2</v>
      </c>
      <c r="DU28" s="290">
        <v>9.4</v>
      </c>
      <c r="DV28" s="290" t="s">
        <v>509</v>
      </c>
      <c r="DW28" s="291">
        <v>2E-16</v>
      </c>
      <c r="DX28" s="81" t="s">
        <v>510</v>
      </c>
      <c r="DY28" s="212" t="s">
        <v>568</v>
      </c>
      <c r="DZ28" s="295" t="s">
        <v>396</v>
      </c>
      <c r="EA28" s="292" t="s">
        <v>434</v>
      </c>
      <c r="EB28" s="293">
        <f t="shared" ref="EB28:EB30" si="23">DS34</f>
        <v>1730000</v>
      </c>
      <c r="EC28" s="212" t="s">
        <v>392</v>
      </c>
      <c r="EE28" s="160" t="s">
        <v>568</v>
      </c>
      <c r="EF28" s="324" t="s">
        <v>396</v>
      </c>
      <c r="EG28" s="322" t="s">
        <v>434</v>
      </c>
      <c r="EH28" s="326">
        <f>$AP9</f>
        <v>1904462.5600000003</v>
      </c>
      <c r="EI28" s="160" t="s">
        <v>392</v>
      </c>
      <c r="EK28" s="329" t="s">
        <v>506</v>
      </c>
      <c r="EL28" s="329" t="s">
        <v>554</v>
      </c>
      <c r="EM28" s="333">
        <v>0.315</v>
      </c>
      <c r="EN28" s="333">
        <v>4.9000000000000002E-2</v>
      </c>
      <c r="EO28" s="329">
        <v>6.43</v>
      </c>
      <c r="EP28" s="333">
        <v>1.4000000000000001E-10</v>
      </c>
      <c r="EQ28" s="333" t="s">
        <v>510</v>
      </c>
      <c r="ES28" s="330" t="s">
        <v>568</v>
      </c>
      <c r="ET28" s="335" t="s">
        <v>396</v>
      </c>
      <c r="EU28" s="331" t="s">
        <v>434</v>
      </c>
      <c r="EV28" s="332">
        <f t="shared" ref="EV28:EV30" si="24">EM34</f>
        <v>1050000</v>
      </c>
      <c r="EW28" s="330" t="s">
        <v>392</v>
      </c>
    </row>
    <row r="29" spans="1:153" ht="15" customHeight="1" thickTop="1" thickBot="1" x14ac:dyDescent="0.3">
      <c r="A29" s="220"/>
      <c r="B29" s="221"/>
      <c r="C29" s="222"/>
      <c r="D29" s="220"/>
      <c r="E29" s="221"/>
      <c r="F29" s="221"/>
      <c r="G29" s="221"/>
      <c r="H29" s="222"/>
      <c r="I29" s="221"/>
      <c r="L29" s="250">
        <v>2</v>
      </c>
      <c r="M29" s="251">
        <v>2</v>
      </c>
      <c r="N29" s="251" t="s">
        <v>99</v>
      </c>
      <c r="O29" s="319">
        <f>B8-O26</f>
        <v>31.299999999999983</v>
      </c>
      <c r="P29" s="257"/>
      <c r="Q29" s="30">
        <f t="shared" si="6"/>
        <v>1.0482529118136439</v>
      </c>
      <c r="R29" s="30">
        <f t="shared" si="7"/>
        <v>32.810316139767039</v>
      </c>
      <c r="S29" s="30">
        <f t="shared" si="17"/>
        <v>14571401.999999993</v>
      </c>
      <c r="T29" s="30">
        <f t="shared" si="18"/>
        <v>465540</v>
      </c>
      <c r="U29" s="30">
        <f t="shared" si="19"/>
        <v>14571401.999999993</v>
      </c>
      <c r="X29" s="271"/>
      <c r="Y29" s="272" t="s">
        <v>103</v>
      </c>
      <c r="Z29" s="272">
        <v>0.02</v>
      </c>
      <c r="AA29" s="272">
        <v>0.18</v>
      </c>
      <c r="AB29" s="272">
        <v>550</v>
      </c>
      <c r="AC29" s="272">
        <v>1880</v>
      </c>
      <c r="AD29" s="273">
        <f>Z29/AA29</f>
        <v>0.11111111111111112</v>
      </c>
      <c r="AE29" s="274">
        <f>Z29*AB29*AC29</f>
        <v>20680</v>
      </c>
      <c r="AF29" s="14" t="s">
        <v>104</v>
      </c>
      <c r="AG29" s="14"/>
      <c r="AH29" s="14"/>
      <c r="AQ29" s="81" t="s">
        <v>392</v>
      </c>
      <c r="AV29" s="205"/>
      <c r="AW29" s="205"/>
      <c r="AX29" s="205"/>
      <c r="AY29" s="207"/>
      <c r="BA29" s="205"/>
      <c r="BF29" s="81" t="s">
        <v>450</v>
      </c>
      <c r="BG29" s="3">
        <f>BG24+BG25</f>
        <v>129.74504499004354</v>
      </c>
      <c r="BJ29" s="81" t="s">
        <v>294</v>
      </c>
      <c r="BK29" s="204">
        <v>-1000000</v>
      </c>
      <c r="BT29" s="204"/>
      <c r="BU29" s="81" t="s">
        <v>392</v>
      </c>
      <c r="BZ29" s="211"/>
      <c r="CA29" s="211"/>
      <c r="CB29" s="81" t="s">
        <v>487</v>
      </c>
      <c r="CC29" s="204">
        <v>197</v>
      </c>
      <c r="CD29" s="204">
        <v>1.44</v>
      </c>
      <c r="CH29" s="81" t="s">
        <v>483</v>
      </c>
      <c r="CI29" s="204">
        <v>0.76</v>
      </c>
      <c r="CJ29" s="204">
        <v>3.9399999999999999E-3</v>
      </c>
      <c r="CK29" s="81">
        <v>192.86</v>
      </c>
      <c r="CL29" s="81" t="s">
        <v>505</v>
      </c>
      <c r="CN29" s="81" t="s">
        <v>120</v>
      </c>
      <c r="CO29" s="204">
        <v>64.400000000000006</v>
      </c>
      <c r="CP29" s="204">
        <v>1.8</v>
      </c>
      <c r="CQ29" s="81">
        <v>35.869999999999997</v>
      </c>
      <c r="CR29" s="81" t="s">
        <v>509</v>
      </c>
      <c r="CS29" s="204">
        <v>2E-16</v>
      </c>
      <c r="CT29" s="81" t="s">
        <v>510</v>
      </c>
      <c r="CV29" s="212" t="s">
        <v>506</v>
      </c>
      <c r="CW29" s="81" t="s">
        <v>413</v>
      </c>
      <c r="CX29" s="204">
        <v>1700000</v>
      </c>
      <c r="CY29" s="204">
        <v>7.17</v>
      </c>
      <c r="CZ29" s="81">
        <v>236943</v>
      </c>
      <c r="DA29" s="81" t="s">
        <v>505</v>
      </c>
      <c r="DB29" s="81" t="s">
        <v>510</v>
      </c>
      <c r="DJ29" s="204"/>
      <c r="DL29" s="81" t="s">
        <v>413</v>
      </c>
      <c r="DM29" s="288">
        <f t="shared" si="0"/>
        <v>1336649.5999999999</v>
      </c>
      <c r="DN29" s="288">
        <f t="shared" si="1"/>
        <v>1340000</v>
      </c>
      <c r="DO29" s="288">
        <f t="shared" si="2"/>
        <v>1130000</v>
      </c>
      <c r="DQ29" s="290" t="s">
        <v>506</v>
      </c>
      <c r="DR29" s="290" t="s">
        <v>424</v>
      </c>
      <c r="DS29" s="291">
        <v>0.35899999999999999</v>
      </c>
      <c r="DT29" s="291">
        <v>4.3799999999999999E-2</v>
      </c>
      <c r="DU29" s="290">
        <v>8.2100000000000009</v>
      </c>
      <c r="DV29" s="291">
        <v>2.2E-16</v>
      </c>
      <c r="DW29" s="290" t="s">
        <v>510</v>
      </c>
      <c r="DY29" s="212" t="s">
        <v>568</v>
      </c>
      <c r="DZ29" s="295" t="s">
        <v>397</v>
      </c>
      <c r="EA29" s="292" t="s">
        <v>434</v>
      </c>
      <c r="EB29" s="293">
        <f t="shared" si="23"/>
        <v>6040000</v>
      </c>
      <c r="EC29" s="212" t="s">
        <v>392</v>
      </c>
      <c r="EE29" s="160" t="s">
        <v>568</v>
      </c>
      <c r="EF29" s="324" t="s">
        <v>397</v>
      </c>
      <c r="EG29" s="322" t="s">
        <v>434</v>
      </c>
      <c r="EH29" s="326">
        <f>$AP10</f>
        <v>8856365.1000000015</v>
      </c>
      <c r="EI29" s="160" t="s">
        <v>392</v>
      </c>
      <c r="EK29" s="329" t="s">
        <v>506</v>
      </c>
      <c r="EL29" s="329" t="s">
        <v>424</v>
      </c>
      <c r="EM29" s="333">
        <v>0.25800000000000001</v>
      </c>
      <c r="EN29" s="333">
        <v>0.108</v>
      </c>
      <c r="EO29" s="329">
        <v>2.39</v>
      </c>
      <c r="EP29" s="333">
        <v>1.6920000000000001E-2</v>
      </c>
      <c r="EQ29" s="329" t="s">
        <v>511</v>
      </c>
      <c r="ES29" s="330" t="s">
        <v>568</v>
      </c>
      <c r="ET29" s="335" t="s">
        <v>397</v>
      </c>
      <c r="EU29" s="331" t="s">
        <v>434</v>
      </c>
      <c r="EV29" s="332">
        <f t="shared" si="24"/>
        <v>5140000</v>
      </c>
      <c r="EW29" s="330" t="s">
        <v>392</v>
      </c>
    </row>
    <row r="30" spans="1:153" ht="15" customHeight="1" thickTop="1" thickBot="1" x14ac:dyDescent="0.3">
      <c r="A30" s="237"/>
      <c r="B30" s="219"/>
      <c r="C30" s="242"/>
      <c r="D30" s="237"/>
      <c r="E30" s="219"/>
      <c r="F30" s="219"/>
      <c r="G30" s="219"/>
      <c r="H30" s="242"/>
      <c r="I30" s="221"/>
      <c r="L30" s="250" t="s">
        <v>618</v>
      </c>
      <c r="M30" s="251">
        <v>1</v>
      </c>
      <c r="N30" s="251" t="s">
        <v>610</v>
      </c>
      <c r="O30" s="252">
        <f>O7</f>
        <v>30.921227867960802</v>
      </c>
      <c r="P30" s="253"/>
      <c r="Q30" s="30">
        <f t="shared" si="6"/>
        <v>1.2616822429906542</v>
      </c>
      <c r="R30" s="30">
        <f t="shared" si="7"/>
        <v>39.012764132473912</v>
      </c>
      <c r="S30" s="30">
        <f t="shared" si="17"/>
        <v>5597360.6686582649</v>
      </c>
      <c r="T30" s="30">
        <f t="shared" si="18"/>
        <v>181020.00000000003</v>
      </c>
      <c r="U30" s="30">
        <f t="shared" si="19"/>
        <v>0</v>
      </c>
      <c r="X30" s="220"/>
      <c r="Y30" s="221" t="s">
        <v>129</v>
      </c>
      <c r="Z30" s="221">
        <v>0.08</v>
      </c>
      <c r="AA30" s="221">
        <v>0.6</v>
      </c>
      <c r="AB30" s="221">
        <v>1100</v>
      </c>
      <c r="AC30" s="221">
        <v>860</v>
      </c>
      <c r="AD30" s="268">
        <f>Z30/AA30</f>
        <v>0.13333333333333333</v>
      </c>
      <c r="AE30" s="222">
        <f>Z30*AB30*AC30</f>
        <v>75680</v>
      </c>
      <c r="AF30" s="14"/>
      <c r="AG30" s="14"/>
      <c r="AH30" s="14"/>
      <c r="AM30" s="154" t="s">
        <v>389</v>
      </c>
      <c r="AN30" s="81" t="s">
        <v>390</v>
      </c>
      <c r="AO30" s="81" t="s">
        <v>413</v>
      </c>
      <c r="AP30" s="204">
        <f>B35*1.04*1012*5</f>
        <v>1336649.5999999999</v>
      </c>
      <c r="AQ30" s="81" t="s">
        <v>392</v>
      </c>
      <c r="AR30" s="204">
        <v>1340000</v>
      </c>
      <c r="AV30" s="205" t="s">
        <v>389</v>
      </c>
      <c r="AW30" s="205" t="s">
        <v>390</v>
      </c>
      <c r="AX30" s="205" t="s">
        <v>413</v>
      </c>
      <c r="AY30" s="207" t="s">
        <v>434</v>
      </c>
      <c r="AZ30" s="206">
        <f t="shared" si="3"/>
        <v>1130000</v>
      </c>
      <c r="BA30" s="205" t="s">
        <v>392</v>
      </c>
      <c r="BJ30" s="81" t="s">
        <v>301</v>
      </c>
      <c r="BK30" s="204">
        <v>-1000000</v>
      </c>
      <c r="BQ30" s="154" t="s">
        <v>389</v>
      </c>
      <c r="BR30" s="81" t="s">
        <v>390</v>
      </c>
      <c r="BS30" s="81" t="s">
        <v>413</v>
      </c>
      <c r="BT30" s="204">
        <f t="shared" si="21"/>
        <v>1340000</v>
      </c>
      <c r="BU30" s="81" t="s">
        <v>392</v>
      </c>
      <c r="BV30" s="204">
        <v>1340000</v>
      </c>
      <c r="BZ30" s="211">
        <f>CO16</f>
        <v>1130000</v>
      </c>
      <c r="CA30" s="211"/>
      <c r="CB30" s="81" t="s">
        <v>285</v>
      </c>
      <c r="CC30" s="204">
        <v>487</v>
      </c>
      <c r="CD30" s="204">
        <v>2.62</v>
      </c>
      <c r="CH30" s="81" t="s">
        <v>484</v>
      </c>
      <c r="CI30" s="204">
        <v>6.4100000000000004E-2</v>
      </c>
      <c r="CJ30" s="204">
        <v>4.3300000000000001E-4</v>
      </c>
      <c r="CK30" s="81">
        <v>148.13</v>
      </c>
      <c r="CL30" s="81" t="s">
        <v>505</v>
      </c>
      <c r="CN30" s="81" t="s">
        <v>488</v>
      </c>
      <c r="CO30" s="204">
        <v>-4.93</v>
      </c>
      <c r="CP30" s="204">
        <v>2.1999999999999999E-2</v>
      </c>
      <c r="CQ30" s="81">
        <v>-223.73</v>
      </c>
      <c r="CR30" s="81" t="s">
        <v>509</v>
      </c>
      <c r="CS30" s="204">
        <v>2E-16</v>
      </c>
      <c r="CT30" s="81" t="s">
        <v>510</v>
      </c>
      <c r="CV30" s="212" t="s">
        <v>506</v>
      </c>
      <c r="CW30" s="81" t="s">
        <v>397</v>
      </c>
      <c r="CX30" s="204">
        <v>16300000</v>
      </c>
      <c r="CY30" s="204">
        <v>47.4</v>
      </c>
      <c r="CZ30" s="81">
        <v>343884</v>
      </c>
      <c r="DA30" s="81" t="s">
        <v>505</v>
      </c>
      <c r="DB30" s="81" t="s">
        <v>510</v>
      </c>
      <c r="DJ30" s="204"/>
      <c r="DL30" s="81" t="s">
        <v>414</v>
      </c>
      <c r="DM30" s="288">
        <f t="shared" si="0"/>
        <v>13637952.9</v>
      </c>
      <c r="DN30" s="288">
        <f t="shared" si="1"/>
        <v>2810000</v>
      </c>
      <c r="DO30" s="288">
        <f t="shared" si="2"/>
        <v>6980000</v>
      </c>
      <c r="DQ30" s="290" t="s">
        <v>506</v>
      </c>
      <c r="DR30" s="290" t="s">
        <v>555</v>
      </c>
      <c r="DS30" s="291">
        <v>0.19800000000000001</v>
      </c>
      <c r="DT30" s="291">
        <v>9.3900000000000008E-3</v>
      </c>
      <c r="DU30" s="290">
        <v>21.11</v>
      </c>
      <c r="DV30" s="290" t="s">
        <v>509</v>
      </c>
      <c r="DW30" s="291">
        <v>2E-16</v>
      </c>
      <c r="DX30" s="81" t="s">
        <v>510</v>
      </c>
      <c r="DY30" s="212" t="s">
        <v>568</v>
      </c>
      <c r="DZ30" s="295" t="s">
        <v>398</v>
      </c>
      <c r="EA30" s="292" t="s">
        <v>434</v>
      </c>
      <c r="EB30" s="293">
        <f t="shared" si="23"/>
        <v>8110000</v>
      </c>
      <c r="EC30" s="212" t="s">
        <v>392</v>
      </c>
      <c r="EE30" s="160" t="s">
        <v>568</v>
      </c>
      <c r="EF30" s="324" t="s">
        <v>398</v>
      </c>
      <c r="EG30" s="322" t="s">
        <v>434</v>
      </c>
      <c r="EH30" s="326">
        <f>$AP11</f>
        <v>6524281.5000000019</v>
      </c>
      <c r="EI30" s="160" t="s">
        <v>392</v>
      </c>
      <c r="EK30" s="329" t="s">
        <v>506</v>
      </c>
      <c r="EL30" s="329" t="s">
        <v>555</v>
      </c>
      <c r="EM30" s="333">
        <v>0.29899999999999999</v>
      </c>
      <c r="EN30" s="333">
        <v>2.41E-2</v>
      </c>
      <c r="EO30" s="329">
        <v>12.38</v>
      </c>
      <c r="EP30" s="329" t="s">
        <v>509</v>
      </c>
      <c r="EQ30" s="333">
        <v>2E-16</v>
      </c>
      <c r="ER30" s="329" t="s">
        <v>510</v>
      </c>
      <c r="ES30" s="330" t="s">
        <v>568</v>
      </c>
      <c r="ET30" s="335" t="s">
        <v>398</v>
      </c>
      <c r="EU30" s="331" t="s">
        <v>434</v>
      </c>
      <c r="EV30" s="332">
        <f t="shared" si="24"/>
        <v>9450000</v>
      </c>
      <c r="EW30" s="330" t="s">
        <v>392</v>
      </c>
    </row>
    <row r="31" spans="1:153" ht="15" customHeight="1" thickTop="1" thickBot="1" x14ac:dyDescent="0.3">
      <c r="L31" s="255" t="s">
        <v>618</v>
      </c>
      <c r="M31" s="256">
        <v>2</v>
      </c>
      <c r="N31" s="256" t="s">
        <v>610</v>
      </c>
      <c r="O31" s="252">
        <f>O18</f>
        <v>36.064797687389479</v>
      </c>
      <c r="P31" s="257"/>
      <c r="Q31" s="30">
        <f t="shared" si="6"/>
        <v>1.2616822429906542</v>
      </c>
      <c r="R31" s="30">
        <f t="shared" si="7"/>
        <v>45.502314839229719</v>
      </c>
      <c r="S31" s="30">
        <f t="shared" si="17"/>
        <v>6528449.6773712449</v>
      </c>
      <c r="T31" s="30">
        <f t="shared" si="18"/>
        <v>181020.00000000003</v>
      </c>
      <c r="U31" s="30">
        <f t="shared" si="19"/>
        <v>0</v>
      </c>
      <c r="X31" s="220"/>
      <c r="Y31" s="221" t="s">
        <v>131</v>
      </c>
      <c r="Z31" s="221">
        <v>0.2</v>
      </c>
      <c r="AA31" s="221">
        <v>1.4</v>
      </c>
      <c r="AB31" s="221">
        <v>2100</v>
      </c>
      <c r="AC31" s="221">
        <v>840</v>
      </c>
      <c r="AD31" s="268">
        <f>Z31/AA31</f>
        <v>0.14285714285714288</v>
      </c>
      <c r="AE31" s="222">
        <f>Z31*AB31*AC31</f>
        <v>352800</v>
      </c>
      <c r="AF31" s="14"/>
      <c r="AG31" s="14"/>
      <c r="AH31" s="14"/>
      <c r="AM31" s="154" t="s">
        <v>389</v>
      </c>
      <c r="AN31" s="81" t="s">
        <v>390</v>
      </c>
      <c r="AO31" s="81" t="s">
        <v>414</v>
      </c>
      <c r="AP31" s="204">
        <f>U25+SUM(U17:U20)</f>
        <v>13637952.9</v>
      </c>
      <c r="AQ31" s="81" t="s">
        <v>392</v>
      </c>
      <c r="AR31" s="204">
        <v>2810000</v>
      </c>
      <c r="AV31" s="205" t="s">
        <v>389</v>
      </c>
      <c r="AW31" s="205" t="s">
        <v>390</v>
      </c>
      <c r="AX31" s="205" t="s">
        <v>414</v>
      </c>
      <c r="AY31" s="207" t="s">
        <v>434</v>
      </c>
      <c r="AZ31" s="206">
        <f t="shared" si="3"/>
        <v>6980000</v>
      </c>
      <c r="BA31" s="205" t="s">
        <v>392</v>
      </c>
      <c r="BQ31" s="154" t="s">
        <v>389</v>
      </c>
      <c r="BR31" s="81" t="s">
        <v>390</v>
      </c>
      <c r="BS31" s="81" t="s">
        <v>414</v>
      </c>
      <c r="BT31" s="204">
        <f t="shared" si="21"/>
        <v>2810000</v>
      </c>
      <c r="BU31" s="81" t="s">
        <v>392</v>
      </c>
      <c r="BV31" s="204">
        <v>2810000</v>
      </c>
      <c r="BZ31" s="211">
        <f>CO17</f>
        <v>6980000</v>
      </c>
      <c r="CA31" s="211"/>
      <c r="CB31" s="81" t="s">
        <v>120</v>
      </c>
      <c r="CC31" s="204">
        <v>274</v>
      </c>
      <c r="CD31" s="204">
        <v>1.37</v>
      </c>
      <c r="CH31" s="81" t="s">
        <v>485</v>
      </c>
      <c r="CI31" s="204">
        <v>5.4300000000000001E-2</v>
      </c>
      <c r="CJ31" s="204">
        <v>4.44E-4</v>
      </c>
      <c r="CK31" s="81">
        <v>122.4</v>
      </c>
      <c r="CL31" s="81" t="s">
        <v>505</v>
      </c>
      <c r="CN31" s="81" t="s">
        <v>489</v>
      </c>
      <c r="CO31" s="204">
        <v>-4.84</v>
      </c>
      <c r="CP31" s="204">
        <v>2.86E-2</v>
      </c>
      <c r="CQ31" s="81">
        <v>-169.23</v>
      </c>
      <c r="CR31" s="81" t="s">
        <v>509</v>
      </c>
      <c r="CS31" s="204">
        <v>2E-16</v>
      </c>
      <c r="CT31" s="81" t="s">
        <v>510</v>
      </c>
      <c r="CV31" s="212" t="s">
        <v>506</v>
      </c>
      <c r="CW31" s="81" t="s">
        <v>398</v>
      </c>
      <c r="CX31" s="204">
        <v>26200000</v>
      </c>
      <c r="CY31" s="204">
        <v>77.599999999999994</v>
      </c>
      <c r="CZ31" s="81">
        <v>337769</v>
      </c>
      <c r="DA31" s="81" t="s">
        <v>505</v>
      </c>
      <c r="DB31" s="81" t="s">
        <v>510</v>
      </c>
      <c r="DF31" s="81" t="s">
        <v>389</v>
      </c>
      <c r="DG31" s="81" t="s">
        <v>390</v>
      </c>
      <c r="DH31" s="81" t="str">
        <f t="shared" si="14"/>
        <v>f1D</v>
      </c>
      <c r="DI31" s="81" t="s">
        <v>434</v>
      </c>
      <c r="DJ31" s="204">
        <f t="shared" si="15"/>
        <v>0.06</v>
      </c>
      <c r="DK31" s="81" t="s">
        <v>392</v>
      </c>
      <c r="DL31" s="81" t="s">
        <v>415</v>
      </c>
      <c r="DM31" s="288">
        <f t="shared" si="0"/>
        <v>29790518.999999996</v>
      </c>
      <c r="DN31" s="288">
        <f t="shared" si="1"/>
        <v>5640000</v>
      </c>
      <c r="DO31" s="288">
        <f t="shared" si="2"/>
        <v>11000000</v>
      </c>
      <c r="DQ31" s="290" t="s">
        <v>506</v>
      </c>
      <c r="DR31" s="290" t="s">
        <v>556</v>
      </c>
      <c r="DS31" s="291">
        <v>4.6100000000000002E-2</v>
      </c>
      <c r="DT31" s="291">
        <v>8.9999999999999993E-3</v>
      </c>
      <c r="DU31" s="290">
        <v>5.12</v>
      </c>
      <c r="DV31" s="291">
        <v>3.1E-7</v>
      </c>
      <c r="DW31" s="291" t="s">
        <v>510</v>
      </c>
      <c r="EA31" s="292"/>
      <c r="EE31" s="160"/>
      <c r="EF31" s="160"/>
      <c r="EG31" s="322"/>
      <c r="EH31" s="160"/>
      <c r="EI31" s="160"/>
      <c r="EK31" s="329" t="s">
        <v>506</v>
      </c>
      <c r="EL31" s="329" t="s">
        <v>556</v>
      </c>
      <c r="EM31" s="333">
        <v>0.20899999999999999</v>
      </c>
      <c r="EN31" s="333">
        <v>2.0899999999999998E-2</v>
      </c>
      <c r="EO31" s="329">
        <v>10.01</v>
      </c>
      <c r="EP31" s="333" t="s">
        <v>509</v>
      </c>
      <c r="EQ31" s="333">
        <v>2E-16</v>
      </c>
      <c r="ER31" s="329" t="s">
        <v>510</v>
      </c>
      <c r="EU31" s="331"/>
    </row>
    <row r="32" spans="1:153" ht="15" customHeight="1" thickTop="1" thickBot="1" x14ac:dyDescent="0.3">
      <c r="L32" s="81"/>
      <c r="M32" s="81"/>
      <c r="N32" s="81"/>
      <c r="Q32" s="69" t="s">
        <v>106</v>
      </c>
      <c r="R32" s="70">
        <f>SUM(R7:R10)+SUM(R11:R14)+0.5*R15+R17+SUM(R18:R25)+R26</f>
        <v>335.13281933661108</v>
      </c>
      <c r="S32" s="69" t="s">
        <v>107</v>
      </c>
      <c r="X32" s="237"/>
      <c r="Y32" s="219" t="s">
        <v>80</v>
      </c>
      <c r="Z32" s="219">
        <v>0.02</v>
      </c>
      <c r="AA32" s="219">
        <v>0.6</v>
      </c>
      <c r="AB32" s="219">
        <v>975</v>
      </c>
      <c r="AC32" s="219">
        <v>840</v>
      </c>
      <c r="AD32" s="269">
        <f>Z32/AA32</f>
        <v>3.3333333333333333E-2</v>
      </c>
      <c r="AE32" s="242">
        <f>Z32*AB32*AC32</f>
        <v>16380</v>
      </c>
      <c r="AF32" s="14"/>
      <c r="AG32" s="14"/>
      <c r="AH32" s="14"/>
      <c r="AM32" s="154" t="s">
        <v>389</v>
      </c>
      <c r="AN32" s="81" t="s">
        <v>390</v>
      </c>
      <c r="AO32" s="81" t="s">
        <v>415</v>
      </c>
      <c r="AP32" s="204">
        <f>SUM(U28,U31,U29)</f>
        <v>29790518.999999996</v>
      </c>
      <c r="AQ32" s="81" t="s">
        <v>392</v>
      </c>
      <c r="AR32" s="204">
        <v>5640000</v>
      </c>
      <c r="AV32" s="205" t="s">
        <v>389</v>
      </c>
      <c r="AW32" s="205" t="s">
        <v>390</v>
      </c>
      <c r="AX32" s="205" t="s">
        <v>415</v>
      </c>
      <c r="AY32" s="207" t="s">
        <v>434</v>
      </c>
      <c r="AZ32" s="206">
        <f t="shared" si="3"/>
        <v>11000000</v>
      </c>
      <c r="BA32" s="205" t="s">
        <v>392</v>
      </c>
      <c r="BJ32" s="81" t="s">
        <v>281</v>
      </c>
      <c r="BK32" s="81">
        <f>BK4+BK5</f>
        <v>115.17170185594473</v>
      </c>
      <c r="BQ32" s="154" t="s">
        <v>389</v>
      </c>
      <c r="BR32" s="81" t="s">
        <v>390</v>
      </c>
      <c r="BS32" s="81" t="s">
        <v>415</v>
      </c>
      <c r="BT32" s="204">
        <f t="shared" si="21"/>
        <v>5640000</v>
      </c>
      <c r="BU32" s="81" t="s">
        <v>392</v>
      </c>
      <c r="BV32" s="204">
        <v>5640000</v>
      </c>
      <c r="BZ32" s="211">
        <f>CO18</f>
        <v>11000000</v>
      </c>
      <c r="CA32" s="211"/>
      <c r="CB32" s="81" t="s">
        <v>488</v>
      </c>
      <c r="CC32" s="204">
        <v>-5.75</v>
      </c>
      <c r="CD32" s="204">
        <v>2.35E-2</v>
      </c>
      <c r="CH32" s="81" t="s">
        <v>486</v>
      </c>
      <c r="CI32" s="204">
        <v>259</v>
      </c>
      <c r="CJ32" s="204">
        <v>2.63</v>
      </c>
      <c r="CK32" s="81">
        <v>98.59</v>
      </c>
      <c r="CL32" s="81" t="s">
        <v>505</v>
      </c>
      <c r="CV32" s="212" t="s">
        <v>506</v>
      </c>
      <c r="CW32" s="81" t="s">
        <v>415</v>
      </c>
      <c r="CX32" s="204">
        <v>5730000</v>
      </c>
      <c r="CY32" s="204">
        <v>26.3</v>
      </c>
      <c r="CZ32" s="81">
        <v>218218</v>
      </c>
      <c r="DA32" s="81" t="s">
        <v>505</v>
      </c>
      <c r="DB32" s="81" t="s">
        <v>510</v>
      </c>
      <c r="DF32" s="81" t="s">
        <v>389</v>
      </c>
      <c r="DG32" s="81" t="s">
        <v>390</v>
      </c>
      <c r="DH32" s="81" t="str">
        <f t="shared" si="14"/>
        <v>f1N</v>
      </c>
      <c r="DI32" s="81" t="s">
        <v>434</v>
      </c>
      <c r="DJ32" s="204">
        <f t="shared" si="15"/>
        <v>0.16</v>
      </c>
      <c r="DK32" s="81" t="s">
        <v>392</v>
      </c>
      <c r="DL32" s="81" t="s">
        <v>416</v>
      </c>
      <c r="DM32" s="286">
        <f t="shared" si="0"/>
        <v>0.10219989320869988</v>
      </c>
      <c r="DN32" s="286">
        <f t="shared" si="1"/>
        <v>0.33200000000000002</v>
      </c>
      <c r="DO32" s="286">
        <f t="shared" si="2"/>
        <v>0.19700000000000001</v>
      </c>
      <c r="DQ32" s="290" t="s">
        <v>506</v>
      </c>
      <c r="DR32" s="290" t="s">
        <v>298</v>
      </c>
      <c r="DS32" s="291">
        <v>1570000000</v>
      </c>
      <c r="DT32" s="291">
        <v>122000000</v>
      </c>
      <c r="DU32" s="290">
        <v>12.8</v>
      </c>
      <c r="DV32" s="290" t="s">
        <v>509</v>
      </c>
      <c r="DW32" s="291">
        <v>2E-16</v>
      </c>
      <c r="DX32" s="81" t="s">
        <v>510</v>
      </c>
      <c r="DY32" s="212" t="s">
        <v>568</v>
      </c>
      <c r="DZ32" s="295" t="s">
        <v>404</v>
      </c>
      <c r="EA32" s="292" t="s">
        <v>434</v>
      </c>
      <c r="EB32" s="293">
        <f>DS47</f>
        <v>106</v>
      </c>
      <c r="EC32" s="212" t="s">
        <v>392</v>
      </c>
      <c r="EE32" s="160" t="s">
        <v>568</v>
      </c>
      <c r="EF32" s="324" t="s">
        <v>404</v>
      </c>
      <c r="EG32" s="322" t="s">
        <v>434</v>
      </c>
      <c r="EH32" s="160">
        <f>$AP19</f>
        <v>141.08757763975157</v>
      </c>
      <c r="EI32" s="160" t="s">
        <v>392</v>
      </c>
      <c r="EK32" s="329" t="s">
        <v>506</v>
      </c>
      <c r="EL32" s="329" t="s">
        <v>298</v>
      </c>
      <c r="EM32" s="333">
        <v>4240000000</v>
      </c>
      <c r="EN32" s="333">
        <v>964000000</v>
      </c>
      <c r="EO32" s="329">
        <v>4.4000000000000004</v>
      </c>
      <c r="EP32" s="333">
        <v>1.1E-5</v>
      </c>
      <c r="EQ32" s="333" t="s">
        <v>510</v>
      </c>
      <c r="ES32" s="330" t="s">
        <v>568</v>
      </c>
      <c r="ET32" s="335" t="s">
        <v>404</v>
      </c>
      <c r="EU32" s="331" t="s">
        <v>434</v>
      </c>
      <c r="EV32" s="332">
        <f>EM47</f>
        <v>116</v>
      </c>
      <c r="EW32" s="330" t="s">
        <v>392</v>
      </c>
    </row>
    <row r="33" spans="1:153" ht="15" customHeight="1" thickTop="1" thickBot="1" x14ac:dyDescent="0.3">
      <c r="A33" s="72" t="s">
        <v>109</v>
      </c>
      <c r="B33" s="72" t="s">
        <v>110</v>
      </c>
      <c r="C33" s="72"/>
      <c r="D33" s="72" t="s">
        <v>111</v>
      </c>
      <c r="E33" s="344" t="s">
        <v>112</v>
      </c>
      <c r="F33" s="345"/>
      <c r="G33" s="72" t="s">
        <v>113</v>
      </c>
      <c r="L33" s="81"/>
      <c r="M33" s="81"/>
      <c r="N33" s="81"/>
      <c r="Q33" s="81"/>
      <c r="R33" s="30">
        <f>G4*Z37</f>
        <v>16.027000000000001</v>
      </c>
      <c r="X33" s="221"/>
      <c r="Y33" s="221"/>
      <c r="Z33" s="221"/>
      <c r="AA33" s="221"/>
      <c r="AB33" s="221"/>
      <c r="AC33" s="221"/>
      <c r="AD33" s="268"/>
      <c r="AE33" s="221"/>
      <c r="AF33" s="14"/>
      <c r="AG33" s="14"/>
      <c r="AH33" s="14"/>
      <c r="AM33" s="154" t="s">
        <v>389</v>
      </c>
      <c r="AN33" s="81" t="s">
        <v>390</v>
      </c>
      <c r="AO33" s="81" t="s">
        <v>416</v>
      </c>
      <c r="AP33" s="81">
        <f>AP26*0.3</f>
        <v>0.10219989320869988</v>
      </c>
      <c r="AQ33" s="81" t="s">
        <v>392</v>
      </c>
      <c r="AR33" s="204">
        <v>0.33200000000000002</v>
      </c>
      <c r="AV33" s="205" t="s">
        <v>389</v>
      </c>
      <c r="AW33" s="205" t="s">
        <v>390</v>
      </c>
      <c r="AX33" s="205" t="s">
        <v>416</v>
      </c>
      <c r="AY33" s="207" t="s">
        <v>434</v>
      </c>
      <c r="AZ33" s="206">
        <f t="shared" si="3"/>
        <v>0.19700000000000001</v>
      </c>
      <c r="BA33" s="205" t="s">
        <v>392</v>
      </c>
      <c r="BJ33" s="81" t="s">
        <v>282</v>
      </c>
      <c r="BK33" s="3">
        <f>BK6+BK7</f>
        <v>143.27000000000001</v>
      </c>
      <c r="BQ33" s="154" t="s">
        <v>389</v>
      </c>
      <c r="BR33" s="81" t="s">
        <v>390</v>
      </c>
      <c r="BS33" s="81" t="s">
        <v>416</v>
      </c>
      <c r="BT33" s="204">
        <f t="shared" si="21"/>
        <v>0.33200000000000002</v>
      </c>
      <c r="BU33" s="81" t="s">
        <v>392</v>
      </c>
      <c r="BV33" s="204">
        <v>0.33200000000000002</v>
      </c>
      <c r="BZ33" s="211">
        <f>CO23</f>
        <v>0.19700000000000001</v>
      </c>
      <c r="CA33" s="211"/>
      <c r="CB33" s="81" t="s">
        <v>489</v>
      </c>
      <c r="CC33" s="204">
        <v>-6.06</v>
      </c>
      <c r="CD33" s="204">
        <v>2.58E-2</v>
      </c>
      <c r="CH33" s="81" t="s">
        <v>487</v>
      </c>
      <c r="CI33" s="204">
        <v>197</v>
      </c>
      <c r="CJ33" s="204">
        <v>1.44</v>
      </c>
      <c r="CK33" s="81">
        <v>136.51</v>
      </c>
      <c r="CL33" s="81" t="s">
        <v>505</v>
      </c>
      <c r="CN33" s="81" t="s">
        <v>490</v>
      </c>
      <c r="CO33" s="204">
        <v>-5.83</v>
      </c>
      <c r="CP33" s="204">
        <v>2.98E-2</v>
      </c>
      <c r="CQ33" s="81">
        <v>-195.34</v>
      </c>
      <c r="CR33" s="81" t="s">
        <v>509</v>
      </c>
      <c r="CS33" s="204">
        <v>2E-16</v>
      </c>
      <c r="CT33" s="81" t="s">
        <v>510</v>
      </c>
      <c r="CV33" s="212" t="s">
        <v>506</v>
      </c>
      <c r="CW33" s="81" t="s">
        <v>414</v>
      </c>
      <c r="CX33" s="204">
        <v>5800000</v>
      </c>
      <c r="CY33" s="204">
        <v>19.399999999999999</v>
      </c>
      <c r="CZ33" s="81">
        <v>298526</v>
      </c>
      <c r="DA33" s="81" t="s">
        <v>505</v>
      </c>
      <c r="DB33" s="81" t="s">
        <v>510</v>
      </c>
      <c r="DF33" s="81" t="s">
        <v>389</v>
      </c>
      <c r="DG33" s="81" t="s">
        <v>390</v>
      </c>
      <c r="DH33" s="81" t="str">
        <f t="shared" si="14"/>
        <v>f2N</v>
      </c>
      <c r="DI33" s="81" t="s">
        <v>434</v>
      </c>
      <c r="DJ33" s="204">
        <f t="shared" si="15"/>
        <v>5.2999999999999999E-2</v>
      </c>
      <c r="DK33" s="81" t="s">
        <v>392</v>
      </c>
      <c r="DL33" s="81" t="s">
        <v>417</v>
      </c>
      <c r="DM33" s="286">
        <f t="shared" si="0"/>
        <v>0.13923823107751293</v>
      </c>
      <c r="DN33" s="286">
        <f t="shared" si="1"/>
        <v>6.88E-2</v>
      </c>
      <c r="DO33" s="286">
        <f t="shared" si="2"/>
        <v>4.9399999999999999E-2</v>
      </c>
      <c r="DQ33" s="290" t="s">
        <v>506</v>
      </c>
      <c r="DR33" s="290" t="s">
        <v>294</v>
      </c>
      <c r="DS33" s="291">
        <v>7370000</v>
      </c>
      <c r="DT33" s="291">
        <v>63400</v>
      </c>
      <c r="DU33" s="290">
        <v>116.4</v>
      </c>
      <c r="DV33" s="290" t="s">
        <v>509</v>
      </c>
      <c r="DW33" s="291">
        <v>2E-16</v>
      </c>
      <c r="DX33" s="81" t="s">
        <v>510</v>
      </c>
      <c r="DY33" s="212" t="s">
        <v>568</v>
      </c>
      <c r="DZ33" s="295" t="s">
        <v>405</v>
      </c>
      <c r="EA33" s="292" t="s">
        <v>434</v>
      </c>
      <c r="EB33" s="293">
        <f t="shared" ref="EB33:EB35" si="25">DS48</f>
        <v>145</v>
      </c>
      <c r="EC33" s="212" t="s">
        <v>392</v>
      </c>
      <c r="EE33" s="160" t="s">
        <v>568</v>
      </c>
      <c r="EF33" s="324" t="s">
        <v>405</v>
      </c>
      <c r="EG33" s="322" t="s">
        <v>434</v>
      </c>
      <c r="EH33" s="160">
        <f>$AP20</f>
        <v>214.99009900990103</v>
      </c>
      <c r="EI33" s="160" t="s">
        <v>392</v>
      </c>
      <c r="EK33" s="329" t="s">
        <v>506</v>
      </c>
      <c r="EL33" s="329" t="s">
        <v>294</v>
      </c>
      <c r="EM33" s="333">
        <v>8090000</v>
      </c>
      <c r="EN33" s="333">
        <v>106000</v>
      </c>
      <c r="EO33" s="329">
        <v>76.22</v>
      </c>
      <c r="EP33" s="329" t="s">
        <v>509</v>
      </c>
      <c r="EQ33" s="333">
        <v>2E-16</v>
      </c>
      <c r="ER33" s="329" t="s">
        <v>510</v>
      </c>
      <c r="ES33" s="330" t="s">
        <v>568</v>
      </c>
      <c r="ET33" s="335" t="s">
        <v>405</v>
      </c>
      <c r="EU33" s="331" t="s">
        <v>434</v>
      </c>
      <c r="EV33" s="332">
        <f t="shared" ref="EV33:EV35" si="26">EM48</f>
        <v>171</v>
      </c>
      <c r="EW33" s="330" t="s">
        <v>392</v>
      </c>
    </row>
    <row r="34" spans="1:153" ht="15" customHeight="1" thickTop="1" thickBot="1" x14ac:dyDescent="0.3">
      <c r="A34" s="73">
        <v>1</v>
      </c>
      <c r="B34" s="74">
        <f>B7*3.5</f>
        <v>361.90000000000003</v>
      </c>
      <c r="C34" s="73"/>
      <c r="D34" s="73" t="s">
        <v>42</v>
      </c>
      <c r="E34" s="195">
        <v>21</v>
      </c>
      <c r="F34" s="195"/>
      <c r="G34" s="76">
        <f>VLOOKUP(D34,A6:B22,2,0)</f>
        <v>103.4</v>
      </c>
      <c r="L34" s="81"/>
      <c r="M34" s="81"/>
      <c r="N34" s="81"/>
      <c r="Q34" s="81">
        <f>25+13+18</f>
        <v>56</v>
      </c>
      <c r="R34" s="81"/>
      <c r="X34" s="258"/>
      <c r="Y34" s="258"/>
      <c r="Z34" s="259"/>
      <c r="AA34" s="259"/>
      <c r="AB34" s="259"/>
      <c r="AC34" s="258"/>
      <c r="AD34" s="258"/>
      <c r="AE34" s="258"/>
      <c r="AF34" s="14"/>
      <c r="AG34" s="14"/>
      <c r="AH34" s="14"/>
      <c r="AM34" s="154" t="s">
        <v>389</v>
      </c>
      <c r="AN34" s="81" t="s">
        <v>390</v>
      </c>
      <c r="AO34" s="81" t="s">
        <v>417</v>
      </c>
      <c r="AP34" s="81">
        <f>AP27*0.3</f>
        <v>0.13923823107751293</v>
      </c>
      <c r="AQ34" s="81" t="s">
        <v>392</v>
      </c>
      <c r="AR34" s="204">
        <v>6.88E-2</v>
      </c>
      <c r="AV34" s="205" t="s">
        <v>389</v>
      </c>
      <c r="AW34" s="205" t="s">
        <v>390</v>
      </c>
      <c r="AX34" s="205" t="s">
        <v>417</v>
      </c>
      <c r="AY34" s="207" t="s">
        <v>434</v>
      </c>
      <c r="AZ34" s="206">
        <f t="shared" si="3"/>
        <v>4.9399999999999999E-2</v>
      </c>
      <c r="BA34" s="205" t="s">
        <v>392</v>
      </c>
      <c r="BJ34" s="81" t="s">
        <v>291</v>
      </c>
      <c r="BK34" s="204">
        <f>BK10+BK9</f>
        <v>52284837</v>
      </c>
      <c r="BQ34" s="154" t="s">
        <v>389</v>
      </c>
      <c r="BR34" s="81" t="s">
        <v>390</v>
      </c>
      <c r="BS34" s="81" t="s">
        <v>417</v>
      </c>
      <c r="BT34" s="204">
        <f t="shared" si="21"/>
        <v>6.88E-2</v>
      </c>
      <c r="BU34" s="81" t="s">
        <v>392</v>
      </c>
      <c r="BV34" s="204">
        <v>6.88E-2</v>
      </c>
      <c r="BZ34" s="211">
        <f>CO24</f>
        <v>4.9399999999999999E-2</v>
      </c>
      <c r="CA34" s="211"/>
      <c r="CB34" s="81" t="s">
        <v>490</v>
      </c>
      <c r="CC34" s="204">
        <v>-6.94</v>
      </c>
      <c r="CD34" s="204">
        <v>3.6200000000000003E-2</v>
      </c>
      <c r="CH34" s="81" t="s">
        <v>285</v>
      </c>
      <c r="CI34" s="204">
        <v>487</v>
      </c>
      <c r="CJ34" s="204">
        <v>2.62</v>
      </c>
      <c r="CK34" s="81">
        <v>186.01</v>
      </c>
      <c r="CL34" s="81" t="s">
        <v>505</v>
      </c>
      <c r="CN34" s="81" t="s">
        <v>491</v>
      </c>
      <c r="CO34" s="204">
        <v>-5.45</v>
      </c>
      <c r="CP34" s="204">
        <v>2.8299999999999999E-2</v>
      </c>
      <c r="CQ34" s="81">
        <v>-192.79</v>
      </c>
      <c r="CR34" s="81" t="s">
        <v>509</v>
      </c>
      <c r="CS34" s="204">
        <v>2E-16</v>
      </c>
      <c r="CT34" s="81" t="s">
        <v>510</v>
      </c>
      <c r="CV34" s="212" t="s">
        <v>506</v>
      </c>
      <c r="CW34" s="81" t="s">
        <v>476</v>
      </c>
      <c r="CX34" s="204">
        <v>-10</v>
      </c>
      <c r="CY34" s="204">
        <v>2.1000000000000001E-4</v>
      </c>
      <c r="CZ34" s="81">
        <v>-47558</v>
      </c>
      <c r="DA34" s="81" t="s">
        <v>505</v>
      </c>
      <c r="DB34" s="81" t="s">
        <v>510</v>
      </c>
      <c r="DF34" s="81" t="s">
        <v>389</v>
      </c>
      <c r="DG34" s="81" t="s">
        <v>390</v>
      </c>
      <c r="DH34" s="81" t="str">
        <f t="shared" si="14"/>
        <v>f3D</v>
      </c>
      <c r="DI34" s="81" t="s">
        <v>434</v>
      </c>
      <c r="DJ34" s="204">
        <f t="shared" si="15"/>
        <v>0.65</v>
      </c>
      <c r="DK34" s="81" t="s">
        <v>392</v>
      </c>
      <c r="DL34" s="81" t="s">
        <v>418</v>
      </c>
      <c r="DM34" s="286">
        <f t="shared" si="0"/>
        <v>0.70938862229355959</v>
      </c>
      <c r="DN34" s="286">
        <f t="shared" si="1"/>
        <v>0.46100000000000002</v>
      </c>
      <c r="DO34" s="286">
        <f t="shared" si="2"/>
        <v>0.59799999999999998</v>
      </c>
      <c r="DQ34" s="290" t="s">
        <v>506</v>
      </c>
      <c r="DR34" s="290" t="s">
        <v>475</v>
      </c>
      <c r="DS34" s="291">
        <v>1730000</v>
      </c>
      <c r="DT34" s="291">
        <v>9240</v>
      </c>
      <c r="DU34" s="290">
        <v>187</v>
      </c>
      <c r="DV34" s="290" t="s">
        <v>509</v>
      </c>
      <c r="DW34" s="291">
        <v>2E-16</v>
      </c>
      <c r="DX34" s="81" t="s">
        <v>510</v>
      </c>
      <c r="DY34" s="212" t="s">
        <v>568</v>
      </c>
      <c r="DZ34" s="296" t="s">
        <v>406</v>
      </c>
      <c r="EA34" s="292" t="s">
        <v>434</v>
      </c>
      <c r="EB34" s="293">
        <f t="shared" si="25"/>
        <v>197</v>
      </c>
      <c r="EC34" s="212" t="s">
        <v>392</v>
      </c>
      <c r="EE34" s="160" t="s">
        <v>568</v>
      </c>
      <c r="EF34" s="325" t="s">
        <v>406</v>
      </c>
      <c r="EG34" s="322" t="s">
        <v>434</v>
      </c>
      <c r="EH34" s="160">
        <f>$AP21</f>
        <v>199.08073338295438</v>
      </c>
      <c r="EI34" s="160" t="s">
        <v>392</v>
      </c>
      <c r="EK34" s="329" t="s">
        <v>506</v>
      </c>
      <c r="EL34" s="329" t="s">
        <v>475</v>
      </c>
      <c r="EM34" s="333">
        <v>1050000</v>
      </c>
      <c r="EN34" s="333">
        <v>24500</v>
      </c>
      <c r="EO34" s="329">
        <v>42.92</v>
      </c>
      <c r="EP34" s="329" t="s">
        <v>509</v>
      </c>
      <c r="EQ34" s="333">
        <v>2E-16</v>
      </c>
      <c r="ER34" s="329" t="s">
        <v>510</v>
      </c>
      <c r="ES34" s="330" t="s">
        <v>568</v>
      </c>
      <c r="ET34" s="336" t="s">
        <v>406</v>
      </c>
      <c r="EU34" s="331" t="s">
        <v>434</v>
      </c>
      <c r="EV34" s="332">
        <f t="shared" si="26"/>
        <v>211</v>
      </c>
      <c r="EW34" s="330" t="s">
        <v>392</v>
      </c>
    </row>
    <row r="35" spans="1:153" ht="15" customHeight="1" thickTop="1" thickBot="1" x14ac:dyDescent="0.3">
      <c r="A35" s="73">
        <v>2</v>
      </c>
      <c r="B35" s="74">
        <f>B4-B34</f>
        <v>253.99999999999994</v>
      </c>
      <c r="C35" s="73"/>
      <c r="D35" s="73" t="s">
        <v>116</v>
      </c>
      <c r="E35" s="77">
        <v>18</v>
      </c>
      <c r="F35" s="77"/>
      <c r="G35" s="76">
        <f>VLOOKUP(D35,A7:B23,2,0)</f>
        <v>120.6</v>
      </c>
      <c r="L35" s="81"/>
      <c r="M35" s="81"/>
      <c r="N35" s="81" t="s">
        <v>114</v>
      </c>
      <c r="O35" s="3">
        <f>SUM(R6:R9,R15,R17:R20,R25)</f>
        <v>114.98050347397525</v>
      </c>
      <c r="P35" s="3"/>
      <c r="Q35" s="81">
        <f>Q34/5</f>
        <v>11.2</v>
      </c>
      <c r="R35" s="81"/>
      <c r="X35" s="260" t="s">
        <v>115</v>
      </c>
      <c r="Y35" s="261"/>
      <c r="Z35" s="262" t="s">
        <v>21</v>
      </c>
      <c r="AA35" s="275">
        <v>2</v>
      </c>
      <c r="AB35" s="261" t="s">
        <v>5</v>
      </c>
      <c r="AC35" s="261"/>
      <c r="AD35" s="261" t="s">
        <v>22</v>
      </c>
      <c r="AE35" s="264">
        <f>SUM(AE36:AE37)</f>
        <v>0</v>
      </c>
      <c r="AF35" s="14" t="s">
        <v>23</v>
      </c>
      <c r="AG35" s="14">
        <f>SUM(AE37:AE38)</f>
        <v>0</v>
      </c>
      <c r="AH35" s="14"/>
      <c r="AM35" s="154" t="s">
        <v>389</v>
      </c>
      <c r="AN35" s="81" t="s">
        <v>390</v>
      </c>
      <c r="AO35" s="81" t="s">
        <v>418</v>
      </c>
      <c r="AP35" s="81">
        <f>AP28*0.3+0.7</f>
        <v>0.70938862229355959</v>
      </c>
      <c r="AQ35" s="81" t="s">
        <v>392</v>
      </c>
      <c r="AR35" s="204">
        <v>0.46100000000000002</v>
      </c>
      <c r="AV35" s="205" t="s">
        <v>389</v>
      </c>
      <c r="AW35" s="205" t="s">
        <v>390</v>
      </c>
      <c r="AX35" s="205" t="s">
        <v>418</v>
      </c>
      <c r="AY35" s="207" t="s">
        <v>434</v>
      </c>
      <c r="AZ35" s="206">
        <f t="shared" si="3"/>
        <v>0.59799999999999998</v>
      </c>
      <c r="BA35" s="205" t="s">
        <v>392</v>
      </c>
      <c r="BJ35" s="81" t="s">
        <v>285</v>
      </c>
      <c r="BK35" s="81">
        <f>BK15+BK14</f>
        <v>496.89804308980274</v>
      </c>
      <c r="BQ35" s="154" t="s">
        <v>389</v>
      </c>
      <c r="BR35" s="81" t="s">
        <v>390</v>
      </c>
      <c r="BS35" s="81" t="s">
        <v>418</v>
      </c>
      <c r="BT35" s="204">
        <f t="shared" si="21"/>
        <v>0.46100000000000002</v>
      </c>
      <c r="BU35" s="81" t="s">
        <v>392</v>
      </c>
      <c r="BV35" s="204">
        <v>0.46100000000000002</v>
      </c>
      <c r="BZ35" s="211">
        <f>CO25</f>
        <v>0.59799999999999998</v>
      </c>
      <c r="CA35" s="211"/>
      <c r="CB35" s="81" t="s">
        <v>491</v>
      </c>
      <c r="CC35" s="204">
        <v>-6</v>
      </c>
      <c r="CD35" s="204">
        <v>2.3599999999999999E-2</v>
      </c>
      <c r="CH35" s="81" t="s">
        <v>120</v>
      </c>
      <c r="CI35" s="204">
        <v>274</v>
      </c>
      <c r="CJ35" s="204">
        <v>1.37</v>
      </c>
      <c r="CK35" s="81">
        <v>200.04</v>
      </c>
      <c r="CL35" s="81" t="s">
        <v>505</v>
      </c>
      <c r="CN35" s="81" t="s">
        <v>493</v>
      </c>
      <c r="CO35" s="204">
        <v>3.5699999999999998E-3</v>
      </c>
      <c r="CP35" s="204">
        <v>1.0900000000000001E-4</v>
      </c>
      <c r="CQ35" s="81">
        <v>32.700000000000003</v>
      </c>
      <c r="CR35" s="81" t="s">
        <v>509</v>
      </c>
      <c r="CS35" s="204">
        <v>2E-16</v>
      </c>
      <c r="CT35" s="81" t="s">
        <v>510</v>
      </c>
      <c r="CV35" s="212" t="s">
        <v>506</v>
      </c>
      <c r="CW35" s="81" t="s">
        <v>477</v>
      </c>
      <c r="CX35" s="204">
        <v>-10</v>
      </c>
      <c r="CY35" s="204">
        <v>2.1000000000000001E-4</v>
      </c>
      <c r="CZ35" s="81">
        <v>-47558</v>
      </c>
      <c r="DA35" s="81" t="s">
        <v>505</v>
      </c>
      <c r="DB35" s="81" t="s">
        <v>510</v>
      </c>
      <c r="DF35" s="81" t="s">
        <v>389</v>
      </c>
      <c r="DG35" s="81" t="s">
        <v>390</v>
      </c>
      <c r="DH35" s="81" t="str">
        <f t="shared" si="14"/>
        <v>f3N</v>
      </c>
      <c r="DI35" s="81" t="s">
        <v>434</v>
      </c>
      <c r="DJ35" s="204">
        <f t="shared" si="15"/>
        <v>0.64500000000000002</v>
      </c>
      <c r="DK35" s="81" t="s">
        <v>392</v>
      </c>
      <c r="DM35" s="287">
        <f t="shared" si="0"/>
        <v>0</v>
      </c>
      <c r="DN35" s="287">
        <f t="shared" si="1"/>
        <v>0</v>
      </c>
      <c r="DO35" s="287">
        <f t="shared" si="2"/>
        <v>0</v>
      </c>
      <c r="DQ35" s="290" t="s">
        <v>506</v>
      </c>
      <c r="DR35" s="290" t="s">
        <v>291</v>
      </c>
      <c r="DS35" s="291">
        <v>6040000</v>
      </c>
      <c r="DT35" s="291">
        <v>56800</v>
      </c>
      <c r="DU35" s="290">
        <v>106.38</v>
      </c>
      <c r="DV35" s="290" t="s">
        <v>509</v>
      </c>
      <c r="DW35" s="291">
        <v>2E-16</v>
      </c>
      <c r="DX35" s="81" t="s">
        <v>510</v>
      </c>
      <c r="DY35" s="212" t="s">
        <v>568</v>
      </c>
      <c r="DZ35" s="296" t="s">
        <v>407</v>
      </c>
      <c r="EA35" s="292" t="s">
        <v>434</v>
      </c>
      <c r="EB35" s="293">
        <f t="shared" si="25"/>
        <v>74.900000000000006</v>
      </c>
      <c r="EC35" s="212" t="s">
        <v>392</v>
      </c>
      <c r="EE35" s="160" t="s">
        <v>568</v>
      </c>
      <c r="EF35" s="325" t="s">
        <v>407</v>
      </c>
      <c r="EG35" s="322" t="s">
        <v>434</v>
      </c>
      <c r="EH35" s="161">
        <f>$AP22</f>
        <v>91.923239162201668</v>
      </c>
      <c r="EI35" s="160" t="s">
        <v>392</v>
      </c>
      <c r="EK35" s="329" t="s">
        <v>506</v>
      </c>
      <c r="EL35" s="329" t="s">
        <v>291</v>
      </c>
      <c r="EM35" s="333">
        <v>5140000</v>
      </c>
      <c r="EN35" s="333">
        <v>127000</v>
      </c>
      <c r="EO35" s="329">
        <v>40.42</v>
      </c>
      <c r="EP35" s="329" t="s">
        <v>509</v>
      </c>
      <c r="EQ35" s="333">
        <v>2E-16</v>
      </c>
      <c r="ER35" s="329" t="s">
        <v>510</v>
      </c>
      <c r="ES35" s="330" t="s">
        <v>568</v>
      </c>
      <c r="ET35" s="336" t="s">
        <v>407</v>
      </c>
      <c r="EU35" s="331" t="s">
        <v>434</v>
      </c>
      <c r="EV35" s="332">
        <f t="shared" si="26"/>
        <v>106</v>
      </c>
      <c r="EW35" s="330" t="s">
        <v>392</v>
      </c>
    </row>
    <row r="36" spans="1:153" ht="15" customHeight="1" thickTop="1" thickBot="1" x14ac:dyDescent="0.3">
      <c r="A36" s="73">
        <v>3</v>
      </c>
      <c r="B36" s="74">
        <f>G36*2</f>
        <v>0</v>
      </c>
      <c r="C36" s="73"/>
      <c r="D36" s="73" t="s">
        <v>118</v>
      </c>
      <c r="E36" s="346" t="s">
        <v>119</v>
      </c>
      <c r="F36" s="340"/>
      <c r="G36" s="76">
        <f>B17</f>
        <v>0</v>
      </c>
      <c r="L36" s="81"/>
      <c r="M36" s="81"/>
      <c r="N36" s="81" t="s">
        <v>117</v>
      </c>
      <c r="O36" s="3">
        <f>SUM(R10:R13,R21:R24)</f>
        <v>68.2</v>
      </c>
      <c r="Q36" s="81"/>
      <c r="R36" s="81"/>
      <c r="X36" s="271"/>
      <c r="Y36" s="272" t="s">
        <v>16</v>
      </c>
      <c r="Z36" s="272">
        <v>1.361</v>
      </c>
      <c r="AA36" s="272" t="s">
        <v>5</v>
      </c>
      <c r="AB36" s="272"/>
      <c r="AC36" s="272" t="s">
        <v>608</v>
      </c>
      <c r="AD36" s="272">
        <f>(AA35-(1-AD37)*Z36)/0.25</f>
        <v>3.9169999999999998</v>
      </c>
      <c r="AE36" s="276"/>
      <c r="AF36" s="14"/>
      <c r="AG36" s="14"/>
      <c r="AH36" s="14"/>
      <c r="AQ36" s="81" t="s">
        <v>392</v>
      </c>
      <c r="AV36" s="205"/>
      <c r="AW36" s="205"/>
      <c r="AX36" s="205"/>
      <c r="AY36" s="207"/>
      <c r="BA36" s="205"/>
      <c r="BJ36" s="81" t="s">
        <v>457</v>
      </c>
      <c r="BK36" s="3">
        <f>BK32+BK33</f>
        <v>258.44170185594476</v>
      </c>
      <c r="BT36" s="204"/>
      <c r="BU36" s="81" t="s">
        <v>392</v>
      </c>
      <c r="BZ36" s="211"/>
      <c r="CA36" s="211"/>
      <c r="CB36" s="81" t="s">
        <v>492</v>
      </c>
      <c r="CC36" s="204">
        <v>-6.6</v>
      </c>
      <c r="CD36" s="204">
        <v>2.63E-2</v>
      </c>
      <c r="CH36" s="81" t="s">
        <v>488</v>
      </c>
      <c r="CI36" s="204">
        <v>-5.75</v>
      </c>
      <c r="CJ36" s="204">
        <v>2.35E-2</v>
      </c>
      <c r="CK36" s="81">
        <v>-244.53</v>
      </c>
      <c r="CL36" s="81" t="s">
        <v>505</v>
      </c>
      <c r="CN36" s="81" t="s">
        <v>494</v>
      </c>
      <c r="CO36" s="204">
        <v>186</v>
      </c>
      <c r="CP36" s="204">
        <v>2.46</v>
      </c>
      <c r="CQ36" s="81">
        <v>75.599999999999994</v>
      </c>
      <c r="CR36" s="81" t="s">
        <v>509</v>
      </c>
      <c r="CS36" s="204">
        <v>2E-16</v>
      </c>
      <c r="CT36" s="81" t="s">
        <v>510</v>
      </c>
      <c r="CV36" s="212" t="s">
        <v>506</v>
      </c>
      <c r="CW36" s="81" t="s">
        <v>528</v>
      </c>
      <c r="CX36" s="204">
        <v>-10</v>
      </c>
      <c r="CY36" s="204">
        <v>2.1000000000000001E-4</v>
      </c>
      <c r="CZ36" s="81">
        <v>-47558</v>
      </c>
      <c r="DA36" s="81" t="s">
        <v>505</v>
      </c>
      <c r="DB36" s="81" t="s">
        <v>510</v>
      </c>
      <c r="DF36" s="81" t="s">
        <v>389</v>
      </c>
      <c r="DG36" s="81" t="s">
        <v>390</v>
      </c>
      <c r="DH36" s="81" t="str">
        <f t="shared" si="14"/>
        <v>f5D</v>
      </c>
      <c r="DI36" s="81" t="s">
        <v>434</v>
      </c>
      <c r="DJ36" s="204">
        <f t="shared" si="15"/>
        <v>7.0000000000000007E-2</v>
      </c>
      <c r="DK36" s="81" t="s">
        <v>392</v>
      </c>
      <c r="DL36" s="81" t="s">
        <v>419</v>
      </c>
      <c r="DM36" s="289">
        <f t="shared" si="0"/>
        <v>270.72297242395007</v>
      </c>
      <c r="DN36" s="289">
        <f t="shared" si="1"/>
        <v>467</v>
      </c>
      <c r="DO36" s="289">
        <f t="shared" si="2"/>
        <v>194</v>
      </c>
      <c r="DQ36" s="290" t="s">
        <v>506</v>
      </c>
      <c r="DR36" s="290" t="s">
        <v>293</v>
      </c>
      <c r="DS36" s="291">
        <v>8110000</v>
      </c>
      <c r="DT36" s="291">
        <v>54900</v>
      </c>
      <c r="DU36" s="290">
        <v>147.57</v>
      </c>
      <c r="DV36" s="290" t="s">
        <v>509</v>
      </c>
      <c r="DW36" s="291">
        <v>2E-16</v>
      </c>
      <c r="DX36" s="81" t="s">
        <v>510</v>
      </c>
      <c r="DY36" s="212" t="s">
        <v>568</v>
      </c>
      <c r="DZ36" s="297" t="s">
        <v>409</v>
      </c>
      <c r="EA36" s="292" t="s">
        <v>434</v>
      </c>
      <c r="EB36" s="293">
        <f>DS59</f>
        <v>60.1</v>
      </c>
      <c r="EC36" s="212" t="s">
        <v>392</v>
      </c>
      <c r="EE36" s="160" t="s">
        <v>568</v>
      </c>
      <c r="EF36" s="327" t="s">
        <v>409</v>
      </c>
      <c r="EG36" s="322" t="s">
        <v>434</v>
      </c>
      <c r="EH36" s="160">
        <f>$AP24</f>
        <v>20.614556962025318</v>
      </c>
      <c r="EI36" s="160" t="s">
        <v>392</v>
      </c>
      <c r="EK36" s="329" t="s">
        <v>506</v>
      </c>
      <c r="EL36" s="329" t="s">
        <v>293</v>
      </c>
      <c r="EM36" s="333">
        <v>9450000</v>
      </c>
      <c r="EN36" s="333">
        <v>125000</v>
      </c>
      <c r="EO36" s="329">
        <v>75.36</v>
      </c>
      <c r="EP36" s="329" t="s">
        <v>509</v>
      </c>
      <c r="EQ36" s="333">
        <v>2E-16</v>
      </c>
      <c r="ER36" s="329" t="s">
        <v>510</v>
      </c>
      <c r="ES36" s="330" t="s">
        <v>568</v>
      </c>
      <c r="ET36" s="337" t="s">
        <v>409</v>
      </c>
      <c r="EU36" s="331" t="s">
        <v>434</v>
      </c>
      <c r="EV36" s="332">
        <f>EM59</f>
        <v>68.099999999999994</v>
      </c>
      <c r="EW36" s="330" t="s">
        <v>392</v>
      </c>
    </row>
    <row r="37" spans="1:153" ht="15" customHeight="1" thickTop="1" thickBot="1" x14ac:dyDescent="0.3">
      <c r="L37" s="81"/>
      <c r="M37" s="81"/>
      <c r="N37" s="81" t="s">
        <v>120</v>
      </c>
      <c r="O37" s="3">
        <f>'Verwarming Tabula'!B60</f>
        <v>138.03320000000002</v>
      </c>
      <c r="Q37" s="81"/>
      <c r="R37" s="81"/>
      <c r="X37" s="237"/>
      <c r="Y37" s="219" t="s">
        <v>121</v>
      </c>
      <c r="Z37" s="219">
        <v>0.47</v>
      </c>
      <c r="AA37" s="219"/>
      <c r="AB37" s="219"/>
      <c r="AC37" s="219" t="s">
        <v>607</v>
      </c>
      <c r="AD37" s="219">
        <v>0.25</v>
      </c>
      <c r="AE37" s="242"/>
      <c r="AF37" s="14"/>
      <c r="AG37" s="14"/>
      <c r="AH37" s="14"/>
      <c r="AM37" s="154" t="s">
        <v>389</v>
      </c>
      <c r="AN37" s="81" t="s">
        <v>390</v>
      </c>
      <c r="AO37" s="81" t="s">
        <v>419</v>
      </c>
      <c r="AP37" s="81">
        <f>SUM(O17:O20)*(1/(SUM(AD18:AD19)/2+1/4))+O25*(1/(SUM(AD9:AD10)/2+1/4))</f>
        <v>270.72297242395007</v>
      </c>
      <c r="AQ37" s="81" t="s">
        <v>392</v>
      </c>
      <c r="AR37" s="204">
        <v>467</v>
      </c>
      <c r="AV37" s="205" t="s">
        <v>389</v>
      </c>
      <c r="AW37" s="205" t="s">
        <v>390</v>
      </c>
      <c r="AX37" s="205" t="s">
        <v>419</v>
      </c>
      <c r="AY37" s="207" t="s">
        <v>434</v>
      </c>
      <c r="AZ37" s="206">
        <f t="shared" si="3"/>
        <v>194</v>
      </c>
      <c r="BA37" s="205" t="s">
        <v>392</v>
      </c>
      <c r="BQ37" s="154" t="s">
        <v>389</v>
      </c>
      <c r="BR37" s="81" t="s">
        <v>390</v>
      </c>
      <c r="BS37" s="81" t="s">
        <v>419</v>
      </c>
      <c r="BT37" s="204">
        <f t="shared" si="21"/>
        <v>467</v>
      </c>
      <c r="BU37" s="81" t="s">
        <v>392</v>
      </c>
      <c r="BV37" s="204">
        <v>467</v>
      </c>
      <c r="BZ37" s="211">
        <f>CO27</f>
        <v>194</v>
      </c>
      <c r="CA37" s="211"/>
      <c r="CB37" s="81" t="s">
        <v>493</v>
      </c>
      <c r="CC37" s="204">
        <v>6.4400000000000004E-3</v>
      </c>
      <c r="CD37" s="204">
        <v>1.36E-4</v>
      </c>
      <c r="CH37" s="81" t="s">
        <v>489</v>
      </c>
      <c r="CI37" s="204">
        <v>-6.06</v>
      </c>
      <c r="CJ37" s="204">
        <v>2.58E-2</v>
      </c>
      <c r="CK37" s="81">
        <v>-234.52</v>
      </c>
      <c r="CL37" s="81" t="s">
        <v>505</v>
      </c>
      <c r="CN37" s="81" t="s">
        <v>495</v>
      </c>
      <c r="CO37" s="204">
        <v>761</v>
      </c>
      <c r="CP37" s="204">
        <v>784</v>
      </c>
      <c r="CQ37" s="81">
        <v>0.97</v>
      </c>
      <c r="CR37" s="81">
        <v>0.33200000000000002</v>
      </c>
      <c r="CV37" s="212" t="s">
        <v>506</v>
      </c>
      <c r="CW37" s="81" t="s">
        <v>529</v>
      </c>
      <c r="CX37" s="204">
        <v>-10</v>
      </c>
      <c r="CY37" s="204">
        <v>2.1000000000000001E-4</v>
      </c>
      <c r="CZ37" s="81">
        <v>-47558</v>
      </c>
      <c r="DA37" s="81" t="s">
        <v>505</v>
      </c>
      <c r="DB37" s="81" t="s">
        <v>510</v>
      </c>
      <c r="DF37" s="81" t="s">
        <v>389</v>
      </c>
      <c r="DG37" s="81" t="s">
        <v>390</v>
      </c>
      <c r="DH37" s="81" t="str">
        <f t="shared" si="14"/>
        <v>f5N</v>
      </c>
      <c r="DI37" s="81" t="s">
        <v>434</v>
      </c>
      <c r="DJ37" s="204">
        <f t="shared" si="15"/>
        <v>0.13</v>
      </c>
      <c r="DK37" s="81" t="s">
        <v>392</v>
      </c>
      <c r="DL37" s="81" t="s">
        <v>420</v>
      </c>
      <c r="DM37" s="289">
        <f t="shared" si="0"/>
        <v>297.81730970684839</v>
      </c>
      <c r="DN37" s="289">
        <f t="shared" si="1"/>
        <v>247</v>
      </c>
      <c r="DO37" s="289">
        <f t="shared" si="2"/>
        <v>83.2</v>
      </c>
      <c r="DQ37" s="290" t="s">
        <v>506</v>
      </c>
      <c r="DR37" s="290" t="s">
        <v>476</v>
      </c>
      <c r="DS37" s="291">
        <v>-6.65</v>
      </c>
      <c r="DT37" s="291">
        <v>7.3400000000000007E-2</v>
      </c>
      <c r="DU37" s="290">
        <v>-90.61</v>
      </c>
      <c r="DV37" s="290" t="s">
        <v>509</v>
      </c>
      <c r="DW37" s="291">
        <v>2E-16</v>
      </c>
      <c r="DX37" s="81" t="s">
        <v>510</v>
      </c>
      <c r="DY37" s="212" t="s">
        <v>568</v>
      </c>
      <c r="DZ37" s="297" t="s">
        <v>408</v>
      </c>
      <c r="EA37" s="292" t="s">
        <v>434</v>
      </c>
      <c r="EB37" s="293">
        <f>1/DS56</f>
        <v>48.309178743961354</v>
      </c>
      <c r="EC37" s="212" t="s">
        <v>392</v>
      </c>
      <c r="EE37" s="160" t="s">
        <v>568</v>
      </c>
      <c r="EF37" s="327" t="s">
        <v>408</v>
      </c>
      <c r="EG37" s="322" t="s">
        <v>434</v>
      </c>
      <c r="EH37" s="160">
        <f>$AP23</f>
        <v>49.736990917918547</v>
      </c>
      <c r="EI37" s="160" t="s">
        <v>392</v>
      </c>
      <c r="EK37" s="329" t="s">
        <v>506</v>
      </c>
      <c r="EL37" s="329" t="s">
        <v>476</v>
      </c>
      <c r="EM37" s="333">
        <v>-3.83</v>
      </c>
      <c r="EN37" s="333">
        <v>5.8200000000000002E-2</v>
      </c>
      <c r="EO37" s="329">
        <v>-65.739999999999995</v>
      </c>
      <c r="EP37" s="329" t="s">
        <v>509</v>
      </c>
      <c r="EQ37" s="333">
        <v>2E-16</v>
      </c>
      <c r="ER37" s="329" t="s">
        <v>510</v>
      </c>
      <c r="ES37" s="330" t="s">
        <v>568</v>
      </c>
      <c r="ET37" s="337" t="s">
        <v>408</v>
      </c>
      <c r="EU37" s="331" t="s">
        <v>434</v>
      </c>
      <c r="EV37" s="332">
        <f>1/EM56</f>
        <v>46.082949308755758</v>
      </c>
      <c r="EW37" s="330" t="s">
        <v>392</v>
      </c>
    </row>
    <row r="38" spans="1:153" ht="15" customHeight="1" thickTop="1" thickBot="1" x14ac:dyDescent="0.3">
      <c r="B38" s="3"/>
      <c r="L38" s="81"/>
      <c r="M38" s="81"/>
      <c r="N38" s="81"/>
      <c r="O38" s="3"/>
      <c r="Q38" s="81"/>
      <c r="R38" s="81"/>
      <c r="X38" s="258"/>
      <c r="Y38" s="258"/>
      <c r="Z38" s="258"/>
      <c r="AA38" s="258"/>
      <c r="AB38" s="258"/>
      <c r="AC38" s="258"/>
      <c r="AD38" s="258"/>
      <c r="AE38" s="258"/>
      <c r="AF38" s="14"/>
      <c r="AG38" s="14"/>
      <c r="AH38" s="14"/>
      <c r="AM38" s="154" t="s">
        <v>389</v>
      </c>
      <c r="AN38" s="81" t="s">
        <v>390</v>
      </c>
      <c r="AO38" s="81" t="s">
        <v>420</v>
      </c>
      <c r="AP38" s="81">
        <f>2*AA21*O28+1*O31*AA52+2*O29*AA27</f>
        <v>297.81730970684839</v>
      </c>
      <c r="AQ38" s="81" t="s">
        <v>392</v>
      </c>
      <c r="AR38" s="204">
        <v>247</v>
      </c>
      <c r="AV38" s="205" t="s">
        <v>389</v>
      </c>
      <c r="AW38" s="205" t="s">
        <v>390</v>
      </c>
      <c r="AX38" s="205" t="s">
        <v>420</v>
      </c>
      <c r="AY38" s="207" t="s">
        <v>434</v>
      </c>
      <c r="AZ38" s="206">
        <f t="shared" si="3"/>
        <v>83.2</v>
      </c>
      <c r="BA38" s="205" t="s">
        <v>392</v>
      </c>
      <c r="BQ38" s="154" t="s">
        <v>389</v>
      </c>
      <c r="BR38" s="81" t="s">
        <v>390</v>
      </c>
      <c r="BS38" s="81" t="s">
        <v>420</v>
      </c>
      <c r="BT38" s="204">
        <f t="shared" si="21"/>
        <v>247</v>
      </c>
      <c r="BU38" s="81" t="s">
        <v>392</v>
      </c>
      <c r="BV38" s="204">
        <v>247</v>
      </c>
      <c r="BZ38" s="211">
        <f>CO28</f>
        <v>83.2</v>
      </c>
      <c r="CA38" s="211"/>
      <c r="CB38" s="81" t="s">
        <v>494</v>
      </c>
      <c r="CC38" s="204">
        <v>143</v>
      </c>
      <c r="CD38" s="204">
        <v>1.36</v>
      </c>
      <c r="CH38" s="81" t="s">
        <v>490</v>
      </c>
      <c r="CI38" s="204">
        <v>-6.94</v>
      </c>
      <c r="CJ38" s="204">
        <v>3.6200000000000003E-2</v>
      </c>
      <c r="CK38" s="81">
        <v>-191.49</v>
      </c>
      <c r="CL38" s="81" t="s">
        <v>505</v>
      </c>
      <c r="CV38" s="212" t="s">
        <v>506</v>
      </c>
      <c r="CW38" s="81" t="s">
        <v>400</v>
      </c>
      <c r="CX38" s="204">
        <v>0.06</v>
      </c>
      <c r="CY38" s="204">
        <v>9.4099999999999997E-7</v>
      </c>
      <c r="CZ38" s="81">
        <v>63794</v>
      </c>
      <c r="DA38" s="81" t="s">
        <v>505</v>
      </c>
      <c r="DB38" s="81" t="s">
        <v>510</v>
      </c>
      <c r="DF38" s="81" t="s">
        <v>389</v>
      </c>
      <c r="DG38" s="81" t="s">
        <v>390</v>
      </c>
      <c r="DH38" s="81" t="str">
        <f t="shared" si="14"/>
        <v>hwD</v>
      </c>
      <c r="DI38" s="81" t="s">
        <v>434</v>
      </c>
      <c r="DJ38" s="204">
        <f t="shared" si="15"/>
        <v>281</v>
      </c>
      <c r="DK38" s="81" t="s">
        <v>392</v>
      </c>
      <c r="DL38" s="81" t="s">
        <v>421</v>
      </c>
      <c r="DM38" s="289">
        <f t="shared" si="0"/>
        <v>51.346760837798342</v>
      </c>
      <c r="DN38" s="289">
        <f t="shared" si="1"/>
        <v>82.5</v>
      </c>
      <c r="DO38" s="289">
        <f t="shared" si="2"/>
        <v>64.400000000000006</v>
      </c>
      <c r="DQ38" s="290" t="s">
        <v>506</v>
      </c>
      <c r="DR38" s="290" t="s">
        <v>477</v>
      </c>
      <c r="DS38" s="291">
        <v>-21.3</v>
      </c>
      <c r="DT38" s="291">
        <v>21.9</v>
      </c>
      <c r="DU38" s="290">
        <v>-0.97</v>
      </c>
      <c r="DV38" s="290">
        <v>0.33029999999999998</v>
      </c>
      <c r="DW38" s="291"/>
      <c r="DY38" s="212" t="s">
        <v>568</v>
      </c>
      <c r="DZ38" s="294" t="s">
        <v>400</v>
      </c>
      <c r="EA38" s="292" t="s">
        <v>434</v>
      </c>
      <c r="EB38" s="293">
        <f>DS42</f>
        <v>5.4600000000000003E-2</v>
      </c>
      <c r="EC38" s="212" t="s">
        <v>392</v>
      </c>
      <c r="EE38" s="160" t="s">
        <v>568</v>
      </c>
      <c r="EF38" s="323" t="s">
        <v>400</v>
      </c>
      <c r="EG38" s="322" t="s">
        <v>434</v>
      </c>
      <c r="EH38" s="160">
        <f>$AP14</f>
        <v>4.5174606420727743E-2</v>
      </c>
      <c r="EI38" s="160" t="s">
        <v>392</v>
      </c>
      <c r="EK38" s="329" t="s">
        <v>506</v>
      </c>
      <c r="EL38" s="329" t="s">
        <v>477</v>
      </c>
      <c r="EM38" s="333">
        <v>-17.600000000000001</v>
      </c>
      <c r="EN38" s="333">
        <v>9.6</v>
      </c>
      <c r="EO38" s="329">
        <v>-1.83</v>
      </c>
      <c r="EP38" s="329">
        <v>6.7369999999999999E-2</v>
      </c>
      <c r="EQ38" s="333" t="s">
        <v>557</v>
      </c>
      <c r="ES38" s="330" t="s">
        <v>568</v>
      </c>
      <c r="ET38" s="334" t="s">
        <v>400</v>
      </c>
      <c r="EU38" s="331" t="s">
        <v>434</v>
      </c>
      <c r="EV38" s="332">
        <f>EM42</f>
        <v>5.0999999999999997E-2</v>
      </c>
      <c r="EW38" s="330" t="s">
        <v>392</v>
      </c>
    </row>
    <row r="39" spans="1:153" ht="15" customHeight="1" thickTop="1" thickBot="1" x14ac:dyDescent="0.3">
      <c r="L39" s="81"/>
      <c r="M39" s="81"/>
      <c r="N39" s="81" t="s">
        <v>122</v>
      </c>
      <c r="O39" s="3">
        <f>B4*1.204*1012*5/1000000</f>
        <v>3.7522106159999993</v>
      </c>
      <c r="P39" s="81" t="s">
        <v>123</v>
      </c>
      <c r="R39" s="81"/>
      <c r="X39" s="258"/>
      <c r="Y39" s="258"/>
      <c r="Z39" s="259"/>
      <c r="AA39" s="259"/>
      <c r="AB39" s="259"/>
      <c r="AC39" s="258"/>
      <c r="AD39" s="258"/>
      <c r="AE39" s="258"/>
      <c r="AF39" s="14"/>
      <c r="AG39" s="14"/>
      <c r="AH39" s="14"/>
      <c r="AM39" s="154" t="s">
        <v>389</v>
      </c>
      <c r="AN39" s="81" t="s">
        <v>390</v>
      </c>
      <c r="AO39" s="81" t="s">
        <v>421</v>
      </c>
      <c r="AP39" s="3">
        <f>'Verwarming Tabula 2zone Ref 1'!B139+SUM(R21:R24)</f>
        <v>51.346760837798342</v>
      </c>
      <c r="AQ39" s="81" t="s">
        <v>392</v>
      </c>
      <c r="AR39" s="204">
        <v>82.5</v>
      </c>
      <c r="AV39" s="205" t="s">
        <v>389</v>
      </c>
      <c r="AW39" s="205" t="s">
        <v>390</v>
      </c>
      <c r="AX39" s="205" t="s">
        <v>421</v>
      </c>
      <c r="AY39" s="207" t="s">
        <v>434</v>
      </c>
      <c r="AZ39" s="206">
        <f t="shared" si="3"/>
        <v>64.400000000000006</v>
      </c>
      <c r="BA39" s="205" t="s">
        <v>392</v>
      </c>
      <c r="BQ39" s="154" t="s">
        <v>389</v>
      </c>
      <c r="BR39" s="81" t="s">
        <v>390</v>
      </c>
      <c r="BS39" s="81" t="s">
        <v>421</v>
      </c>
      <c r="BT39" s="204">
        <f t="shared" si="21"/>
        <v>82.5</v>
      </c>
      <c r="BU39" s="81" t="s">
        <v>392</v>
      </c>
      <c r="BV39" s="204">
        <v>82.5</v>
      </c>
      <c r="BZ39" s="211">
        <f>CO29</f>
        <v>64.400000000000006</v>
      </c>
      <c r="CA39" s="211"/>
      <c r="CB39" s="81" t="s">
        <v>495</v>
      </c>
      <c r="CC39" s="204">
        <v>1.35E-4</v>
      </c>
      <c r="CD39" s="204">
        <v>1.1900000000000001E-3</v>
      </c>
      <c r="CH39" s="81" t="s">
        <v>491</v>
      </c>
      <c r="CI39" s="204">
        <v>-6</v>
      </c>
      <c r="CJ39" s="204">
        <v>2.3599999999999999E-2</v>
      </c>
      <c r="CK39" s="81">
        <v>-254.34</v>
      </c>
      <c r="CL39" s="81" t="s">
        <v>505</v>
      </c>
      <c r="CV39" s="212" t="s">
        <v>506</v>
      </c>
      <c r="CW39" s="81" t="s">
        <v>416</v>
      </c>
      <c r="CX39" s="204">
        <v>0.16</v>
      </c>
      <c r="CY39" s="204">
        <v>2.48E-6</v>
      </c>
      <c r="CZ39" s="81">
        <v>64442</v>
      </c>
      <c r="DA39" s="81" t="s">
        <v>505</v>
      </c>
      <c r="DB39" s="81" t="s">
        <v>510</v>
      </c>
      <c r="DF39" s="81" t="s">
        <v>389</v>
      </c>
      <c r="DG39" s="81" t="s">
        <v>390</v>
      </c>
      <c r="DH39" s="81" t="str">
        <f t="shared" si="14"/>
        <v>hwiD</v>
      </c>
      <c r="DI39" s="81" t="s">
        <v>434</v>
      </c>
      <c r="DJ39" s="204">
        <f t="shared" si="15"/>
        <v>705</v>
      </c>
      <c r="DK39" s="81" t="s">
        <v>392</v>
      </c>
      <c r="DL39" s="81" t="s">
        <v>422</v>
      </c>
      <c r="DM39" s="289">
        <f t="shared" si="0"/>
        <v>110.35617272728382</v>
      </c>
      <c r="DN39" s="289">
        <f t="shared" si="1"/>
        <v>171.23287671232879</v>
      </c>
      <c r="DO39" s="289">
        <f t="shared" si="2"/>
        <v>280.1120448179272</v>
      </c>
      <c r="DQ39" s="290" t="s">
        <v>506</v>
      </c>
      <c r="DR39" s="290" t="s">
        <v>478</v>
      </c>
      <c r="DS39" s="291">
        <v>-27.7</v>
      </c>
      <c r="DT39" s="291">
        <v>17.399999999999999</v>
      </c>
      <c r="DU39" s="290">
        <v>-1.59</v>
      </c>
      <c r="DV39" s="290">
        <v>0.111</v>
      </c>
      <c r="DW39" s="291"/>
      <c r="DY39" s="212" t="s">
        <v>568</v>
      </c>
      <c r="DZ39" s="295" t="s">
        <v>401</v>
      </c>
      <c r="EA39" s="292" t="s">
        <v>434</v>
      </c>
      <c r="EB39" s="293">
        <f t="shared" ref="EB39:EB42" si="27">DS43</f>
        <v>0.106</v>
      </c>
      <c r="EC39" s="212" t="s">
        <v>392</v>
      </c>
      <c r="EE39" s="160" t="s">
        <v>568</v>
      </c>
      <c r="EF39" s="324" t="s">
        <v>401</v>
      </c>
      <c r="EG39" s="322" t="s">
        <v>434</v>
      </c>
      <c r="EH39" s="160">
        <f>$AP15</f>
        <v>0.11148096801011302</v>
      </c>
      <c r="EI39" s="160" t="s">
        <v>392</v>
      </c>
      <c r="EK39" s="329" t="s">
        <v>506</v>
      </c>
      <c r="EL39" s="329" t="s">
        <v>478</v>
      </c>
      <c r="EM39" s="333">
        <v>-14.2</v>
      </c>
      <c r="EN39" s="333">
        <v>99.9</v>
      </c>
      <c r="EO39" s="329">
        <v>-0.14000000000000001</v>
      </c>
      <c r="EP39" s="329">
        <v>0.88734000000000002</v>
      </c>
      <c r="EQ39" s="333"/>
      <c r="ES39" s="330" t="s">
        <v>568</v>
      </c>
      <c r="ET39" s="335" t="s">
        <v>401</v>
      </c>
      <c r="EU39" s="331" t="s">
        <v>434</v>
      </c>
      <c r="EV39" s="332">
        <f t="shared" ref="EV39:EV42" si="28">EM43</f>
        <v>0.10199999999999999</v>
      </c>
      <c r="EW39" s="330" t="s">
        <v>392</v>
      </c>
    </row>
    <row r="40" spans="1:153" ht="15" customHeight="1" thickTop="1" thickBot="1" x14ac:dyDescent="0.3">
      <c r="A40" s="81" t="s">
        <v>271</v>
      </c>
      <c r="L40" s="81"/>
      <c r="M40" s="81"/>
      <c r="N40" s="81" t="s">
        <v>124</v>
      </c>
      <c r="O40" s="3">
        <f>SUM(S6:S9,S15)/1000000</f>
        <v>23.900233936500005</v>
      </c>
      <c r="P40" s="81" t="s">
        <v>125</v>
      </c>
      <c r="Q40" s="3">
        <f>SUM(U6:U9,U15)/1000000</f>
        <v>12.164747100000001</v>
      </c>
      <c r="R40" s="81"/>
      <c r="X40" s="260" t="s">
        <v>63</v>
      </c>
      <c r="Y40" s="261"/>
      <c r="Z40" s="262" t="s">
        <v>21</v>
      </c>
      <c r="AA40" s="263">
        <f>1/(1/10+SUM(AD42:AD46))</f>
        <v>0.66596194503171247</v>
      </c>
      <c r="AB40" s="261" t="s">
        <v>5</v>
      </c>
      <c r="AC40" s="261"/>
      <c r="AD40" s="261" t="s">
        <v>22</v>
      </c>
      <c r="AE40" s="264">
        <f>SUM(AE42:AE46)</f>
        <v>465288.8</v>
      </c>
      <c r="AF40" s="14" t="s">
        <v>23</v>
      </c>
      <c r="AG40" s="14">
        <f>SUM(AE42:AE43)</f>
        <v>110960</v>
      </c>
      <c r="AH40" s="14"/>
      <c r="AM40" s="154" t="s">
        <v>389</v>
      </c>
      <c r="AN40" s="81" t="s">
        <v>390</v>
      </c>
      <c r="AO40" s="81" t="s">
        <v>422</v>
      </c>
      <c r="AP40" s="81">
        <f>SUM(O17:O20)*1/(SUM(AD15:AD17)+SUM(AD18:AD19)/2+1/23)+O25*1/(SUM(AD7:AD8)+SUM(AD9:AD10)/2+1/23)</f>
        <v>110.35617272728382</v>
      </c>
      <c r="AQ40" s="81" t="s">
        <v>392</v>
      </c>
      <c r="AR40" s="81">
        <f>1/(0.00584)</f>
        <v>171.23287671232879</v>
      </c>
      <c r="AV40" s="205" t="s">
        <v>389</v>
      </c>
      <c r="AW40" s="205" t="s">
        <v>390</v>
      </c>
      <c r="AX40" s="205" t="s">
        <v>422</v>
      </c>
      <c r="AY40" s="207" t="s">
        <v>434</v>
      </c>
      <c r="AZ40" s="206">
        <f t="shared" si="3"/>
        <v>280.1120448179272</v>
      </c>
      <c r="BA40" s="205" t="s">
        <v>392</v>
      </c>
      <c r="BQ40" s="154" t="s">
        <v>389</v>
      </c>
      <c r="BR40" s="81" t="s">
        <v>390</v>
      </c>
      <c r="BS40" s="81" t="s">
        <v>422</v>
      </c>
      <c r="BT40" s="204">
        <f t="shared" si="21"/>
        <v>171.23287671232879</v>
      </c>
      <c r="BU40" s="81" t="s">
        <v>392</v>
      </c>
      <c r="BV40" s="81">
        <f>1/(0.00584)</f>
        <v>171.23287671232879</v>
      </c>
      <c r="BZ40" s="211">
        <f>1/CO35</f>
        <v>280.1120448179272</v>
      </c>
      <c r="CA40" s="211"/>
      <c r="CB40" s="81" t="s">
        <v>496</v>
      </c>
      <c r="CC40" s="204">
        <v>58.3</v>
      </c>
      <c r="CD40" s="204">
        <v>1.63</v>
      </c>
      <c r="CH40" s="81" t="s">
        <v>492</v>
      </c>
      <c r="CI40" s="204">
        <v>-6.6</v>
      </c>
      <c r="CJ40" s="204">
        <v>2.63E-2</v>
      </c>
      <c r="CK40" s="81">
        <v>-250.67</v>
      </c>
      <c r="CL40" s="81" t="s">
        <v>505</v>
      </c>
      <c r="CV40" s="212" t="s">
        <v>506</v>
      </c>
      <c r="CW40" s="81" t="s">
        <v>417</v>
      </c>
      <c r="CX40" s="204">
        <v>5.2999999999999999E-2</v>
      </c>
      <c r="CY40" s="204">
        <v>8.3099999999999996E-7</v>
      </c>
      <c r="CZ40" s="81">
        <v>63749</v>
      </c>
      <c r="DA40" s="81" t="s">
        <v>505</v>
      </c>
      <c r="DB40" s="81" t="s">
        <v>510</v>
      </c>
      <c r="DF40" s="81" t="s">
        <v>389</v>
      </c>
      <c r="DG40" s="81" t="s">
        <v>390</v>
      </c>
      <c r="DH40" s="81" t="str">
        <f t="shared" si="14"/>
        <v>hwiN</v>
      </c>
      <c r="DI40" s="81" t="s">
        <v>434</v>
      </c>
      <c r="DJ40" s="204">
        <f t="shared" si="15"/>
        <v>882</v>
      </c>
      <c r="DK40" s="81" t="s">
        <v>392</v>
      </c>
      <c r="DM40" s="287">
        <f t="shared" si="0"/>
        <v>0</v>
      </c>
      <c r="DN40" s="287">
        <f t="shared" si="1"/>
        <v>0</v>
      </c>
      <c r="DO40" s="287">
        <f t="shared" si="2"/>
        <v>0</v>
      </c>
      <c r="DQ40" s="290" t="s">
        <v>506</v>
      </c>
      <c r="DR40" s="290" t="s">
        <v>479</v>
      </c>
      <c r="DS40" s="291">
        <v>-15.3</v>
      </c>
      <c r="DT40" s="291">
        <v>14.7</v>
      </c>
      <c r="DU40" s="290">
        <v>-1.04</v>
      </c>
      <c r="DV40" s="291">
        <v>0.29780000000000001</v>
      </c>
      <c r="DY40" s="212" t="s">
        <v>568</v>
      </c>
      <c r="DZ40" s="295" t="s">
        <v>402</v>
      </c>
      <c r="EA40" s="292" t="s">
        <v>434</v>
      </c>
      <c r="EB40" s="293">
        <f t="shared" si="27"/>
        <v>0.70799999999999996</v>
      </c>
      <c r="EC40" s="212" t="s">
        <v>392</v>
      </c>
      <c r="EE40" s="160" t="s">
        <v>568</v>
      </c>
      <c r="EF40" s="324" t="s">
        <v>402</v>
      </c>
      <c r="EG40" s="322" t="s">
        <v>434</v>
      </c>
      <c r="EH40" s="160">
        <f>$AP16</f>
        <v>0.71165207368750494</v>
      </c>
      <c r="EI40" s="160" t="s">
        <v>392</v>
      </c>
      <c r="EK40" s="329" t="s">
        <v>506</v>
      </c>
      <c r="EL40" s="329" t="s">
        <v>479</v>
      </c>
      <c r="EM40" s="333">
        <v>-13.4</v>
      </c>
      <c r="EN40" s="333">
        <v>89.1</v>
      </c>
      <c r="EO40" s="329">
        <v>-0.15</v>
      </c>
      <c r="EP40" s="333">
        <v>0.88043000000000005</v>
      </c>
      <c r="ES40" s="330" t="s">
        <v>568</v>
      </c>
      <c r="ET40" s="335" t="s">
        <v>402</v>
      </c>
      <c r="EU40" s="331" t="s">
        <v>434</v>
      </c>
      <c r="EV40" s="332">
        <f t="shared" si="28"/>
        <v>0.64300000000000002</v>
      </c>
      <c r="EW40" s="330" t="s">
        <v>392</v>
      </c>
    </row>
    <row r="41" spans="1:153" ht="15" customHeight="1" thickTop="1" thickBot="1" x14ac:dyDescent="0.3">
      <c r="A41" s="148" t="s">
        <v>272</v>
      </c>
      <c r="L41" s="81"/>
      <c r="M41" s="81"/>
      <c r="N41" s="81" t="s">
        <v>126</v>
      </c>
      <c r="O41" s="3">
        <f>SUM(S26:S27)/1000000</f>
        <v>54.621285000000015</v>
      </c>
      <c r="P41" s="81" t="s">
        <v>125</v>
      </c>
      <c r="Q41" s="3">
        <f>SUM(U26:U27)/1000000</f>
        <v>54.621285000000015</v>
      </c>
      <c r="R41" s="81"/>
      <c r="X41" s="265"/>
      <c r="Y41" s="266" t="s">
        <v>27</v>
      </c>
      <c r="Z41" s="266" t="s">
        <v>28</v>
      </c>
      <c r="AA41" s="266" t="s">
        <v>29</v>
      </c>
      <c r="AB41" s="266" t="s">
        <v>30</v>
      </c>
      <c r="AC41" s="266" t="s">
        <v>31</v>
      </c>
      <c r="AD41" s="266" t="s">
        <v>32</v>
      </c>
      <c r="AE41" s="267" t="s">
        <v>33</v>
      </c>
      <c r="AF41" s="14"/>
      <c r="AG41" s="14"/>
      <c r="AH41" s="14"/>
      <c r="AQ41" s="81" t="s">
        <v>392</v>
      </c>
      <c r="AV41" s="205"/>
      <c r="AW41" s="205"/>
      <c r="AX41" s="205"/>
      <c r="AY41" s="207"/>
      <c r="BA41" s="205"/>
      <c r="BT41" s="204"/>
      <c r="BU41" s="81" t="s">
        <v>392</v>
      </c>
      <c r="BZ41" s="211"/>
      <c r="CA41" s="211"/>
      <c r="CH41" s="81" t="s">
        <v>493</v>
      </c>
      <c r="CI41" s="204">
        <v>6.4400000000000004E-3</v>
      </c>
      <c r="CJ41" s="204">
        <v>1.36E-4</v>
      </c>
      <c r="CK41" s="81">
        <v>47.2</v>
      </c>
      <c r="CL41" s="81" t="s">
        <v>505</v>
      </c>
      <c r="CV41" s="212" t="s">
        <v>506</v>
      </c>
      <c r="CW41" s="81" t="s">
        <v>402</v>
      </c>
      <c r="CX41" s="204">
        <v>0.65</v>
      </c>
      <c r="CY41" s="204">
        <v>9.5799999999999998E-6</v>
      </c>
      <c r="CZ41" s="81">
        <v>67820</v>
      </c>
      <c r="DA41" s="81" t="s">
        <v>505</v>
      </c>
      <c r="DB41" s="81" t="s">
        <v>510</v>
      </c>
      <c r="DF41" s="81" t="s">
        <v>389</v>
      </c>
      <c r="DG41" s="81" t="s">
        <v>390</v>
      </c>
      <c r="DH41" s="81" t="str">
        <f t="shared" si="14"/>
        <v>hwN</v>
      </c>
      <c r="DI41" s="81" t="s">
        <v>434</v>
      </c>
      <c r="DJ41" s="204">
        <f t="shared" si="15"/>
        <v>384</v>
      </c>
      <c r="DK41" s="81" t="s">
        <v>392</v>
      </c>
      <c r="DL41" s="81" t="s">
        <v>423</v>
      </c>
      <c r="DM41" s="286">
        <f t="shared" si="0"/>
        <v>0.20342721022369359</v>
      </c>
      <c r="DN41" s="286">
        <f t="shared" si="1"/>
        <v>0.112</v>
      </c>
      <c r="DO41" s="286">
        <f t="shared" si="2"/>
        <v>0.14199999999999999</v>
      </c>
      <c r="DQ41" s="290" t="s">
        <v>506</v>
      </c>
      <c r="DR41" s="290" t="s">
        <v>480</v>
      </c>
      <c r="DS41" s="291">
        <v>-17.5</v>
      </c>
      <c r="DT41" s="291">
        <v>120</v>
      </c>
      <c r="DU41" s="290">
        <v>-0.15</v>
      </c>
      <c r="DV41" s="290">
        <v>0.88419999999999999</v>
      </c>
      <c r="DW41" s="291"/>
      <c r="DY41" s="212" t="s">
        <v>568</v>
      </c>
      <c r="DZ41" s="292" t="s">
        <v>403</v>
      </c>
      <c r="EA41" s="292" t="s">
        <v>434</v>
      </c>
      <c r="EB41" s="293">
        <f t="shared" si="27"/>
        <v>0.104</v>
      </c>
      <c r="EC41" s="212" t="s">
        <v>392</v>
      </c>
      <c r="EE41" s="160" t="s">
        <v>568</v>
      </c>
      <c r="EF41" s="322" t="s">
        <v>403</v>
      </c>
      <c r="EG41" s="322" t="s">
        <v>434</v>
      </c>
      <c r="EH41" s="160">
        <f>$AP17</f>
        <v>7.0664188814546183E-2</v>
      </c>
      <c r="EI41" s="160" t="s">
        <v>392</v>
      </c>
      <c r="EK41" s="329" t="s">
        <v>506</v>
      </c>
      <c r="EL41" s="329" t="s">
        <v>480</v>
      </c>
      <c r="EM41" s="333">
        <v>-14.5</v>
      </c>
      <c r="EN41" s="333">
        <v>3.9</v>
      </c>
      <c r="EO41" s="329">
        <v>-3.71</v>
      </c>
      <c r="EP41" s="329">
        <v>2.1000000000000001E-4</v>
      </c>
      <c r="EQ41" s="333" t="s">
        <v>510</v>
      </c>
      <c r="ES41" s="330" t="s">
        <v>568</v>
      </c>
      <c r="ET41" s="331" t="s">
        <v>403</v>
      </c>
      <c r="EU41" s="331" t="s">
        <v>434</v>
      </c>
      <c r="EV41" s="332">
        <f t="shared" si="28"/>
        <v>9.4600000000000004E-2</v>
      </c>
      <c r="EW41" s="330" t="s">
        <v>392</v>
      </c>
    </row>
    <row r="42" spans="1:153" ht="15" customHeight="1" thickTop="1" thickBot="1" x14ac:dyDescent="0.3">
      <c r="A42" s="81" t="s">
        <v>273</v>
      </c>
      <c r="C42" s="81">
        <f>0.55</f>
        <v>0.55000000000000004</v>
      </c>
      <c r="L42" s="81"/>
      <c r="M42" s="81"/>
      <c r="N42" s="81" t="s">
        <v>127</v>
      </c>
      <c r="O42" s="3">
        <f>S14/1000000</f>
        <v>48.110861920000005</v>
      </c>
      <c r="Q42" s="3">
        <f>U14/1000000</f>
        <v>11.473264</v>
      </c>
      <c r="R42" s="81"/>
      <c r="X42" s="271"/>
      <c r="Y42" s="272" t="s">
        <v>128</v>
      </c>
      <c r="Z42" s="272">
        <v>0.02</v>
      </c>
      <c r="AA42" s="272">
        <v>1.4</v>
      </c>
      <c r="AB42" s="272">
        <v>2100</v>
      </c>
      <c r="AC42" s="272">
        <v>840</v>
      </c>
      <c r="AD42" s="273">
        <f>Z42/AA42</f>
        <v>1.4285714285714287E-2</v>
      </c>
      <c r="AE42" s="274">
        <f>Z42*AB42*AC42</f>
        <v>35280</v>
      </c>
      <c r="AF42" s="14" t="s">
        <v>104</v>
      </c>
      <c r="AG42" s="14"/>
      <c r="AH42" s="14"/>
      <c r="AM42" s="154" t="s">
        <v>389</v>
      </c>
      <c r="AN42" s="81" t="s">
        <v>390</v>
      </c>
      <c r="AO42" s="81" t="s">
        <v>423</v>
      </c>
      <c r="AP42" s="81">
        <f>SUM(O26)/(SUM($O$6:$O$14,$O$26,O30)+2*SUM($O$27))</f>
        <v>0.20342721022369359</v>
      </c>
      <c r="AQ42" s="81" t="s">
        <v>392</v>
      </c>
      <c r="AR42" s="204">
        <v>0.112</v>
      </c>
      <c r="AV42" s="205" t="s">
        <v>389</v>
      </c>
      <c r="AW42" s="205" t="s">
        <v>390</v>
      </c>
      <c r="AX42" s="205" t="s">
        <v>423</v>
      </c>
      <c r="AY42" s="207" t="s">
        <v>434</v>
      </c>
      <c r="AZ42" s="206">
        <f t="shared" si="3"/>
        <v>0.14199999999999999</v>
      </c>
      <c r="BA42" s="205" t="s">
        <v>392</v>
      </c>
      <c r="BQ42" s="154" t="s">
        <v>389</v>
      </c>
      <c r="BR42" s="81" t="s">
        <v>390</v>
      </c>
      <c r="BS42" s="81" t="s">
        <v>423</v>
      </c>
      <c r="BT42" s="204">
        <f t="shared" si="21"/>
        <v>0.112</v>
      </c>
      <c r="BU42" s="81" t="s">
        <v>392</v>
      </c>
      <c r="BV42" s="204">
        <v>0.112</v>
      </c>
      <c r="BZ42" s="211">
        <f>CI16</f>
        <v>0.14199999999999999</v>
      </c>
      <c r="CA42" s="211"/>
      <c r="CH42" s="81" t="s">
        <v>494</v>
      </c>
      <c r="CI42" s="204">
        <v>143</v>
      </c>
      <c r="CJ42" s="204">
        <v>1.36</v>
      </c>
      <c r="CK42" s="81">
        <v>105.13</v>
      </c>
      <c r="CL42" s="81" t="s">
        <v>505</v>
      </c>
      <c r="CV42" s="212" t="s">
        <v>506</v>
      </c>
      <c r="CW42" s="81" t="s">
        <v>418</v>
      </c>
      <c r="CX42" s="204">
        <v>0.64500000000000002</v>
      </c>
      <c r="CY42" s="204">
        <v>9.5200000000000003E-6</v>
      </c>
      <c r="CZ42" s="81">
        <v>67783</v>
      </c>
      <c r="DA42" s="81" t="s">
        <v>505</v>
      </c>
      <c r="DB42" s="81" t="s">
        <v>510</v>
      </c>
      <c r="DF42" s="81" t="s">
        <v>389</v>
      </c>
      <c r="DG42" s="81" t="s">
        <v>390</v>
      </c>
      <c r="DH42" s="81" t="str">
        <f t="shared" si="14"/>
        <v>infD</v>
      </c>
      <c r="DI42" s="81" t="s">
        <v>434</v>
      </c>
      <c r="DJ42" s="204">
        <f t="shared" si="15"/>
        <v>53</v>
      </c>
      <c r="DK42" s="81" t="s">
        <v>392</v>
      </c>
      <c r="DL42" s="81" t="s">
        <v>424</v>
      </c>
      <c r="DM42" s="286">
        <f t="shared" si="0"/>
        <v>0.16391084473409176</v>
      </c>
      <c r="DN42" s="286">
        <f t="shared" si="1"/>
        <v>0.23</v>
      </c>
      <c r="DO42" s="286">
        <f t="shared" si="2"/>
        <v>0.34599999999999997</v>
      </c>
      <c r="DQ42" s="290" t="s">
        <v>506</v>
      </c>
      <c r="DR42" s="290" t="s">
        <v>481</v>
      </c>
      <c r="DS42" s="291">
        <v>5.4600000000000003E-2</v>
      </c>
      <c r="DT42" s="291">
        <v>2.05E-4</v>
      </c>
      <c r="DU42" s="290">
        <v>266.13</v>
      </c>
      <c r="DV42" s="290" t="s">
        <v>509</v>
      </c>
      <c r="DW42" s="291">
        <v>2E-16</v>
      </c>
      <c r="DX42" s="81" t="s">
        <v>510</v>
      </c>
      <c r="DY42" s="212" t="s">
        <v>568</v>
      </c>
      <c r="DZ42" s="292" t="s">
        <v>518</v>
      </c>
      <c r="EA42" s="292" t="s">
        <v>434</v>
      </c>
      <c r="EB42" s="293">
        <f t="shared" si="27"/>
        <v>3.9800000000000002E-2</v>
      </c>
      <c r="EC42" s="212" t="s">
        <v>392</v>
      </c>
      <c r="EE42" s="160" t="s">
        <v>568</v>
      </c>
      <c r="EF42" s="322" t="s">
        <v>518</v>
      </c>
      <c r="EG42" s="322" t="s">
        <v>434</v>
      </c>
      <c r="EH42" s="160">
        <f>$AP46</f>
        <v>6.1028163067108072E-2</v>
      </c>
      <c r="EI42" s="160" t="s">
        <v>392</v>
      </c>
      <c r="EK42" s="329" t="s">
        <v>506</v>
      </c>
      <c r="EL42" s="329" t="s">
        <v>481</v>
      </c>
      <c r="EM42" s="333">
        <v>5.0999999999999997E-2</v>
      </c>
      <c r="EN42" s="333">
        <v>6.2799999999999998E-4</v>
      </c>
      <c r="EO42" s="329">
        <v>81.16</v>
      </c>
      <c r="EP42" s="329" t="s">
        <v>509</v>
      </c>
      <c r="EQ42" s="333">
        <v>2E-16</v>
      </c>
      <c r="ER42" s="329" t="s">
        <v>510</v>
      </c>
      <c r="ES42" s="330" t="s">
        <v>568</v>
      </c>
      <c r="ET42" s="331" t="s">
        <v>518</v>
      </c>
      <c r="EU42" s="331" t="s">
        <v>434</v>
      </c>
      <c r="EV42" s="332">
        <f t="shared" si="28"/>
        <v>3.5799999999999998E-2</v>
      </c>
      <c r="EW42" s="330" t="s">
        <v>392</v>
      </c>
    </row>
    <row r="43" spans="1:153" ht="15" customHeight="1" thickTop="1" thickBot="1" x14ac:dyDescent="0.3">
      <c r="A43" s="81" t="s">
        <v>274</v>
      </c>
      <c r="C43" s="81">
        <f>B7/B6</f>
        <v>0.46160714285714288</v>
      </c>
      <c r="D43" s="81" t="s">
        <v>275</v>
      </c>
      <c r="L43" s="81"/>
      <c r="M43" s="81"/>
      <c r="N43" s="81"/>
      <c r="Q43" s="81"/>
      <c r="R43" s="81"/>
      <c r="X43" s="220"/>
      <c r="Y43" s="221" t="s">
        <v>129</v>
      </c>
      <c r="Z43" s="221">
        <v>0.08</v>
      </c>
      <c r="AA43" s="221">
        <v>0.6</v>
      </c>
      <c r="AB43" s="221">
        <v>1100</v>
      </c>
      <c r="AC43" s="221">
        <v>860</v>
      </c>
      <c r="AD43" s="268">
        <f>Z43/AA43</f>
        <v>0.13333333333333333</v>
      </c>
      <c r="AE43" s="222">
        <f>Z43*AB43*AC43</f>
        <v>75680</v>
      </c>
      <c r="AF43" s="14"/>
      <c r="AG43" s="14"/>
      <c r="AH43" s="14"/>
      <c r="AM43" s="154" t="s">
        <v>389</v>
      </c>
      <c r="AN43" s="81" t="s">
        <v>390</v>
      </c>
      <c r="AO43" s="81" t="s">
        <v>424</v>
      </c>
      <c r="AP43" s="81">
        <f>SUM(O26)/SUM(O$17:O$25,2*O$28,O$26,O31,2*O29)</f>
        <v>0.16391084473409176</v>
      </c>
      <c r="AQ43" s="81" t="s">
        <v>392</v>
      </c>
      <c r="AR43" s="204">
        <v>0.23</v>
      </c>
      <c r="AV43" s="205" t="s">
        <v>389</v>
      </c>
      <c r="AW43" s="205" t="s">
        <v>390</v>
      </c>
      <c r="AX43" s="205" t="s">
        <v>424</v>
      </c>
      <c r="AY43" s="207" t="s">
        <v>434</v>
      </c>
      <c r="AZ43" s="206">
        <f t="shared" si="3"/>
        <v>0.34599999999999997</v>
      </c>
      <c r="BA43" s="205" t="s">
        <v>392</v>
      </c>
      <c r="BQ43" s="154" t="s">
        <v>389</v>
      </c>
      <c r="BR43" s="81" t="s">
        <v>390</v>
      </c>
      <c r="BS43" s="81" t="s">
        <v>424</v>
      </c>
      <c r="BT43" s="204">
        <f t="shared" si="21"/>
        <v>0.23</v>
      </c>
      <c r="BU43" s="81" t="s">
        <v>392</v>
      </c>
      <c r="BV43" s="204">
        <v>0.23</v>
      </c>
      <c r="BZ43" s="211">
        <f>CO14</f>
        <v>0.34599999999999997</v>
      </c>
      <c r="CA43" s="211"/>
      <c r="CH43" s="81" t="s">
        <v>495</v>
      </c>
      <c r="CI43" s="204">
        <v>1.35E-4</v>
      </c>
      <c r="CJ43" s="204">
        <v>1.1900000000000001E-3</v>
      </c>
      <c r="CK43" s="81">
        <v>0.11</v>
      </c>
      <c r="CL43" s="81">
        <v>0.91</v>
      </c>
      <c r="CV43" s="212" t="s">
        <v>506</v>
      </c>
      <c r="CW43" s="81" t="s">
        <v>518</v>
      </c>
      <c r="CX43" s="204">
        <v>7.0000000000000007E-2</v>
      </c>
      <c r="CY43" s="204">
        <v>1.1000000000000001E-6</v>
      </c>
      <c r="CZ43" s="81">
        <v>63858</v>
      </c>
      <c r="DA43" s="81" t="s">
        <v>505</v>
      </c>
      <c r="DB43" s="81" t="s">
        <v>510</v>
      </c>
      <c r="DF43" s="81" t="s">
        <v>389</v>
      </c>
      <c r="DG43" s="81" t="s">
        <v>390</v>
      </c>
      <c r="DH43" s="81" t="str">
        <f t="shared" si="14"/>
        <v>infN</v>
      </c>
      <c r="DI43" s="81" t="s">
        <v>434</v>
      </c>
      <c r="DJ43" s="204">
        <f t="shared" si="15"/>
        <v>36.9</v>
      </c>
      <c r="DK43" s="81" t="s">
        <v>392</v>
      </c>
      <c r="DL43" s="81" t="s">
        <v>425</v>
      </c>
      <c r="DM43" s="288">
        <f t="shared" si="0"/>
        <v>20786361.000000004</v>
      </c>
      <c r="DN43" s="288">
        <f t="shared" si="1"/>
        <v>10700000</v>
      </c>
      <c r="DO43" s="288">
        <f t="shared" si="2"/>
        <v>120000000</v>
      </c>
      <c r="DQ43" s="290" t="s">
        <v>506</v>
      </c>
      <c r="DR43" s="290" t="s">
        <v>482</v>
      </c>
      <c r="DS43" s="291">
        <v>0.106</v>
      </c>
      <c r="DT43" s="291">
        <v>3.4299999999999999E-4</v>
      </c>
      <c r="DU43" s="290">
        <v>309.48</v>
      </c>
      <c r="DV43" s="290" t="s">
        <v>509</v>
      </c>
      <c r="DW43" s="291">
        <v>2E-16</v>
      </c>
      <c r="DX43" s="81" t="s">
        <v>510</v>
      </c>
      <c r="EA43" s="292"/>
      <c r="EE43" s="160"/>
      <c r="EF43" s="160"/>
      <c r="EG43" s="322"/>
      <c r="EH43" s="160"/>
      <c r="EI43" s="160"/>
      <c r="EK43" s="329" t="s">
        <v>506</v>
      </c>
      <c r="EL43" s="329" t="s">
        <v>482</v>
      </c>
      <c r="EM43" s="333">
        <v>0.10199999999999999</v>
      </c>
      <c r="EN43" s="333">
        <v>1E-3</v>
      </c>
      <c r="EO43" s="329">
        <v>102.28</v>
      </c>
      <c r="EP43" s="329" t="s">
        <v>509</v>
      </c>
      <c r="EQ43" s="333">
        <v>2E-16</v>
      </c>
      <c r="ER43" s="329" t="s">
        <v>510</v>
      </c>
      <c r="EU43" s="331"/>
    </row>
    <row r="44" spans="1:153" ht="15" customHeight="1" thickTop="1" thickBot="1" x14ac:dyDescent="0.3">
      <c r="A44" s="81" t="s">
        <v>277</v>
      </c>
      <c r="C44" s="81">
        <v>0.7</v>
      </c>
      <c r="E44" s="79"/>
      <c r="L44" s="81"/>
      <c r="M44" s="81"/>
      <c r="N44" s="81"/>
      <c r="Q44" s="81"/>
      <c r="R44" s="81"/>
      <c r="X44" s="220"/>
      <c r="Y44" s="221" t="s">
        <v>276</v>
      </c>
      <c r="Z44" s="221">
        <v>0.04</v>
      </c>
      <c r="AA44" s="221">
        <v>3.5999999999999997E-2</v>
      </c>
      <c r="AB44" s="221">
        <v>26</v>
      </c>
      <c r="AC44" s="221">
        <v>1470</v>
      </c>
      <c r="AD44" s="268">
        <f>Z44/AA44</f>
        <v>1.1111111111111112</v>
      </c>
      <c r="AE44" s="222">
        <f>Z44*AB44*AC44</f>
        <v>1528.8</v>
      </c>
      <c r="AF44" s="14"/>
      <c r="AG44" s="14"/>
      <c r="AH44" s="14"/>
      <c r="AM44" s="154" t="s">
        <v>389</v>
      </c>
      <c r="AN44" s="81" t="s">
        <v>390</v>
      </c>
      <c r="AO44" s="81" t="s">
        <v>425</v>
      </c>
      <c r="AP44" s="81">
        <f>U26/2</f>
        <v>20786361.000000004</v>
      </c>
      <c r="AQ44" s="81" t="s">
        <v>392</v>
      </c>
      <c r="AR44" s="204">
        <v>10700000</v>
      </c>
      <c r="AV44" s="205" t="s">
        <v>389</v>
      </c>
      <c r="AW44" s="205" t="s">
        <v>390</v>
      </c>
      <c r="AX44" s="205" t="s">
        <v>425</v>
      </c>
      <c r="AY44" s="207" t="s">
        <v>434</v>
      </c>
      <c r="AZ44" s="206">
        <f t="shared" si="3"/>
        <v>120000000</v>
      </c>
      <c r="BA44" s="205" t="s">
        <v>392</v>
      </c>
      <c r="BQ44" s="154" t="s">
        <v>389</v>
      </c>
      <c r="BR44" s="81" t="s">
        <v>390</v>
      </c>
      <c r="BS44" s="81" t="s">
        <v>425</v>
      </c>
      <c r="BT44" s="204">
        <f t="shared" si="21"/>
        <v>10700000</v>
      </c>
      <c r="BU44" s="81" t="s">
        <v>392</v>
      </c>
      <c r="BV44" s="204">
        <v>10700000</v>
      </c>
      <c r="BZ44" s="211">
        <f>CP51</f>
        <v>120000000</v>
      </c>
      <c r="CA44" s="211"/>
      <c r="CH44" s="81" t="s">
        <v>496</v>
      </c>
      <c r="CI44" s="204">
        <v>58.3</v>
      </c>
      <c r="CJ44" s="204">
        <v>1.63</v>
      </c>
      <c r="CK44" s="81">
        <v>35.75</v>
      </c>
      <c r="CL44" s="81" t="s">
        <v>505</v>
      </c>
      <c r="CN44" s="81" t="s">
        <v>497</v>
      </c>
      <c r="CO44" s="81" t="s">
        <v>512</v>
      </c>
      <c r="CV44" s="212" t="s">
        <v>506</v>
      </c>
      <c r="CW44" s="81" t="s">
        <v>519</v>
      </c>
      <c r="CX44" s="204">
        <v>0.13</v>
      </c>
      <c r="CY44" s="204">
        <v>2.0200000000000001E-6</v>
      </c>
      <c r="CZ44" s="81">
        <v>64246</v>
      </c>
      <c r="DA44" s="81" t="s">
        <v>505</v>
      </c>
      <c r="DB44" s="81" t="s">
        <v>510</v>
      </c>
      <c r="DJ44" s="204"/>
      <c r="DL44" s="81" t="s">
        <v>426</v>
      </c>
      <c r="DM44" s="288">
        <f t="shared" si="0"/>
        <v>20786361.000000004</v>
      </c>
      <c r="DN44" s="288">
        <f t="shared" si="1"/>
        <v>33900000</v>
      </c>
      <c r="DO44" s="288">
        <f t="shared" si="2"/>
        <v>630000</v>
      </c>
      <c r="DQ44" s="290" t="s">
        <v>506</v>
      </c>
      <c r="DR44" s="290" t="s">
        <v>483</v>
      </c>
      <c r="DS44" s="291">
        <v>0.70799999999999996</v>
      </c>
      <c r="DT44" s="291">
        <v>1.56E-3</v>
      </c>
      <c r="DU44" s="290">
        <v>454.27</v>
      </c>
      <c r="DV44" s="290" t="s">
        <v>509</v>
      </c>
      <c r="DW44" s="291">
        <v>2E-16</v>
      </c>
      <c r="DX44" s="81" t="s">
        <v>510</v>
      </c>
      <c r="DY44" s="212" t="s">
        <v>568</v>
      </c>
      <c r="DZ44" s="297" t="s">
        <v>590</v>
      </c>
      <c r="EA44" s="292" t="s">
        <v>434</v>
      </c>
      <c r="EB44" s="293">
        <f>DS69</f>
        <v>0.17699999999999999</v>
      </c>
      <c r="EC44" s="212" t="s">
        <v>392</v>
      </c>
      <c r="EE44" s="160" t="s">
        <v>568</v>
      </c>
      <c r="EF44" s="327" t="s">
        <v>590</v>
      </c>
      <c r="EG44" s="322" t="s">
        <v>434</v>
      </c>
      <c r="EH44" s="160">
        <f>$O$11*$Z$37*$AP$26</f>
        <v>0.55239042279302286</v>
      </c>
      <c r="EI44" s="160" t="s">
        <v>392</v>
      </c>
      <c r="EK44" s="329" t="s">
        <v>506</v>
      </c>
      <c r="EL44" s="329" t="s">
        <v>483</v>
      </c>
      <c r="EM44" s="333">
        <v>0.64300000000000002</v>
      </c>
      <c r="EN44" s="333">
        <v>4.9800000000000001E-3</v>
      </c>
      <c r="EO44" s="329">
        <v>129.22</v>
      </c>
      <c r="EP44" s="329" t="s">
        <v>509</v>
      </c>
      <c r="EQ44" s="333">
        <v>2E-16</v>
      </c>
      <c r="ER44" s="329" t="s">
        <v>510</v>
      </c>
      <c r="ES44" s="330" t="s">
        <v>568</v>
      </c>
      <c r="ET44" s="337" t="s">
        <v>590</v>
      </c>
      <c r="EU44" s="331" t="s">
        <v>434</v>
      </c>
      <c r="EV44" s="332">
        <f>EM69</f>
        <v>0.04</v>
      </c>
      <c r="EW44" s="330" t="s">
        <v>392</v>
      </c>
    </row>
    <row r="45" spans="1:153" ht="15" customHeight="1" thickTop="1" thickBot="1" x14ac:dyDescent="0.3">
      <c r="A45" s="81" t="s">
        <v>278</v>
      </c>
      <c r="C45" s="81">
        <v>0.5</v>
      </c>
      <c r="E45" s="79"/>
      <c r="L45" s="81"/>
      <c r="M45" s="81"/>
      <c r="N45" s="81"/>
      <c r="Q45" s="81"/>
      <c r="R45" s="81"/>
      <c r="X45" s="220"/>
      <c r="Y45" s="221" t="s">
        <v>131</v>
      </c>
      <c r="Z45" s="221">
        <v>0.2</v>
      </c>
      <c r="AA45" s="221">
        <v>1.4</v>
      </c>
      <c r="AB45" s="221">
        <v>2100</v>
      </c>
      <c r="AC45" s="221">
        <v>840</v>
      </c>
      <c r="AD45" s="268">
        <f>Z45/AA45</f>
        <v>0.14285714285714288</v>
      </c>
      <c r="AE45" s="222">
        <f>Z45*AB45*AC45</f>
        <v>352800</v>
      </c>
      <c r="AF45" s="14"/>
      <c r="AG45" s="14"/>
      <c r="AH45" s="14"/>
      <c r="AM45" s="154" t="s">
        <v>389</v>
      </c>
      <c r="AN45" s="81" t="s">
        <v>390</v>
      </c>
      <c r="AO45" s="81" t="s">
        <v>426</v>
      </c>
      <c r="AP45" s="81">
        <f>U26/2</f>
        <v>20786361.000000004</v>
      </c>
      <c r="AQ45" s="81" t="s">
        <v>392</v>
      </c>
      <c r="AR45" s="204">
        <v>33900000</v>
      </c>
      <c r="AV45" s="205" t="s">
        <v>389</v>
      </c>
      <c r="AW45" s="205" t="s">
        <v>390</v>
      </c>
      <c r="AX45" s="205" t="s">
        <v>426</v>
      </c>
      <c r="AY45" s="207" t="s">
        <v>434</v>
      </c>
      <c r="AZ45" s="206">
        <f t="shared" si="3"/>
        <v>630000</v>
      </c>
      <c r="BA45" s="205" t="s">
        <v>392</v>
      </c>
      <c r="BQ45" s="154" t="s">
        <v>389</v>
      </c>
      <c r="BR45" s="81" t="s">
        <v>390</v>
      </c>
      <c r="BS45" s="81" t="s">
        <v>426</v>
      </c>
      <c r="BT45" s="204">
        <f t="shared" si="21"/>
        <v>33900000</v>
      </c>
      <c r="BU45" s="81" t="s">
        <v>392</v>
      </c>
      <c r="BV45" s="204">
        <v>33900000</v>
      </c>
      <c r="BZ45" s="211">
        <f>CP52</f>
        <v>630000</v>
      </c>
      <c r="CA45" s="211"/>
      <c r="CN45" s="81" t="s">
        <v>506</v>
      </c>
      <c r="CO45" s="81" t="s">
        <v>499</v>
      </c>
      <c r="CV45" s="212" t="s">
        <v>506</v>
      </c>
      <c r="CW45" s="81" t="s">
        <v>404</v>
      </c>
      <c r="CX45" s="204">
        <v>281</v>
      </c>
      <c r="CY45" s="204">
        <v>1.15E-3</v>
      </c>
      <c r="CZ45" s="81">
        <v>244765</v>
      </c>
      <c r="DA45" s="81" t="s">
        <v>505</v>
      </c>
      <c r="DB45" s="81" t="s">
        <v>510</v>
      </c>
      <c r="DJ45" s="204"/>
      <c r="DL45" s="81" t="s">
        <v>427</v>
      </c>
      <c r="DM45" s="286">
        <f t="shared" si="0"/>
        <v>6.1028163067108072E-2</v>
      </c>
      <c r="DN45" s="286">
        <f t="shared" si="1"/>
        <v>7.5399999999999995E-2</v>
      </c>
      <c r="DO45" s="286">
        <f t="shared" si="2"/>
        <v>5.4300000000000001E-2</v>
      </c>
      <c r="DQ45" s="290" t="s">
        <v>506</v>
      </c>
      <c r="DR45" s="290" t="s">
        <v>484</v>
      </c>
      <c r="DS45" s="291">
        <v>0.104</v>
      </c>
      <c r="DT45" s="291">
        <v>2.5599999999999999E-4</v>
      </c>
      <c r="DU45" s="290">
        <v>405.64</v>
      </c>
      <c r="DV45" s="290" t="s">
        <v>509</v>
      </c>
      <c r="DW45" s="291">
        <v>2E-16</v>
      </c>
      <c r="DX45" s="81" t="s">
        <v>510</v>
      </c>
      <c r="DY45" s="212" t="s">
        <v>568</v>
      </c>
      <c r="DZ45" s="297" t="s">
        <v>591</v>
      </c>
      <c r="EA45" s="292" t="s">
        <v>434</v>
      </c>
      <c r="EB45" s="293">
        <f t="shared" ref="EB45:EB59" si="29">DS70</f>
        <v>0.70099999999999996</v>
      </c>
      <c r="EC45" s="212" t="s">
        <v>392</v>
      </c>
      <c r="EE45" s="160" t="s">
        <v>568</v>
      </c>
      <c r="EF45" s="327" t="s">
        <v>591</v>
      </c>
      <c r="EG45" s="322" t="s">
        <v>434</v>
      </c>
      <c r="EH45" s="160">
        <f>$O$10*$Z$37*$AP$26</f>
        <v>0.64845832240920065</v>
      </c>
      <c r="EI45" s="160" t="s">
        <v>392</v>
      </c>
      <c r="EK45" s="329" t="s">
        <v>506</v>
      </c>
      <c r="EL45" s="329" t="s">
        <v>484</v>
      </c>
      <c r="EM45" s="333">
        <v>9.4600000000000004E-2</v>
      </c>
      <c r="EN45" s="333">
        <v>8.1400000000000005E-4</v>
      </c>
      <c r="EO45" s="329">
        <v>116.21</v>
      </c>
      <c r="EP45" s="329" t="s">
        <v>509</v>
      </c>
      <c r="EQ45" s="333">
        <v>2E-16</v>
      </c>
      <c r="ER45" s="329" t="s">
        <v>510</v>
      </c>
      <c r="ES45" s="330" t="s">
        <v>568</v>
      </c>
      <c r="ET45" s="337" t="s">
        <v>591</v>
      </c>
      <c r="EU45" s="331" t="s">
        <v>434</v>
      </c>
      <c r="EV45" s="332">
        <f t="shared" ref="EV45:EV59" si="30">EM70</f>
        <v>1.43E-7</v>
      </c>
      <c r="EW45" s="330" t="s">
        <v>392</v>
      </c>
    </row>
    <row r="46" spans="1:153" ht="15" customHeight="1" thickTop="1" thickBot="1" x14ac:dyDescent="0.3">
      <c r="L46" s="81"/>
      <c r="M46" s="81"/>
      <c r="N46" s="81"/>
      <c r="Q46" s="81"/>
      <c r="R46" s="81"/>
      <c r="X46" s="237"/>
      <c r="Y46" s="219" t="s">
        <v>132</v>
      </c>
      <c r="Z46" s="219">
        <v>0</v>
      </c>
      <c r="AA46" s="219">
        <v>0.02</v>
      </c>
      <c r="AB46" s="219">
        <v>30</v>
      </c>
      <c r="AC46" s="219">
        <v>1470</v>
      </c>
      <c r="AD46" s="269">
        <f>Z46/AA46</f>
        <v>0</v>
      </c>
      <c r="AE46" s="242">
        <f>Z46*AB46*AC46</f>
        <v>0</v>
      </c>
      <c r="AF46" s="14"/>
      <c r="AG46" s="14"/>
      <c r="AH46" s="14"/>
      <c r="AM46" s="154" t="s">
        <v>389</v>
      </c>
      <c r="AN46" s="81" t="s">
        <v>390</v>
      </c>
      <c r="AO46" s="81" t="s">
        <v>427</v>
      </c>
      <c r="AP46" s="81">
        <f>AP42*0.3</f>
        <v>6.1028163067108072E-2</v>
      </c>
      <c r="AQ46" s="81" t="s">
        <v>392</v>
      </c>
      <c r="AR46" s="204">
        <v>7.5399999999999995E-2</v>
      </c>
      <c r="AV46" s="205" t="s">
        <v>389</v>
      </c>
      <c r="AW46" s="205" t="s">
        <v>390</v>
      </c>
      <c r="AX46" s="205" t="s">
        <v>427</v>
      </c>
      <c r="AY46" s="207" t="s">
        <v>434</v>
      </c>
      <c r="AZ46" s="206">
        <f t="shared" si="3"/>
        <v>5.4300000000000001E-2</v>
      </c>
      <c r="BA46" s="205" t="s">
        <v>392</v>
      </c>
      <c r="BQ46" s="154" t="s">
        <v>389</v>
      </c>
      <c r="BR46" s="81" t="s">
        <v>390</v>
      </c>
      <c r="BS46" s="81" t="s">
        <v>427</v>
      </c>
      <c r="BT46" s="204">
        <f t="shared" si="21"/>
        <v>7.5399999999999995E-2</v>
      </c>
      <c r="BU46" s="81" t="s">
        <v>392</v>
      </c>
      <c r="BV46" s="204">
        <v>7.5399999999999995E-2</v>
      </c>
      <c r="BZ46" s="211">
        <f>CI31</f>
        <v>5.4300000000000001E-2</v>
      </c>
      <c r="CA46" s="211"/>
      <c r="CN46" s="81" t="s">
        <v>506</v>
      </c>
      <c r="CO46" s="81" t="s">
        <v>500</v>
      </c>
      <c r="CP46" s="81" t="s">
        <v>501</v>
      </c>
      <c r="CQ46" s="81" t="s">
        <v>502</v>
      </c>
      <c r="CR46" s="81" t="s">
        <v>503</v>
      </c>
      <c r="CS46" s="81" t="s">
        <v>504</v>
      </c>
      <c r="CT46" s="81" t="s">
        <v>508</v>
      </c>
      <c r="CV46" s="212" t="s">
        <v>506</v>
      </c>
      <c r="CW46" s="81" t="s">
        <v>406</v>
      </c>
      <c r="CX46" s="204">
        <v>705</v>
      </c>
      <c r="CY46" s="204">
        <v>2.7899999999999999E-3</v>
      </c>
      <c r="CZ46" s="81">
        <v>252594</v>
      </c>
      <c r="DA46" s="81" t="s">
        <v>505</v>
      </c>
      <c r="DB46" s="81" t="s">
        <v>510</v>
      </c>
      <c r="DJ46" s="204"/>
      <c r="DL46" s="81" t="s">
        <v>428</v>
      </c>
      <c r="DM46" s="286">
        <f t="shared" si="0"/>
        <v>4.9173253420227526E-2</v>
      </c>
      <c r="DN46" s="286">
        <f t="shared" si="1"/>
        <v>0.127</v>
      </c>
      <c r="DO46" s="286">
        <f t="shared" si="2"/>
        <v>9.5100000000000004E-2</v>
      </c>
      <c r="DQ46" s="290" t="s">
        <v>506</v>
      </c>
      <c r="DR46" s="290" t="s">
        <v>485</v>
      </c>
      <c r="DS46" s="291">
        <v>3.9800000000000002E-2</v>
      </c>
      <c r="DT46" s="291">
        <v>3.88E-4</v>
      </c>
      <c r="DU46" s="290">
        <v>102.49</v>
      </c>
      <c r="DV46" s="290" t="s">
        <v>509</v>
      </c>
      <c r="DW46" s="291">
        <v>2E-16</v>
      </c>
      <c r="DX46" s="81" t="s">
        <v>510</v>
      </c>
      <c r="DY46" s="212" t="s">
        <v>568</v>
      </c>
      <c r="DZ46" s="297" t="s">
        <v>592</v>
      </c>
      <c r="EA46" s="292" t="s">
        <v>434</v>
      </c>
      <c r="EB46" s="293">
        <f t="shared" si="29"/>
        <v>0.54400000000000004</v>
      </c>
      <c r="EC46" s="212" t="s">
        <v>392</v>
      </c>
      <c r="EE46" s="160" t="s">
        <v>568</v>
      </c>
      <c r="EF46" s="327" t="s">
        <v>592</v>
      </c>
      <c r="EG46" s="322" t="s">
        <v>434</v>
      </c>
      <c r="EH46" s="160">
        <f>$O$12*$Z$37*$AP$26</f>
        <v>0.72050924712133413</v>
      </c>
      <c r="EI46" s="160" t="s">
        <v>392</v>
      </c>
      <c r="EK46" s="329" t="s">
        <v>506</v>
      </c>
      <c r="EL46" s="329" t="s">
        <v>485</v>
      </c>
      <c r="EM46" s="333">
        <v>3.5799999999999998E-2</v>
      </c>
      <c r="EN46" s="333">
        <v>8.2600000000000002E-4</v>
      </c>
      <c r="EO46" s="329">
        <v>43.31</v>
      </c>
      <c r="EP46" s="329" t="s">
        <v>509</v>
      </c>
      <c r="EQ46" s="333">
        <v>2E-16</v>
      </c>
      <c r="ER46" s="329" t="s">
        <v>510</v>
      </c>
      <c r="ES46" s="330" t="s">
        <v>568</v>
      </c>
      <c r="ET46" s="337" t="s">
        <v>592</v>
      </c>
      <c r="EU46" s="331" t="s">
        <v>434</v>
      </c>
      <c r="EV46" s="332">
        <f t="shared" si="30"/>
        <v>0.64500000000000002</v>
      </c>
      <c r="EW46" s="330" t="s">
        <v>392</v>
      </c>
    </row>
    <row r="47" spans="1:153" ht="15" customHeight="1" thickTop="1" thickBot="1" x14ac:dyDescent="0.3">
      <c r="B47" s="3"/>
      <c r="L47" s="81"/>
      <c r="M47" s="81"/>
      <c r="N47" s="81"/>
      <c r="Q47" s="81"/>
      <c r="R47" s="81"/>
      <c r="X47" s="221"/>
      <c r="Y47" s="221"/>
      <c r="Z47" s="221"/>
      <c r="AA47" s="221"/>
      <c r="AB47" s="221"/>
      <c r="AC47" s="221"/>
      <c r="AD47" s="268"/>
      <c r="AE47" s="221"/>
      <c r="AF47" s="14"/>
      <c r="AG47" s="14"/>
      <c r="AH47" s="14"/>
      <c r="AM47" s="154" t="s">
        <v>389</v>
      </c>
      <c r="AN47" s="81" t="s">
        <v>390</v>
      </c>
      <c r="AO47" s="81" t="s">
        <v>428</v>
      </c>
      <c r="AP47" s="81">
        <f>AP43*0.3</f>
        <v>4.9173253420227526E-2</v>
      </c>
      <c r="AQ47" s="81" t="s">
        <v>392</v>
      </c>
      <c r="AR47" s="204">
        <v>0.127</v>
      </c>
      <c r="AV47" s="205" t="s">
        <v>389</v>
      </c>
      <c r="AW47" s="205" t="s">
        <v>390</v>
      </c>
      <c r="AX47" s="205" t="s">
        <v>428</v>
      </c>
      <c r="AY47" s="207" t="s">
        <v>434</v>
      </c>
      <c r="AZ47" s="206">
        <f t="shared" si="3"/>
        <v>9.5100000000000004E-2</v>
      </c>
      <c r="BA47" s="205" t="s">
        <v>392</v>
      </c>
      <c r="BQ47" s="154" t="s">
        <v>389</v>
      </c>
      <c r="BR47" s="81" t="s">
        <v>390</v>
      </c>
      <c r="BS47" s="81" t="s">
        <v>428</v>
      </c>
      <c r="BT47" s="204">
        <f t="shared" si="21"/>
        <v>0.127</v>
      </c>
      <c r="BU47" s="81" t="s">
        <v>392</v>
      </c>
      <c r="BV47" s="204">
        <v>0.127</v>
      </c>
      <c r="BZ47" s="211">
        <f>CO26</f>
        <v>9.5100000000000004E-2</v>
      </c>
      <c r="CA47" s="211"/>
      <c r="CN47" s="81" t="s">
        <v>506</v>
      </c>
      <c r="CO47" s="81" t="s">
        <v>513</v>
      </c>
      <c r="CP47" s="204">
        <v>290</v>
      </c>
      <c r="CQ47" s="204">
        <v>0.14499999999999999</v>
      </c>
      <c r="CR47" s="81">
        <v>1995.82</v>
      </c>
      <c r="CS47" s="81" t="s">
        <v>509</v>
      </c>
      <c r="CT47" s="204">
        <v>2E-16</v>
      </c>
      <c r="CU47" s="81" t="s">
        <v>510</v>
      </c>
      <c r="CV47" s="212" t="s">
        <v>506</v>
      </c>
      <c r="CW47" s="81" t="s">
        <v>420</v>
      </c>
      <c r="CX47" s="204">
        <v>882</v>
      </c>
      <c r="CY47" s="204">
        <v>6.6800000000000002E-3</v>
      </c>
      <c r="CZ47" s="81">
        <v>132039</v>
      </c>
      <c r="DA47" s="81" t="s">
        <v>505</v>
      </c>
      <c r="DB47" s="81" t="s">
        <v>510</v>
      </c>
      <c r="DJ47" s="204"/>
      <c r="DL47" s="81" t="s">
        <v>429</v>
      </c>
      <c r="DM47" s="289">
        <f t="shared" si="0"/>
        <v>374.43594009983366</v>
      </c>
      <c r="DN47" s="289">
        <f t="shared" si="1"/>
        <v>599</v>
      </c>
      <c r="DO47" s="289">
        <f t="shared" si="2"/>
        <v>138</v>
      </c>
      <c r="DQ47" s="290" t="s">
        <v>506</v>
      </c>
      <c r="DR47" s="290" t="s">
        <v>486</v>
      </c>
      <c r="DS47" s="291">
        <v>106</v>
      </c>
      <c r="DT47" s="291">
        <v>0.36399999999999999</v>
      </c>
      <c r="DU47" s="290">
        <v>292.77</v>
      </c>
      <c r="DV47" s="290" t="s">
        <v>509</v>
      </c>
      <c r="DW47" s="291">
        <v>2E-16</v>
      </c>
      <c r="DX47" s="81" t="s">
        <v>510</v>
      </c>
      <c r="DY47" s="212" t="s">
        <v>568</v>
      </c>
      <c r="DZ47" s="297" t="s">
        <v>593</v>
      </c>
      <c r="EA47" s="292" t="s">
        <v>434</v>
      </c>
      <c r="EB47" s="293">
        <f t="shared" si="29"/>
        <v>0.52</v>
      </c>
      <c r="EC47" s="212" t="s">
        <v>392</v>
      </c>
      <c r="EE47" s="160" t="s">
        <v>568</v>
      </c>
      <c r="EF47" s="327" t="s">
        <v>593</v>
      </c>
      <c r="EG47" s="322" t="s">
        <v>434</v>
      </c>
      <c r="EH47" s="160">
        <f>$O$13*$Z$37*$AP$26</f>
        <v>0.80857148843616389</v>
      </c>
      <c r="EI47" s="160" t="s">
        <v>392</v>
      </c>
      <c r="EK47" s="329" t="s">
        <v>506</v>
      </c>
      <c r="EL47" s="329" t="s">
        <v>486</v>
      </c>
      <c r="EM47" s="333">
        <v>116</v>
      </c>
      <c r="EN47" s="333">
        <v>0.85099999999999998</v>
      </c>
      <c r="EO47" s="329">
        <v>136.12</v>
      </c>
      <c r="EP47" s="329" t="s">
        <v>509</v>
      </c>
      <c r="EQ47" s="333">
        <v>2E-16</v>
      </c>
      <c r="ER47" s="329" t="s">
        <v>510</v>
      </c>
      <c r="ES47" s="330" t="s">
        <v>568</v>
      </c>
      <c r="ET47" s="337" t="s">
        <v>593</v>
      </c>
      <c r="EU47" s="331" t="s">
        <v>434</v>
      </c>
      <c r="EV47" s="332">
        <f t="shared" si="30"/>
        <v>1.07</v>
      </c>
      <c r="EW47" s="330" t="s">
        <v>392</v>
      </c>
    </row>
    <row r="48" spans="1:153" ht="15" customHeight="1" thickTop="1" thickBot="1" x14ac:dyDescent="0.3">
      <c r="B48" s="3"/>
      <c r="L48" s="81"/>
      <c r="M48" s="81"/>
      <c r="N48" s="81"/>
      <c r="Q48" s="81"/>
      <c r="R48" s="81"/>
      <c r="X48" s="258"/>
      <c r="Y48" s="258"/>
      <c r="Z48" s="277"/>
      <c r="AA48" s="277"/>
      <c r="AB48" s="277"/>
      <c r="AC48" s="258"/>
      <c r="AD48" s="258"/>
      <c r="AE48" s="258"/>
      <c r="AF48" s="14"/>
      <c r="AG48" s="14"/>
      <c r="AH48" s="14"/>
      <c r="AM48" s="154" t="s">
        <v>389</v>
      </c>
      <c r="AN48" s="81" t="s">
        <v>390</v>
      </c>
      <c r="AO48" s="81" t="s">
        <v>429</v>
      </c>
      <c r="AP48" s="81">
        <f>AA27*4*O26</f>
        <v>374.43594009983366</v>
      </c>
      <c r="AQ48" s="81" t="s">
        <v>392</v>
      </c>
      <c r="AR48" s="204">
        <v>599</v>
      </c>
      <c r="AV48" s="205" t="s">
        <v>389</v>
      </c>
      <c r="AW48" s="205" t="s">
        <v>390</v>
      </c>
      <c r="AX48" s="205" t="s">
        <v>429</v>
      </c>
      <c r="AY48" s="207" t="s">
        <v>434</v>
      </c>
      <c r="AZ48" s="206">
        <f t="shared" si="3"/>
        <v>138</v>
      </c>
      <c r="BA48" s="205" t="s">
        <v>392</v>
      </c>
      <c r="BQ48" s="154" t="s">
        <v>389</v>
      </c>
      <c r="BR48" s="81" t="s">
        <v>390</v>
      </c>
      <c r="BS48" s="81" t="s">
        <v>429</v>
      </c>
      <c r="BT48" s="204">
        <f t="shared" si="21"/>
        <v>599</v>
      </c>
      <c r="BU48" s="81" t="s">
        <v>392</v>
      </c>
      <c r="BV48" s="204">
        <v>599</v>
      </c>
      <c r="BZ48" s="211">
        <f>CP60</f>
        <v>138</v>
      </c>
      <c r="CA48" s="211"/>
      <c r="CN48" s="81" t="s">
        <v>506</v>
      </c>
      <c r="CO48" s="81" t="s">
        <v>514</v>
      </c>
      <c r="CP48" s="204">
        <v>291</v>
      </c>
      <c r="CQ48" s="204">
        <v>0.76600000000000001</v>
      </c>
      <c r="CR48" s="81">
        <v>379.48</v>
      </c>
      <c r="CS48" s="81" t="s">
        <v>509</v>
      </c>
      <c r="CT48" s="204">
        <v>2E-16</v>
      </c>
      <c r="CU48" s="81" t="s">
        <v>510</v>
      </c>
      <c r="CV48" s="212" t="s">
        <v>506</v>
      </c>
      <c r="CW48" s="81" t="s">
        <v>419</v>
      </c>
      <c r="CX48" s="204">
        <v>384</v>
      </c>
      <c r="CY48" s="204">
        <v>1.17E-3</v>
      </c>
      <c r="CZ48" s="81">
        <v>328443</v>
      </c>
      <c r="DA48" s="81" t="s">
        <v>505</v>
      </c>
      <c r="DB48" s="81" t="s">
        <v>510</v>
      </c>
      <c r="DJ48" s="204"/>
      <c r="DL48" s="81" t="s">
        <v>430</v>
      </c>
      <c r="DM48" s="289">
        <f t="shared" si="0"/>
        <v>187.21797004991683</v>
      </c>
      <c r="DN48" s="289">
        <f t="shared" si="1"/>
        <v>537</v>
      </c>
      <c r="DO48" s="289">
        <f t="shared" si="2"/>
        <v>7610</v>
      </c>
      <c r="DQ48" s="290" t="s">
        <v>506</v>
      </c>
      <c r="DR48" s="290" t="s">
        <v>487</v>
      </c>
      <c r="DS48" s="291">
        <v>145</v>
      </c>
      <c r="DT48" s="291">
        <v>0.48099999999999998</v>
      </c>
      <c r="DU48" s="290">
        <v>301.37</v>
      </c>
      <c r="DV48" s="290" t="s">
        <v>509</v>
      </c>
      <c r="DW48" s="291">
        <v>2E-16</v>
      </c>
      <c r="DX48" s="81" t="s">
        <v>510</v>
      </c>
      <c r="DY48" s="212" t="s">
        <v>568</v>
      </c>
      <c r="DZ48" s="297" t="s">
        <v>594</v>
      </c>
      <c r="EA48" s="292" t="s">
        <v>434</v>
      </c>
      <c r="EB48" s="293">
        <f t="shared" si="29"/>
        <v>0.53</v>
      </c>
      <c r="EC48" s="212" t="s">
        <v>392</v>
      </c>
      <c r="EE48" s="160" t="s">
        <v>568</v>
      </c>
      <c r="EF48" s="327" t="s">
        <v>594</v>
      </c>
      <c r="EG48" s="322" t="s">
        <v>434</v>
      </c>
      <c r="EH48" s="160">
        <f>$O$11*$Z$37*$AP$27</f>
        <v>0.75258263897395739</v>
      </c>
      <c r="EI48" s="160" t="s">
        <v>392</v>
      </c>
      <c r="EK48" s="329" t="s">
        <v>506</v>
      </c>
      <c r="EL48" s="329" t="s">
        <v>487</v>
      </c>
      <c r="EM48" s="333">
        <v>171</v>
      </c>
      <c r="EN48" s="333">
        <v>1.05</v>
      </c>
      <c r="EO48" s="329">
        <v>163.38999999999999</v>
      </c>
      <c r="EP48" s="329" t="s">
        <v>509</v>
      </c>
      <c r="EQ48" s="333">
        <v>2E-16</v>
      </c>
      <c r="ER48" s="329" t="s">
        <v>510</v>
      </c>
      <c r="ES48" s="330" t="s">
        <v>568</v>
      </c>
      <c r="ET48" s="337" t="s">
        <v>594</v>
      </c>
      <c r="EU48" s="331" t="s">
        <v>434</v>
      </c>
      <c r="EV48" s="332">
        <f t="shared" si="30"/>
        <v>0.95699999999999996</v>
      </c>
      <c r="EW48" s="330" t="s">
        <v>392</v>
      </c>
    </row>
    <row r="49" spans="2:153" ht="15" customHeight="1" thickTop="1" thickBot="1" x14ac:dyDescent="0.3">
      <c r="B49" s="3"/>
      <c r="L49" s="81"/>
      <c r="M49" s="81"/>
      <c r="N49" s="81"/>
      <c r="Q49" s="81"/>
      <c r="R49" s="81"/>
      <c r="X49" s="278" t="s">
        <v>68</v>
      </c>
      <c r="Y49" s="279"/>
      <c r="Z49" s="280" t="s">
        <v>21</v>
      </c>
      <c r="AA49" s="281">
        <v>3.5</v>
      </c>
      <c r="AB49" s="279" t="s">
        <v>5</v>
      </c>
      <c r="AC49" s="279"/>
      <c r="AD49" s="279" t="s">
        <v>22</v>
      </c>
      <c r="AE49" s="282">
        <f>0.04*550*1660</f>
        <v>36520</v>
      </c>
      <c r="AF49" s="14" t="s">
        <v>23</v>
      </c>
      <c r="AG49" s="14">
        <f>SUM(AE51:AE52)</f>
        <v>181020.00000000003</v>
      </c>
      <c r="AH49" s="14"/>
      <c r="AM49" s="154" t="s">
        <v>389</v>
      </c>
      <c r="AN49" s="81" t="s">
        <v>390</v>
      </c>
      <c r="AO49" s="81" t="s">
        <v>430</v>
      </c>
      <c r="AP49" s="81">
        <f>AP50/2</f>
        <v>187.21797004991683</v>
      </c>
      <c r="AQ49" s="81" t="s">
        <v>392</v>
      </c>
      <c r="AR49" s="204">
        <v>537</v>
      </c>
      <c r="AV49" s="205" t="s">
        <v>389</v>
      </c>
      <c r="AW49" s="205" t="s">
        <v>390</v>
      </c>
      <c r="AX49" s="205" t="s">
        <v>430</v>
      </c>
      <c r="AY49" s="207" t="s">
        <v>434</v>
      </c>
      <c r="AZ49" s="206">
        <f>BZ49</f>
        <v>7610</v>
      </c>
      <c r="BA49" s="205" t="s">
        <v>392</v>
      </c>
      <c r="BQ49" s="154" t="s">
        <v>389</v>
      </c>
      <c r="BR49" s="81" t="s">
        <v>390</v>
      </c>
      <c r="BS49" s="81" t="s">
        <v>430</v>
      </c>
      <c r="BT49" s="204">
        <f t="shared" si="21"/>
        <v>537</v>
      </c>
      <c r="BU49" s="81" t="s">
        <v>392</v>
      </c>
      <c r="BV49" s="204">
        <v>537</v>
      </c>
      <c r="BZ49" s="211">
        <f>CP61</f>
        <v>7610</v>
      </c>
      <c r="CA49" s="211"/>
      <c r="CN49" s="81" t="s">
        <v>506</v>
      </c>
      <c r="CO49" s="81" t="s">
        <v>423</v>
      </c>
      <c r="CP49" s="204">
        <v>0.14299999999999999</v>
      </c>
      <c r="CQ49" s="204">
        <v>7.2499999999999995E-4</v>
      </c>
      <c r="CR49" s="81">
        <v>197.29</v>
      </c>
      <c r="CS49" s="81" t="s">
        <v>509</v>
      </c>
      <c r="CT49" s="204">
        <v>2E-16</v>
      </c>
      <c r="CU49" s="81" t="s">
        <v>510</v>
      </c>
      <c r="CV49" s="212" t="s">
        <v>506</v>
      </c>
      <c r="CW49" s="81" t="s">
        <v>407</v>
      </c>
      <c r="CX49" s="204">
        <v>53</v>
      </c>
      <c r="CY49" s="204">
        <v>2.9300000000000002E-4</v>
      </c>
      <c r="CZ49" s="81">
        <v>180769</v>
      </c>
      <c r="DA49" s="81" t="s">
        <v>505</v>
      </c>
      <c r="DB49" s="81" t="s">
        <v>510</v>
      </c>
      <c r="DJ49" s="204"/>
      <c r="DL49" s="81" t="s">
        <v>431</v>
      </c>
      <c r="DM49" s="289">
        <f t="shared" si="0"/>
        <v>374.43594009983366</v>
      </c>
      <c r="DN49" s="289">
        <f t="shared" si="1"/>
        <v>594</v>
      </c>
      <c r="DO49" s="289">
        <f>BZ50</f>
        <v>371</v>
      </c>
      <c r="DQ49" s="290" t="s">
        <v>506</v>
      </c>
      <c r="DR49" s="290" t="s">
        <v>285</v>
      </c>
      <c r="DS49" s="291">
        <v>197</v>
      </c>
      <c r="DT49" s="291">
        <v>0.61399999999999999</v>
      </c>
      <c r="DU49" s="290">
        <v>320.82</v>
      </c>
      <c r="DV49" s="290" t="s">
        <v>509</v>
      </c>
      <c r="DW49" s="291">
        <v>2E-16</v>
      </c>
      <c r="DX49" s="81" t="s">
        <v>510</v>
      </c>
      <c r="DY49" s="212" t="s">
        <v>568</v>
      </c>
      <c r="DZ49" s="297" t="s">
        <v>595</v>
      </c>
      <c r="EA49" s="292" t="s">
        <v>434</v>
      </c>
      <c r="EB49" s="293">
        <f t="shared" si="29"/>
        <v>7.8200000000000006E-2</v>
      </c>
      <c r="EC49" s="212" t="s">
        <v>392</v>
      </c>
      <c r="EE49" s="160" t="s">
        <v>568</v>
      </c>
      <c r="EF49" s="327" t="s">
        <v>595</v>
      </c>
      <c r="EG49" s="322" t="s">
        <v>434</v>
      </c>
      <c r="EH49" s="160">
        <f>$O$10*$Z$37*$AP$27</f>
        <v>0.88346657618681945</v>
      </c>
      <c r="EI49" s="160" t="s">
        <v>392</v>
      </c>
      <c r="EK49" s="329" t="s">
        <v>506</v>
      </c>
      <c r="EL49" s="329" t="s">
        <v>285</v>
      </c>
      <c r="EM49" s="333">
        <v>211</v>
      </c>
      <c r="EN49" s="333">
        <v>1.28</v>
      </c>
      <c r="EO49" s="329">
        <v>165.31</v>
      </c>
      <c r="EP49" s="329" t="s">
        <v>509</v>
      </c>
      <c r="EQ49" s="333">
        <v>2E-16</v>
      </c>
      <c r="ER49" s="329" t="s">
        <v>510</v>
      </c>
      <c r="ES49" s="330" t="s">
        <v>568</v>
      </c>
      <c r="ET49" s="337" t="s">
        <v>595</v>
      </c>
      <c r="EU49" s="331" t="s">
        <v>434</v>
      </c>
      <c r="EV49" s="332">
        <f t="shared" si="30"/>
        <v>1.44</v>
      </c>
      <c r="EW49" s="330" t="s">
        <v>392</v>
      </c>
    </row>
    <row r="50" spans="2:153" ht="15" customHeight="1" thickTop="1" thickBot="1" x14ac:dyDescent="0.3">
      <c r="L50" s="81"/>
      <c r="M50" s="81"/>
      <c r="N50" s="81"/>
      <c r="Q50" s="81"/>
      <c r="R50" s="81"/>
      <c r="X50" s="283"/>
      <c r="Y50" s="284" t="s">
        <v>16</v>
      </c>
      <c r="Z50" s="284">
        <v>3.5</v>
      </c>
      <c r="AA50" s="284" t="s">
        <v>5</v>
      </c>
      <c r="AB50" s="284"/>
      <c r="AC50" s="284" t="s">
        <v>303</v>
      </c>
      <c r="AD50" s="284">
        <f>(1/AA49-1/8-1/23)*0.11</f>
        <v>1.2895962732919253E-2</v>
      </c>
      <c r="AE50" s="285"/>
      <c r="AF50" s="14"/>
      <c r="AG50" s="14"/>
      <c r="AH50" s="14"/>
      <c r="AM50" s="154" t="s">
        <v>389</v>
      </c>
      <c r="AN50" s="81" t="s">
        <v>390</v>
      </c>
      <c r="AO50" s="81" t="s">
        <v>431</v>
      </c>
      <c r="AP50" s="81">
        <f>AP48</f>
        <v>374.43594009983366</v>
      </c>
      <c r="AQ50" s="81" t="s">
        <v>392</v>
      </c>
      <c r="AR50" s="204">
        <v>594</v>
      </c>
      <c r="AV50" s="205" t="s">
        <v>389</v>
      </c>
      <c r="AW50" s="205" t="s">
        <v>390</v>
      </c>
      <c r="AX50" s="205" t="s">
        <v>431</v>
      </c>
      <c r="AY50" s="207" t="s">
        <v>434</v>
      </c>
      <c r="AZ50" s="206">
        <f t="shared" si="3"/>
        <v>371</v>
      </c>
      <c r="BA50" s="205" t="s">
        <v>392</v>
      </c>
      <c r="BQ50" s="154" t="s">
        <v>389</v>
      </c>
      <c r="BR50" s="81" t="s">
        <v>390</v>
      </c>
      <c r="BS50" s="81" t="s">
        <v>431</v>
      </c>
      <c r="BT50" s="204">
        <f t="shared" si="21"/>
        <v>594</v>
      </c>
      <c r="BU50" s="81" t="s">
        <v>392</v>
      </c>
      <c r="BV50" s="204">
        <v>594</v>
      </c>
      <c r="BZ50" s="211">
        <f>CP62</f>
        <v>371</v>
      </c>
      <c r="CA50" s="211"/>
      <c r="CN50" s="81" t="s">
        <v>506</v>
      </c>
      <c r="CO50" s="81" t="s">
        <v>424</v>
      </c>
      <c r="CP50" s="204">
        <v>0.72299999999999998</v>
      </c>
      <c r="CQ50" s="204">
        <v>2.46E-2</v>
      </c>
      <c r="CR50" s="81">
        <v>29.4</v>
      </c>
      <c r="CS50" s="81" t="s">
        <v>509</v>
      </c>
      <c r="CT50" s="204">
        <v>2E-16</v>
      </c>
      <c r="CU50" s="81" t="s">
        <v>510</v>
      </c>
      <c r="CV50" s="212" t="s">
        <v>506</v>
      </c>
      <c r="CW50" s="81" t="s">
        <v>421</v>
      </c>
      <c r="CX50" s="204">
        <v>36.9</v>
      </c>
      <c r="CY50" s="204">
        <v>5.6099999999999998E-4</v>
      </c>
      <c r="CZ50" s="81">
        <v>65843</v>
      </c>
      <c r="DA50" s="81" t="s">
        <v>505</v>
      </c>
      <c r="DB50" s="81" t="s">
        <v>510</v>
      </c>
      <c r="DJ50" s="204"/>
      <c r="DQ50" s="290" t="s">
        <v>506</v>
      </c>
      <c r="DR50" s="290" t="s">
        <v>120</v>
      </c>
      <c r="DS50" s="291">
        <v>74.900000000000006</v>
      </c>
      <c r="DT50" s="291">
        <v>0.185</v>
      </c>
      <c r="DU50" s="290">
        <v>404.29</v>
      </c>
      <c r="DV50" s="290" t="s">
        <v>509</v>
      </c>
      <c r="DW50" s="291">
        <v>2E-16</v>
      </c>
      <c r="DX50" s="81" t="s">
        <v>510</v>
      </c>
      <c r="DY50" s="212" t="s">
        <v>568</v>
      </c>
      <c r="DZ50" s="297" t="s">
        <v>596</v>
      </c>
      <c r="EA50" s="292" t="s">
        <v>434</v>
      </c>
      <c r="EB50" s="293">
        <f t="shared" si="29"/>
        <v>0.55900000000000005</v>
      </c>
      <c r="EC50" s="212" t="s">
        <v>392</v>
      </c>
      <c r="EE50" s="160" t="s">
        <v>568</v>
      </c>
      <c r="EF50" s="327" t="s">
        <v>596</v>
      </c>
      <c r="EG50" s="322" t="s">
        <v>434</v>
      </c>
      <c r="EH50" s="160">
        <f>$O$12*$Z$37*$AP$27</f>
        <v>0.98162952909646606</v>
      </c>
      <c r="EI50" s="160" t="s">
        <v>392</v>
      </c>
      <c r="EK50" s="329" t="s">
        <v>506</v>
      </c>
      <c r="EL50" s="329" t="s">
        <v>120</v>
      </c>
      <c r="EM50" s="333">
        <v>106</v>
      </c>
      <c r="EN50" s="333">
        <v>1.1000000000000001</v>
      </c>
      <c r="EO50" s="329">
        <v>96.46</v>
      </c>
      <c r="EP50" s="329" t="s">
        <v>509</v>
      </c>
      <c r="EQ50" s="333">
        <v>2E-16</v>
      </c>
      <c r="ER50" s="329" t="s">
        <v>510</v>
      </c>
      <c r="ES50" s="330" t="s">
        <v>568</v>
      </c>
      <c r="ET50" s="337" t="s">
        <v>596</v>
      </c>
      <c r="EU50" s="331" t="s">
        <v>434</v>
      </c>
      <c r="EV50" s="332">
        <f t="shared" si="30"/>
        <v>1.1000000000000001</v>
      </c>
      <c r="EW50" s="330" t="s">
        <v>392</v>
      </c>
    </row>
    <row r="51" spans="2:153" ht="15" customHeight="1" thickTop="1" thickBot="1" x14ac:dyDescent="0.3">
      <c r="L51" s="81"/>
      <c r="M51" s="81"/>
      <c r="N51" s="81"/>
      <c r="Q51" s="81"/>
      <c r="R51" s="81"/>
      <c r="X51" s="258"/>
      <c r="Y51" s="258"/>
      <c r="Z51" s="259"/>
      <c r="AA51" s="259"/>
      <c r="AB51" s="259"/>
      <c r="AC51" s="258"/>
      <c r="AD51" s="258"/>
      <c r="AE51" s="258"/>
      <c r="AF51" s="14"/>
      <c r="AG51" s="14"/>
      <c r="AH51" s="14"/>
      <c r="CN51" s="81" t="s">
        <v>506</v>
      </c>
      <c r="CO51" s="81" t="s">
        <v>515</v>
      </c>
      <c r="CP51" s="204">
        <v>120000000</v>
      </c>
      <c r="CQ51" s="204">
        <v>15700000</v>
      </c>
      <c r="CR51" s="81">
        <v>7.65</v>
      </c>
      <c r="CS51" s="204">
        <v>2.8000000000000001E-14</v>
      </c>
      <c r="CT51" s="81" t="s">
        <v>510</v>
      </c>
      <c r="CV51" s="212" t="s">
        <v>506</v>
      </c>
      <c r="CW51" s="81" t="s">
        <v>488</v>
      </c>
      <c r="CX51" s="204">
        <v>-10</v>
      </c>
      <c r="CY51" s="204">
        <v>1.5799999999999999E-4</v>
      </c>
      <c r="CZ51" s="81">
        <v>-63411</v>
      </c>
      <c r="DA51" s="81" t="s">
        <v>505</v>
      </c>
      <c r="DB51" s="81" t="s">
        <v>510</v>
      </c>
      <c r="DJ51" s="204"/>
      <c r="DQ51" s="290" t="s">
        <v>506</v>
      </c>
      <c r="DR51" s="290" t="s">
        <v>488</v>
      </c>
      <c r="DS51" s="291">
        <v>-6.69</v>
      </c>
      <c r="DT51" s="291">
        <v>1.8599999999999998E-2</v>
      </c>
      <c r="DU51" s="290">
        <v>-360.4</v>
      </c>
      <c r="DV51" s="290" t="s">
        <v>509</v>
      </c>
      <c r="DW51" s="291">
        <v>2E-16</v>
      </c>
      <c r="DX51" s="81" t="s">
        <v>510</v>
      </c>
      <c r="DY51" s="212" t="s">
        <v>568</v>
      </c>
      <c r="DZ51" s="297" t="s">
        <v>597</v>
      </c>
      <c r="EA51" s="292" t="s">
        <v>434</v>
      </c>
      <c r="EB51" s="293">
        <f t="shared" si="29"/>
        <v>0.53300000000000003</v>
      </c>
      <c r="EC51" s="212" t="s">
        <v>392</v>
      </c>
      <c r="EE51" s="160" t="s">
        <v>568</v>
      </c>
      <c r="EF51" s="327" t="s">
        <v>597</v>
      </c>
      <c r="EG51" s="322" t="s">
        <v>434</v>
      </c>
      <c r="EH51" s="160">
        <f>$O$13*$Z$37*$AP$27</f>
        <v>1.1016064715415899</v>
      </c>
      <c r="EI51" s="160" t="s">
        <v>392</v>
      </c>
      <c r="EK51" s="329" t="s">
        <v>506</v>
      </c>
      <c r="EL51" s="329" t="s">
        <v>488</v>
      </c>
      <c r="EM51" s="333">
        <v>-4.3</v>
      </c>
      <c r="EN51" s="333">
        <v>2.8899999999999999E-2</v>
      </c>
      <c r="EO51" s="329">
        <v>-148.77000000000001</v>
      </c>
      <c r="EP51" s="329" t="s">
        <v>509</v>
      </c>
      <c r="EQ51" s="333">
        <v>2E-16</v>
      </c>
      <c r="ER51" s="329" t="s">
        <v>510</v>
      </c>
      <c r="ES51" s="330" t="s">
        <v>568</v>
      </c>
      <c r="ET51" s="337" t="s">
        <v>597</v>
      </c>
      <c r="EU51" s="331" t="s">
        <v>434</v>
      </c>
      <c r="EV51" s="332">
        <f t="shared" si="30"/>
        <v>0.745</v>
      </c>
      <c r="EW51" s="330" t="s">
        <v>392</v>
      </c>
    </row>
    <row r="52" spans="2:153" thickTop="1" thickBot="1" x14ac:dyDescent="0.3">
      <c r="X52" s="303" t="s">
        <v>610</v>
      </c>
      <c r="Y52" s="304"/>
      <c r="Z52" s="305" t="s">
        <v>21</v>
      </c>
      <c r="AA52" s="306">
        <f>(1/(1/4+SUM(AD54:AD56)+1/4))</f>
        <v>1.2616822429906542</v>
      </c>
      <c r="AB52" s="304" t="s">
        <v>5</v>
      </c>
      <c r="AC52" s="304"/>
      <c r="AD52" s="304" t="s">
        <v>22</v>
      </c>
      <c r="AE52" s="307">
        <f>SUM(AE54:AE58)</f>
        <v>181020.00000000003</v>
      </c>
      <c r="CN52" s="81" t="s">
        <v>506</v>
      </c>
      <c r="CO52" s="81" t="s">
        <v>426</v>
      </c>
      <c r="CP52" s="204">
        <v>630000</v>
      </c>
      <c r="CQ52" s="204">
        <v>33500</v>
      </c>
      <c r="CR52" s="81">
        <v>18.79</v>
      </c>
      <c r="CS52" s="81" t="s">
        <v>509</v>
      </c>
      <c r="CT52" s="204">
        <v>2E-16</v>
      </c>
      <c r="CU52" s="81" t="s">
        <v>510</v>
      </c>
      <c r="CV52" s="212" t="s">
        <v>506</v>
      </c>
      <c r="CW52" s="81" t="s">
        <v>489</v>
      </c>
      <c r="CX52" s="204">
        <v>-10</v>
      </c>
      <c r="CY52" s="204">
        <v>1.5799999999999999E-4</v>
      </c>
      <c r="CZ52" s="81">
        <v>-63411</v>
      </c>
      <c r="DA52" s="81" t="s">
        <v>505</v>
      </c>
      <c r="DB52" s="81" t="s">
        <v>510</v>
      </c>
      <c r="DF52" s="81" t="s">
        <v>389</v>
      </c>
      <c r="DG52" s="81" t="s">
        <v>390</v>
      </c>
      <c r="DH52" s="81" t="str">
        <f t="shared" si="14"/>
        <v>UfDN</v>
      </c>
      <c r="DI52" s="81" t="s">
        <v>434</v>
      </c>
      <c r="DJ52" s="204">
        <f t="shared" si="15"/>
        <v>532</v>
      </c>
      <c r="DK52" s="81" t="s">
        <v>392</v>
      </c>
      <c r="DQ52" s="290" t="s">
        <v>506</v>
      </c>
      <c r="DR52" s="290" t="s">
        <v>489</v>
      </c>
      <c r="DS52" s="291">
        <v>-7.1</v>
      </c>
      <c r="DT52" s="291">
        <v>1.47E-2</v>
      </c>
      <c r="DU52" s="290">
        <v>-481.66</v>
      </c>
      <c r="DV52" s="290" t="s">
        <v>509</v>
      </c>
      <c r="DW52" s="291">
        <v>2E-16</v>
      </c>
      <c r="DX52" s="81" t="s">
        <v>510</v>
      </c>
      <c r="DY52" s="212" t="s">
        <v>568</v>
      </c>
      <c r="DZ52" s="297" t="s">
        <v>598</v>
      </c>
      <c r="EA52" s="292" t="s">
        <v>434</v>
      </c>
      <c r="EB52" s="293">
        <f t="shared" si="29"/>
        <v>7.3200000000000001E-2</v>
      </c>
      <c r="EC52" s="212" t="s">
        <v>392</v>
      </c>
      <c r="EE52" s="160" t="s">
        <v>568</v>
      </c>
      <c r="EF52" s="327" t="s">
        <v>598</v>
      </c>
      <c r="EG52" s="322" t="s">
        <v>434</v>
      </c>
      <c r="EH52" s="160">
        <f>$O$11*$Z$37*$AP$28</f>
        <v>5.0745503496690055E-2</v>
      </c>
      <c r="EI52" s="160" t="s">
        <v>392</v>
      </c>
      <c r="EK52" s="329" t="s">
        <v>506</v>
      </c>
      <c r="EL52" s="329" t="s">
        <v>489</v>
      </c>
      <c r="EM52" s="333">
        <v>-5.9</v>
      </c>
      <c r="EN52" s="333">
        <v>2.2200000000000001E-2</v>
      </c>
      <c r="EO52" s="329">
        <v>-266.22000000000003</v>
      </c>
      <c r="EP52" s="329" t="s">
        <v>509</v>
      </c>
      <c r="EQ52" s="333">
        <v>2E-16</v>
      </c>
      <c r="ER52" s="329" t="s">
        <v>510</v>
      </c>
      <c r="ES52" s="330" t="s">
        <v>568</v>
      </c>
      <c r="ET52" s="337" t="s">
        <v>598</v>
      </c>
      <c r="EU52" s="331" t="s">
        <v>434</v>
      </c>
      <c r="EV52" s="332">
        <f t="shared" si="30"/>
        <v>0.216</v>
      </c>
      <c r="EW52" s="330" t="s">
        <v>392</v>
      </c>
    </row>
    <row r="53" spans="2:153" thickTop="1" thickBot="1" x14ac:dyDescent="0.3">
      <c r="X53" s="308"/>
      <c r="Y53" s="266" t="s">
        <v>27</v>
      </c>
      <c r="Z53" s="266" t="s">
        <v>28</v>
      </c>
      <c r="AA53" s="266" t="s">
        <v>29</v>
      </c>
      <c r="AB53" s="266" t="s">
        <v>30</v>
      </c>
      <c r="AC53" s="266" t="s">
        <v>31</v>
      </c>
      <c r="AD53" s="266" t="s">
        <v>32</v>
      </c>
      <c r="AE53" s="309" t="s">
        <v>33</v>
      </c>
      <c r="CN53" s="81">
        <v>17</v>
      </c>
      <c r="CV53" s="212" t="s">
        <v>506</v>
      </c>
      <c r="CW53" s="81" t="s">
        <v>490</v>
      </c>
      <c r="CX53" s="204">
        <v>-10</v>
      </c>
      <c r="CY53" s="204">
        <v>1.5799999999999999E-4</v>
      </c>
      <c r="CZ53" s="81">
        <v>-63411</v>
      </c>
      <c r="DA53" s="81" t="s">
        <v>505</v>
      </c>
      <c r="DB53" s="81" t="s">
        <v>510</v>
      </c>
      <c r="DF53" s="81" t="s">
        <v>389</v>
      </c>
      <c r="DG53" s="81" t="s">
        <v>390</v>
      </c>
      <c r="DH53" s="81" t="str">
        <f t="shared" si="14"/>
        <v>Ufi</v>
      </c>
      <c r="DI53" s="81" t="s">
        <v>434</v>
      </c>
      <c r="DJ53" s="204">
        <f t="shared" si="15"/>
        <v>1</v>
      </c>
      <c r="DK53" s="81" t="s">
        <v>392</v>
      </c>
      <c r="DQ53" s="290" t="s">
        <v>506</v>
      </c>
      <c r="DR53" s="290" t="s">
        <v>490</v>
      </c>
      <c r="DS53" s="291">
        <v>-7.27</v>
      </c>
      <c r="DT53" s="291">
        <v>2.3699999999999999E-2</v>
      </c>
      <c r="DU53" s="290">
        <v>-306.20999999999998</v>
      </c>
      <c r="DV53" s="290" t="s">
        <v>509</v>
      </c>
      <c r="DW53" s="291">
        <v>2E-16</v>
      </c>
      <c r="DX53" s="81" t="s">
        <v>510</v>
      </c>
      <c r="DY53" s="212" t="s">
        <v>568</v>
      </c>
      <c r="DZ53" s="297" t="s">
        <v>599</v>
      </c>
      <c r="EA53" s="292" t="s">
        <v>434</v>
      </c>
      <c r="EB53" s="293">
        <f t="shared" si="29"/>
        <v>1.09E-24</v>
      </c>
      <c r="EC53" s="212" t="s">
        <v>392</v>
      </c>
      <c r="EE53" s="160" t="s">
        <v>568</v>
      </c>
      <c r="EF53" s="327" t="s">
        <v>599</v>
      </c>
      <c r="EG53" s="322" t="s">
        <v>434</v>
      </c>
      <c r="EH53" s="160">
        <f>$O$10*$Z$37*$AP$28</f>
        <v>5.9570808452636147E-2</v>
      </c>
      <c r="EI53" s="160" t="s">
        <v>392</v>
      </c>
      <c r="EK53" s="329" t="s">
        <v>506</v>
      </c>
      <c r="EL53" s="329" t="s">
        <v>490</v>
      </c>
      <c r="EM53" s="333">
        <v>-6.85</v>
      </c>
      <c r="EN53" s="333">
        <v>2.8000000000000001E-2</v>
      </c>
      <c r="EO53" s="329">
        <v>-244.77</v>
      </c>
      <c r="EP53" s="329" t="s">
        <v>509</v>
      </c>
      <c r="EQ53" s="333">
        <v>2E-16</v>
      </c>
      <c r="ER53" s="329" t="s">
        <v>510</v>
      </c>
      <c r="ES53" s="330" t="s">
        <v>568</v>
      </c>
      <c r="ET53" s="337" t="s">
        <v>599</v>
      </c>
      <c r="EU53" s="331" t="s">
        <v>434</v>
      </c>
      <c r="EV53" s="332">
        <f t="shared" si="30"/>
        <v>0.27500000000000002</v>
      </c>
      <c r="EW53" s="330" t="s">
        <v>392</v>
      </c>
    </row>
    <row r="54" spans="2:153" thickTop="1" thickBot="1" x14ac:dyDescent="0.3">
      <c r="X54" s="310"/>
      <c r="Y54" s="221" t="s">
        <v>90</v>
      </c>
      <c r="Z54" s="221">
        <v>0.02</v>
      </c>
      <c r="AA54" s="221">
        <v>0.6</v>
      </c>
      <c r="AB54" s="221">
        <v>975</v>
      </c>
      <c r="AC54" s="221">
        <v>840</v>
      </c>
      <c r="AD54" s="268">
        <f>Z54/AA54</f>
        <v>3.3333333333333333E-2</v>
      </c>
      <c r="AE54" s="311">
        <f>Z54*AB54*AC54</f>
        <v>16380</v>
      </c>
      <c r="AO54" s="160" t="s">
        <v>432</v>
      </c>
      <c r="AP54" s="160">
        <f>SUM(AP42,AP4:AP7)</f>
        <v>1</v>
      </c>
      <c r="AQ54" s="160"/>
      <c r="BS54" s="160" t="s">
        <v>432</v>
      </c>
      <c r="BT54" s="160">
        <f>SUM(BT42,BT4:BT7)</f>
        <v>0.99119290000000004</v>
      </c>
      <c r="BU54" s="160"/>
      <c r="CN54" s="81" t="s">
        <v>506</v>
      </c>
      <c r="CO54" s="81" t="s">
        <v>480</v>
      </c>
      <c r="CP54" s="204">
        <v>-3.69</v>
      </c>
      <c r="CQ54" s="204">
        <v>1.17</v>
      </c>
      <c r="CR54" s="81">
        <v>-3.14</v>
      </c>
      <c r="CS54" s="81">
        <v>1.6999999999999999E-3</v>
      </c>
      <c r="CT54" s="81" t="s">
        <v>516</v>
      </c>
      <c r="CV54" s="212" t="s">
        <v>506</v>
      </c>
      <c r="CW54" s="81" t="s">
        <v>491</v>
      </c>
      <c r="CX54" s="204">
        <v>-10</v>
      </c>
      <c r="CY54" s="204">
        <v>1.5799999999999999E-4</v>
      </c>
      <c r="CZ54" s="81">
        <v>-63411</v>
      </c>
      <c r="DA54" s="81" t="s">
        <v>505</v>
      </c>
      <c r="DB54" s="81" t="s">
        <v>510</v>
      </c>
      <c r="DF54" s="81" t="s">
        <v>389</v>
      </c>
      <c r="DG54" s="81" t="s">
        <v>390</v>
      </c>
      <c r="DH54" s="81" t="str">
        <f t="shared" si="14"/>
        <v>UfND</v>
      </c>
      <c r="DI54" s="81" t="s">
        <v>434</v>
      </c>
      <c r="DJ54" s="204">
        <f t="shared" si="15"/>
        <v>351</v>
      </c>
      <c r="DK54" s="81" t="s">
        <v>392</v>
      </c>
      <c r="DQ54" s="290" t="s">
        <v>506</v>
      </c>
      <c r="DR54" s="290" t="s">
        <v>491</v>
      </c>
      <c r="DS54" s="291">
        <v>-6.57</v>
      </c>
      <c r="DT54" s="291">
        <v>1.4999999999999999E-2</v>
      </c>
      <c r="DU54" s="290">
        <v>-436.99</v>
      </c>
      <c r="DV54" s="290" t="s">
        <v>509</v>
      </c>
      <c r="DW54" s="291">
        <v>2E-16</v>
      </c>
      <c r="DX54" s="81" t="s">
        <v>510</v>
      </c>
      <c r="DY54" s="212" t="s">
        <v>568</v>
      </c>
      <c r="DZ54" s="297" t="s">
        <v>600</v>
      </c>
      <c r="EA54" s="292" t="s">
        <v>434</v>
      </c>
      <c r="EB54" s="293">
        <f t="shared" si="29"/>
        <v>6.7799999999999999E-2</v>
      </c>
      <c r="EC54" s="212" t="s">
        <v>392</v>
      </c>
      <c r="EE54" s="160" t="s">
        <v>568</v>
      </c>
      <c r="EF54" s="327" t="s">
        <v>600</v>
      </c>
      <c r="EG54" s="322" t="s">
        <v>434</v>
      </c>
      <c r="EH54" s="160">
        <f>$O$12*$Z$37*$AP$28</f>
        <v>6.6189787169595726E-2</v>
      </c>
      <c r="EI54" s="160" t="s">
        <v>392</v>
      </c>
      <c r="EK54" s="329" t="s">
        <v>506</v>
      </c>
      <c r="EL54" s="329" t="s">
        <v>491</v>
      </c>
      <c r="EM54" s="333">
        <v>-5.78</v>
      </c>
      <c r="EN54" s="333">
        <v>2.4E-2</v>
      </c>
      <c r="EO54" s="329">
        <v>-240.41</v>
      </c>
      <c r="EP54" s="329" t="s">
        <v>509</v>
      </c>
      <c r="EQ54" s="333">
        <v>2E-16</v>
      </c>
      <c r="ER54" s="329" t="s">
        <v>510</v>
      </c>
      <c r="ES54" s="330" t="s">
        <v>568</v>
      </c>
      <c r="ET54" s="337" t="s">
        <v>600</v>
      </c>
      <c r="EU54" s="331" t="s">
        <v>434</v>
      </c>
      <c r="EV54" s="332">
        <f t="shared" si="30"/>
        <v>8.7300000000000003E-2</v>
      </c>
      <c r="EW54" s="330" t="s">
        <v>392</v>
      </c>
    </row>
    <row r="55" spans="2:153" thickTop="1" thickBot="1" x14ac:dyDescent="0.3">
      <c r="X55" s="310"/>
      <c r="Y55" s="231" t="s">
        <v>611</v>
      </c>
      <c r="Z55" s="221">
        <v>0.14000000000000001</v>
      </c>
      <c r="AA55" s="221">
        <v>0.54</v>
      </c>
      <c r="AB55" s="221">
        <v>1400</v>
      </c>
      <c r="AC55" s="231">
        <v>840</v>
      </c>
      <c r="AD55" s="268">
        <f>Z55/AA55</f>
        <v>0.25925925925925924</v>
      </c>
      <c r="AE55" s="222">
        <f>Z55*AB55*AC55</f>
        <v>164640.00000000003</v>
      </c>
      <c r="AO55" s="160" t="s">
        <v>432</v>
      </c>
      <c r="AP55" s="160">
        <f>SUM(AP43,AP26:AP28)</f>
        <v>1</v>
      </c>
      <c r="AQ55" s="160"/>
      <c r="BS55" s="160" t="s">
        <v>432</v>
      </c>
      <c r="BT55" s="160">
        <f>SUM(BT43,BT26:BT28)</f>
        <v>1.006</v>
      </c>
      <c r="BU55" s="160"/>
      <c r="CN55" s="81" t="s">
        <v>506</v>
      </c>
      <c r="CO55" s="81" t="s">
        <v>517</v>
      </c>
      <c r="CP55" s="204">
        <v>-0.99099999999999999</v>
      </c>
      <c r="CQ55" s="204">
        <v>0.94399999999999995</v>
      </c>
      <c r="CR55" s="81">
        <v>-1.05</v>
      </c>
      <c r="CS55" s="81">
        <v>0.29389999999999999</v>
      </c>
      <c r="CV55" s="212" t="s">
        <v>506</v>
      </c>
      <c r="CW55" s="81" t="s">
        <v>492</v>
      </c>
      <c r="CX55" s="204">
        <v>-10</v>
      </c>
      <c r="CY55" s="204">
        <v>1.5799999999999999E-4</v>
      </c>
      <c r="CZ55" s="81">
        <v>-63411</v>
      </c>
      <c r="DA55" s="81" t="s">
        <v>505</v>
      </c>
      <c r="DB55" s="81" t="s">
        <v>510</v>
      </c>
      <c r="DF55" s="81" t="s">
        <v>389</v>
      </c>
      <c r="DG55" s="81" t="s">
        <v>390</v>
      </c>
      <c r="DH55" s="81" t="str">
        <f t="shared" si="14"/>
        <v>UwD</v>
      </c>
      <c r="DI55" s="81" t="s">
        <v>434</v>
      </c>
      <c r="DJ55" s="204">
        <f t="shared" si="15"/>
        <v>61.2</v>
      </c>
      <c r="DK55" s="81" t="s">
        <v>392</v>
      </c>
      <c r="DQ55" s="290" t="s">
        <v>506</v>
      </c>
      <c r="DR55" s="290" t="s">
        <v>492</v>
      </c>
      <c r="DS55" s="291">
        <v>-7.19</v>
      </c>
      <c r="DT55" s="291">
        <v>2.2499999999999999E-2</v>
      </c>
      <c r="DU55" s="290">
        <v>-319.45</v>
      </c>
      <c r="DV55" s="290" t="s">
        <v>509</v>
      </c>
      <c r="DW55" s="291">
        <v>2E-16</v>
      </c>
      <c r="DX55" s="81" t="s">
        <v>510</v>
      </c>
      <c r="DY55" s="212" t="s">
        <v>568</v>
      </c>
      <c r="DZ55" s="297" t="s">
        <v>601</v>
      </c>
      <c r="EA55" s="292" t="s">
        <v>434</v>
      </c>
      <c r="EB55" s="293">
        <f t="shared" si="29"/>
        <v>0.23799999999999999</v>
      </c>
      <c r="EC55" s="212" t="s">
        <v>392</v>
      </c>
      <c r="EE55" s="160" t="s">
        <v>568</v>
      </c>
      <c r="EF55" s="327" t="s">
        <v>601</v>
      </c>
      <c r="EG55" s="322" t="s">
        <v>434</v>
      </c>
      <c r="EH55" s="160">
        <f>$O$13*$Z$37*$AP$28</f>
        <v>7.427965004587965E-2</v>
      </c>
      <c r="EI55" s="160" t="s">
        <v>392</v>
      </c>
      <c r="EK55" s="329" t="s">
        <v>506</v>
      </c>
      <c r="EL55" s="329" t="s">
        <v>492</v>
      </c>
      <c r="EM55" s="333">
        <v>-6.9</v>
      </c>
      <c r="EN55" s="333">
        <v>2.8299999999999999E-2</v>
      </c>
      <c r="EO55" s="329">
        <v>-244.17</v>
      </c>
      <c r="EP55" s="329" t="s">
        <v>509</v>
      </c>
      <c r="EQ55" s="333">
        <v>2E-16</v>
      </c>
      <c r="ER55" s="329" t="s">
        <v>510</v>
      </c>
      <c r="ES55" s="330" t="s">
        <v>568</v>
      </c>
      <c r="ET55" s="337" t="s">
        <v>601</v>
      </c>
      <c r="EU55" s="331" t="s">
        <v>434</v>
      </c>
      <c r="EV55" s="332">
        <f t="shared" si="30"/>
        <v>0.42799999999999999</v>
      </c>
      <c r="EW55" s="330" t="s">
        <v>392</v>
      </c>
    </row>
    <row r="56" spans="2:153" thickTop="1" thickBot="1" x14ac:dyDescent="0.3">
      <c r="X56" s="312"/>
      <c r="Y56" s="313" t="s">
        <v>269</v>
      </c>
      <c r="Z56" s="314">
        <v>0</v>
      </c>
      <c r="AA56" s="314">
        <v>3.5999999999999997E-2</v>
      </c>
      <c r="AB56" s="314">
        <v>26</v>
      </c>
      <c r="AC56" s="314">
        <v>1470</v>
      </c>
      <c r="AD56" s="315">
        <f>Z56/AA56</f>
        <v>0</v>
      </c>
      <c r="AE56" s="316">
        <f>Z56*AB56*AC56</f>
        <v>0</v>
      </c>
      <c r="AO56" s="160" t="s">
        <v>433</v>
      </c>
      <c r="AP56" s="160">
        <f>SUM(AP46,AP14:AP17)</f>
        <v>0.99999999999999989</v>
      </c>
      <c r="AQ56" s="160"/>
      <c r="BS56" s="160" t="s">
        <v>433</v>
      </c>
      <c r="BT56" s="160">
        <f>SUM(BT46,BT14:BT17)</f>
        <v>0.98349999999999993</v>
      </c>
      <c r="BU56" s="160"/>
      <c r="CN56" s="81" t="s">
        <v>506</v>
      </c>
      <c r="CO56" s="81" t="s">
        <v>518</v>
      </c>
      <c r="CP56" s="204">
        <v>5.6500000000000002E-2</v>
      </c>
      <c r="CQ56" s="204">
        <v>4.6299999999999998E-4</v>
      </c>
      <c r="CR56" s="81">
        <v>122.19</v>
      </c>
      <c r="CS56" s="81" t="s">
        <v>509</v>
      </c>
      <c r="CT56" s="204">
        <v>2E-16</v>
      </c>
      <c r="CU56" s="81" t="s">
        <v>510</v>
      </c>
      <c r="CV56" s="212" t="s">
        <v>506</v>
      </c>
      <c r="CW56" s="81" t="s">
        <v>530</v>
      </c>
      <c r="CX56" s="204">
        <v>-10</v>
      </c>
      <c r="CY56" s="204">
        <v>1.5799999999999999E-4</v>
      </c>
      <c r="CZ56" s="81">
        <v>-63411</v>
      </c>
      <c r="DA56" s="81" t="s">
        <v>505</v>
      </c>
      <c r="DB56" s="81" t="s">
        <v>510</v>
      </c>
      <c r="DF56" s="81" t="s">
        <v>389</v>
      </c>
      <c r="DG56" s="81" t="s">
        <v>390</v>
      </c>
      <c r="DH56" s="81" t="str">
        <f t="shared" si="14"/>
        <v>UwN</v>
      </c>
      <c r="DI56" s="81" t="s">
        <v>434</v>
      </c>
      <c r="DJ56" s="204">
        <f t="shared" si="15"/>
        <v>50</v>
      </c>
      <c r="DK56" s="81" t="s">
        <v>392</v>
      </c>
      <c r="DQ56" s="290" t="s">
        <v>506</v>
      </c>
      <c r="DR56" s="290" t="s">
        <v>493</v>
      </c>
      <c r="DS56" s="291">
        <v>2.07E-2</v>
      </c>
      <c r="DT56" s="291">
        <v>1.22E-4</v>
      </c>
      <c r="DU56" s="290">
        <v>170.01</v>
      </c>
      <c r="DV56" s="290" t="s">
        <v>509</v>
      </c>
      <c r="DW56" s="291">
        <v>2E-16</v>
      </c>
      <c r="DX56" s="81" t="s">
        <v>510</v>
      </c>
      <c r="DY56" s="212" t="s">
        <v>568</v>
      </c>
      <c r="DZ56" s="297" t="s">
        <v>602</v>
      </c>
      <c r="EA56" s="292" t="s">
        <v>434</v>
      </c>
      <c r="EB56" s="293">
        <f t="shared" si="29"/>
        <v>0.19500000000000001</v>
      </c>
      <c r="EC56" s="212" t="s">
        <v>392</v>
      </c>
      <c r="EE56" s="160" t="s">
        <v>568</v>
      </c>
      <c r="EF56" s="327" t="s">
        <v>602</v>
      </c>
      <c r="EG56" s="322" t="s">
        <v>434</v>
      </c>
      <c r="EH56" s="160">
        <f>$O$11*$Z$37*$AP$43</f>
        <v>0.26578143473632976</v>
      </c>
      <c r="EI56" s="160" t="s">
        <v>392</v>
      </c>
      <c r="EK56" s="329" t="s">
        <v>506</v>
      </c>
      <c r="EL56" s="329" t="s">
        <v>493</v>
      </c>
      <c r="EM56" s="333">
        <v>2.1700000000000001E-2</v>
      </c>
      <c r="EN56" s="333">
        <v>3.6999999999999999E-4</v>
      </c>
      <c r="EO56" s="329">
        <v>58.67</v>
      </c>
      <c r="EP56" s="329" t="s">
        <v>509</v>
      </c>
      <c r="EQ56" s="333">
        <v>2E-16</v>
      </c>
      <c r="ER56" s="329" t="s">
        <v>510</v>
      </c>
      <c r="ES56" s="330" t="s">
        <v>568</v>
      </c>
      <c r="ET56" s="337" t="s">
        <v>602</v>
      </c>
      <c r="EU56" s="331" t="s">
        <v>434</v>
      </c>
      <c r="EV56" s="332">
        <f t="shared" si="30"/>
        <v>0.35099999999999998</v>
      </c>
      <c r="EW56" s="330" t="s">
        <v>392</v>
      </c>
    </row>
    <row r="57" spans="2:153" thickTop="1" thickBot="1" x14ac:dyDescent="0.3">
      <c r="AO57" s="160" t="s">
        <v>433</v>
      </c>
      <c r="AP57" s="160">
        <f>SUM(AP47,AP33:AP35)</f>
        <v>0.99999999999999989</v>
      </c>
      <c r="AQ57" s="160"/>
      <c r="BS57" s="160" t="s">
        <v>433</v>
      </c>
      <c r="BT57" s="160">
        <f>SUM(BT47,BT33:BT35)</f>
        <v>0.98880000000000012</v>
      </c>
      <c r="BU57" s="160"/>
      <c r="CN57" s="81" t="s">
        <v>506</v>
      </c>
      <c r="CO57" s="81" t="s">
        <v>519</v>
      </c>
      <c r="CP57" s="204">
        <v>1.15E-3</v>
      </c>
      <c r="CQ57" s="204">
        <v>8.8200000000000003E-5</v>
      </c>
      <c r="CR57" s="81">
        <v>13.04</v>
      </c>
      <c r="CS57" s="81" t="s">
        <v>509</v>
      </c>
      <c r="CT57" s="204">
        <v>2E-16</v>
      </c>
      <c r="CU57" s="81" t="s">
        <v>510</v>
      </c>
      <c r="CV57" s="212" t="s">
        <v>506</v>
      </c>
      <c r="CW57" s="81" t="s">
        <v>531</v>
      </c>
      <c r="CX57" s="204">
        <v>-10</v>
      </c>
      <c r="CY57" s="204">
        <v>1.5799999999999999E-4</v>
      </c>
      <c r="CZ57" s="81">
        <v>-63411</v>
      </c>
      <c r="DA57" s="81" t="s">
        <v>505</v>
      </c>
      <c r="DB57" s="81" t="s">
        <v>510</v>
      </c>
      <c r="DJ57" s="204"/>
      <c r="DQ57" s="290" t="s">
        <v>506</v>
      </c>
      <c r="DR57" s="290" t="s">
        <v>494</v>
      </c>
      <c r="DS57" s="291">
        <v>161</v>
      </c>
      <c r="DT57" s="291">
        <v>0.81499999999999995</v>
      </c>
      <c r="DU57" s="290">
        <v>197.13</v>
      </c>
      <c r="DV57" s="290" t="s">
        <v>509</v>
      </c>
      <c r="DW57" s="291">
        <v>2E-16</v>
      </c>
      <c r="DX57" s="81" t="s">
        <v>510</v>
      </c>
      <c r="DY57" s="212" t="s">
        <v>568</v>
      </c>
      <c r="DZ57" s="297" t="s">
        <v>603</v>
      </c>
      <c r="EA57" s="292" t="s">
        <v>434</v>
      </c>
      <c r="EB57" s="293">
        <f t="shared" si="29"/>
        <v>0.17100000000000001</v>
      </c>
      <c r="EC57" s="212" t="s">
        <v>392</v>
      </c>
      <c r="EE57" s="160" t="s">
        <v>568</v>
      </c>
      <c r="EF57" s="327" t="s">
        <v>603</v>
      </c>
      <c r="EG57" s="322" t="s">
        <v>434</v>
      </c>
      <c r="EH57" s="160">
        <f>$O$10*$Z$37*$AP$43</f>
        <v>0.31200429295134363</v>
      </c>
      <c r="EI57" s="160" t="s">
        <v>392</v>
      </c>
      <c r="EK57" s="329" t="s">
        <v>506</v>
      </c>
      <c r="EL57" s="329" t="s">
        <v>494</v>
      </c>
      <c r="EM57" s="333">
        <v>164</v>
      </c>
      <c r="EN57" s="333">
        <v>1.1299999999999999</v>
      </c>
      <c r="EO57" s="329">
        <v>145.16</v>
      </c>
      <c r="EP57" s="329" t="s">
        <v>509</v>
      </c>
      <c r="EQ57" s="333">
        <v>2E-16</v>
      </c>
      <c r="ER57" s="329" t="s">
        <v>510</v>
      </c>
      <c r="ES57" s="330" t="s">
        <v>568</v>
      </c>
      <c r="ET57" s="337" t="s">
        <v>603</v>
      </c>
      <c r="EU57" s="331" t="s">
        <v>434</v>
      </c>
      <c r="EV57" s="332">
        <f t="shared" si="30"/>
        <v>0.26300000000000001</v>
      </c>
      <c r="EW57" s="330" t="s">
        <v>392</v>
      </c>
    </row>
    <row r="58" spans="2:153" thickTop="1" thickBot="1" x14ac:dyDescent="0.3">
      <c r="CN58" s="81" t="s">
        <v>506</v>
      </c>
      <c r="CO58" s="81" t="s">
        <v>492</v>
      </c>
      <c r="CP58" s="204">
        <v>-2.19</v>
      </c>
      <c r="CQ58" s="204">
        <v>2.1600000000000001E-2</v>
      </c>
      <c r="CR58" s="81">
        <v>-101.52</v>
      </c>
      <c r="CS58" s="81" t="s">
        <v>509</v>
      </c>
      <c r="CT58" s="204">
        <v>2E-16</v>
      </c>
      <c r="CU58" s="81" t="s">
        <v>510</v>
      </c>
      <c r="CV58" s="212" t="s">
        <v>506</v>
      </c>
      <c r="CW58" s="81" t="s">
        <v>532</v>
      </c>
      <c r="CX58" s="204">
        <v>-10</v>
      </c>
      <c r="CY58" s="204">
        <v>1.5799999999999999E-4</v>
      </c>
      <c r="CZ58" s="81">
        <v>-63411</v>
      </c>
      <c r="DA58" s="81" t="s">
        <v>505</v>
      </c>
      <c r="DB58" s="81" t="s">
        <v>510</v>
      </c>
      <c r="DJ58" s="204"/>
      <c r="DQ58" s="290" t="s">
        <v>506</v>
      </c>
      <c r="DR58" s="290" t="s">
        <v>495</v>
      </c>
      <c r="DS58" s="291">
        <v>9960</v>
      </c>
      <c r="DT58" s="291">
        <v>150</v>
      </c>
      <c r="DU58" s="290">
        <v>66.47</v>
      </c>
      <c r="DV58" s="291" t="s">
        <v>509</v>
      </c>
      <c r="DW58" s="291">
        <v>2E-16</v>
      </c>
      <c r="DX58" s="81" t="s">
        <v>510</v>
      </c>
      <c r="DY58" s="212" t="s">
        <v>568</v>
      </c>
      <c r="DZ58" s="297" t="s">
        <v>604</v>
      </c>
      <c r="EA58" s="292" t="s">
        <v>434</v>
      </c>
      <c r="EB58" s="293">
        <f t="shared" si="29"/>
        <v>0.193</v>
      </c>
      <c r="EC58" s="212" t="s">
        <v>392</v>
      </c>
      <c r="EE58" s="160" t="s">
        <v>568</v>
      </c>
      <c r="EF58" s="327" t="s">
        <v>604</v>
      </c>
      <c r="EG58" s="322" t="s">
        <v>434</v>
      </c>
      <c r="EH58" s="160">
        <f>$O$12*$Z$37*$AP$43</f>
        <v>0.34667143661260402</v>
      </c>
      <c r="EI58" s="160" t="s">
        <v>392</v>
      </c>
      <c r="EK58" s="329" t="s">
        <v>506</v>
      </c>
      <c r="EL58" s="329" t="s">
        <v>495</v>
      </c>
      <c r="EM58" s="333">
        <v>9900</v>
      </c>
      <c r="EN58" s="333">
        <v>679</v>
      </c>
      <c r="EO58" s="329">
        <v>14.58</v>
      </c>
      <c r="EP58" s="333" t="s">
        <v>509</v>
      </c>
      <c r="EQ58" s="333">
        <v>2E-16</v>
      </c>
      <c r="ER58" s="329" t="s">
        <v>510</v>
      </c>
      <c r="ES58" s="330" t="s">
        <v>568</v>
      </c>
      <c r="ET58" s="337" t="s">
        <v>604</v>
      </c>
      <c r="EU58" s="331" t="s">
        <v>434</v>
      </c>
      <c r="EV58" s="332">
        <f t="shared" si="30"/>
        <v>0.35799999999999998</v>
      </c>
      <c r="EW58" s="330" t="s">
        <v>392</v>
      </c>
    </row>
    <row r="59" spans="2:153" thickTop="1" thickBot="1" x14ac:dyDescent="0.3">
      <c r="CN59" s="81" t="s">
        <v>506</v>
      </c>
      <c r="CO59" s="81" t="s">
        <v>520</v>
      </c>
      <c r="CP59" s="204">
        <v>-5.72</v>
      </c>
      <c r="CQ59" s="204">
        <v>2.24E-2</v>
      </c>
      <c r="CR59" s="81">
        <v>-255.17</v>
      </c>
      <c r="CS59" s="81" t="s">
        <v>509</v>
      </c>
      <c r="CT59" s="204">
        <v>2E-16</v>
      </c>
      <c r="CU59" s="81" t="s">
        <v>510</v>
      </c>
      <c r="CV59" s="212" t="s">
        <v>506</v>
      </c>
      <c r="CW59" s="81" t="s">
        <v>429</v>
      </c>
      <c r="CX59" s="204">
        <v>532</v>
      </c>
      <c r="CY59" s="204">
        <v>8.1700000000000002E-3</v>
      </c>
      <c r="CZ59" s="81">
        <v>65144</v>
      </c>
      <c r="DA59" s="81" t="s">
        <v>505</v>
      </c>
      <c r="DB59" s="81" t="s">
        <v>510</v>
      </c>
      <c r="DJ59" s="204"/>
      <c r="DQ59" s="290" t="s">
        <v>506</v>
      </c>
      <c r="DR59" s="290" t="s">
        <v>496</v>
      </c>
      <c r="DS59" s="291">
        <v>60.1</v>
      </c>
      <c r="DT59" s="291">
        <v>0.54200000000000004</v>
      </c>
      <c r="DU59" s="290">
        <v>110.84</v>
      </c>
      <c r="DV59" s="290" t="s">
        <v>509</v>
      </c>
      <c r="DW59" s="291">
        <v>2E-16</v>
      </c>
      <c r="DX59" s="81" t="s">
        <v>510</v>
      </c>
      <c r="DY59" s="212" t="s">
        <v>568</v>
      </c>
      <c r="DZ59" s="297" t="s">
        <v>605</v>
      </c>
      <c r="EA59" s="292" t="s">
        <v>434</v>
      </c>
      <c r="EB59" s="293">
        <f t="shared" si="29"/>
        <v>0.18</v>
      </c>
      <c r="EC59" s="212" t="s">
        <v>392</v>
      </c>
      <c r="EE59" s="160" t="s">
        <v>568</v>
      </c>
      <c r="EF59" s="327" t="s">
        <v>605</v>
      </c>
      <c r="EG59" s="322" t="s">
        <v>434</v>
      </c>
      <c r="EH59" s="160">
        <f>$O$13*$Z$37*$AP$43</f>
        <v>0.38904238997636681</v>
      </c>
      <c r="EI59" s="160" t="s">
        <v>392</v>
      </c>
      <c r="EK59" s="329" t="s">
        <v>506</v>
      </c>
      <c r="EL59" s="329" t="s">
        <v>496</v>
      </c>
      <c r="EM59" s="333">
        <v>68.099999999999994</v>
      </c>
      <c r="EN59" s="333">
        <v>0.82799999999999996</v>
      </c>
      <c r="EO59" s="329">
        <v>82.24</v>
      </c>
      <c r="EP59" s="329" t="s">
        <v>509</v>
      </c>
      <c r="EQ59" s="333">
        <v>2E-16</v>
      </c>
      <c r="ER59" s="329" t="s">
        <v>510</v>
      </c>
      <c r="ES59" s="330" t="s">
        <v>568</v>
      </c>
      <c r="ET59" s="337" t="s">
        <v>605</v>
      </c>
      <c r="EU59" s="331" t="s">
        <v>434</v>
      </c>
      <c r="EV59" s="332">
        <f t="shared" si="30"/>
        <v>0.23499999999999999</v>
      </c>
      <c r="EW59" s="330" t="s">
        <v>392</v>
      </c>
    </row>
    <row r="60" spans="2:153" thickTop="1" thickBot="1" x14ac:dyDescent="0.3">
      <c r="CN60" s="81" t="s">
        <v>506</v>
      </c>
      <c r="CO60" s="81" t="s">
        <v>429</v>
      </c>
      <c r="CP60" s="204">
        <v>138</v>
      </c>
      <c r="CQ60" s="204">
        <v>1.2</v>
      </c>
      <c r="CR60" s="81">
        <v>115.34</v>
      </c>
      <c r="CS60" s="81" t="s">
        <v>509</v>
      </c>
      <c r="CT60" s="204">
        <v>2E-16</v>
      </c>
      <c r="CU60" s="81" t="s">
        <v>510</v>
      </c>
      <c r="CV60" s="212" t="s">
        <v>506</v>
      </c>
      <c r="CW60" s="81" t="s">
        <v>430</v>
      </c>
      <c r="CX60" s="204">
        <v>1</v>
      </c>
      <c r="CY60" s="204">
        <v>1.5800000000000001E-5</v>
      </c>
      <c r="CZ60" s="81">
        <v>63424</v>
      </c>
      <c r="DA60" s="81" t="s">
        <v>505</v>
      </c>
      <c r="DB60" s="81" t="s">
        <v>510</v>
      </c>
      <c r="DJ60" s="204"/>
      <c r="DZ60" s="297"/>
      <c r="EA60" s="292"/>
      <c r="EB60" s="293"/>
      <c r="EE60" s="160"/>
      <c r="EF60" s="327"/>
      <c r="EG60" s="322"/>
      <c r="EH60" s="160"/>
      <c r="EI60" s="160"/>
      <c r="ET60" s="337"/>
      <c r="EU60" s="331"/>
      <c r="EV60" s="332"/>
    </row>
    <row r="61" spans="2:153" thickTop="1" thickBot="1" x14ac:dyDescent="0.3">
      <c r="CN61" s="81" t="s">
        <v>506</v>
      </c>
      <c r="CO61" s="81" t="s">
        <v>430</v>
      </c>
      <c r="CP61" s="204">
        <v>7610</v>
      </c>
      <c r="CQ61" s="204">
        <v>117</v>
      </c>
      <c r="CR61" s="81">
        <v>64.83</v>
      </c>
      <c r="CS61" s="81" t="s">
        <v>509</v>
      </c>
      <c r="CT61" s="204">
        <v>2E-16</v>
      </c>
      <c r="CU61" s="81" t="s">
        <v>510</v>
      </c>
      <c r="CV61" s="212" t="s">
        <v>506</v>
      </c>
      <c r="CW61" s="81" t="s">
        <v>431</v>
      </c>
      <c r="CX61" s="204">
        <v>351</v>
      </c>
      <c r="CY61" s="204">
        <v>5.3400000000000001E-3</v>
      </c>
      <c r="CZ61" s="81">
        <v>65718</v>
      </c>
      <c r="DA61" s="81" t="s">
        <v>505</v>
      </c>
      <c r="DB61" s="81" t="s">
        <v>510</v>
      </c>
      <c r="DJ61" s="204"/>
      <c r="DY61" s="212" t="s">
        <v>568</v>
      </c>
      <c r="DZ61" s="297" t="s">
        <v>413</v>
      </c>
      <c r="EA61" s="292" t="s">
        <v>434</v>
      </c>
      <c r="EB61" s="293">
        <f>DS86</f>
        <v>2070000</v>
      </c>
      <c r="EC61" s="212" t="s">
        <v>392</v>
      </c>
      <c r="EE61" s="160" t="s">
        <v>568</v>
      </c>
      <c r="EF61" s="327" t="s">
        <v>413</v>
      </c>
      <c r="EG61" s="322" t="s">
        <v>434</v>
      </c>
      <c r="EH61" s="326">
        <f>$AP30</f>
        <v>1336649.5999999999</v>
      </c>
      <c r="EI61" s="160" t="s">
        <v>392</v>
      </c>
      <c r="ES61" s="330" t="s">
        <v>568</v>
      </c>
      <c r="ET61" s="337" t="s">
        <v>413</v>
      </c>
      <c r="EU61" s="331" t="s">
        <v>434</v>
      </c>
      <c r="EV61" s="332">
        <f>EM86</f>
        <v>1350000</v>
      </c>
      <c r="EW61" s="330" t="s">
        <v>392</v>
      </c>
    </row>
    <row r="62" spans="2:153" thickTop="1" thickBot="1" x14ac:dyDescent="0.3">
      <c r="CN62" s="81" t="s">
        <v>506</v>
      </c>
      <c r="CO62" s="81" t="s">
        <v>431</v>
      </c>
      <c r="CP62" s="204">
        <v>371</v>
      </c>
      <c r="CQ62" s="204">
        <v>5.67</v>
      </c>
      <c r="CR62" s="81">
        <v>65.489999999999995</v>
      </c>
      <c r="CS62" s="81" t="s">
        <v>509</v>
      </c>
      <c r="CT62" s="204">
        <v>2E-16</v>
      </c>
      <c r="CU62" s="81" t="s">
        <v>510</v>
      </c>
      <c r="CV62" s="212" t="s">
        <v>506</v>
      </c>
      <c r="CW62" s="81" t="s">
        <v>408</v>
      </c>
      <c r="CX62" s="204">
        <v>61.2</v>
      </c>
      <c r="CY62" s="204">
        <v>2.7300000000000002E-4</v>
      </c>
      <c r="CZ62" s="81">
        <v>224462</v>
      </c>
      <c r="DA62" s="81" t="s">
        <v>505</v>
      </c>
      <c r="DB62" s="81" t="s">
        <v>510</v>
      </c>
      <c r="DJ62" s="204"/>
      <c r="DQ62" s="290" t="s">
        <v>506</v>
      </c>
      <c r="DR62" s="290" t="s">
        <v>497</v>
      </c>
      <c r="DS62" s="290" t="s">
        <v>558</v>
      </c>
      <c r="DY62" s="212" t="s">
        <v>568</v>
      </c>
      <c r="DZ62" s="297" t="s">
        <v>414</v>
      </c>
      <c r="EA62" s="292" t="s">
        <v>434</v>
      </c>
      <c r="EB62" s="293">
        <f t="shared" ref="EB62:EB63" si="31">DS87</f>
        <v>5750000</v>
      </c>
      <c r="EC62" s="212" t="s">
        <v>392</v>
      </c>
      <c r="EE62" s="160" t="s">
        <v>568</v>
      </c>
      <c r="EF62" s="327" t="s">
        <v>414</v>
      </c>
      <c r="EG62" s="322" t="s">
        <v>434</v>
      </c>
      <c r="EH62" s="326">
        <f>$AP31</f>
        <v>13637952.9</v>
      </c>
      <c r="EI62" s="160" t="s">
        <v>392</v>
      </c>
      <c r="EK62" s="329" t="s">
        <v>506</v>
      </c>
      <c r="EL62" s="329" t="s">
        <v>497</v>
      </c>
      <c r="EM62" s="329" t="s">
        <v>558</v>
      </c>
      <c r="ES62" s="330" t="s">
        <v>568</v>
      </c>
      <c r="ET62" s="337" t="s">
        <v>414</v>
      </c>
      <c r="EU62" s="331" t="s">
        <v>434</v>
      </c>
      <c r="EV62" s="332">
        <f t="shared" ref="EV62:EV63" si="32">EM87</f>
        <v>4120000</v>
      </c>
      <c r="EW62" s="330" t="s">
        <v>392</v>
      </c>
    </row>
    <row r="63" spans="2:153" thickTop="1" thickBot="1" x14ac:dyDescent="0.3">
      <c r="CV63" s="212" t="s">
        <v>506</v>
      </c>
      <c r="CW63" s="81" t="s">
        <v>422</v>
      </c>
      <c r="CX63" s="204">
        <v>50</v>
      </c>
      <c r="CY63" s="204">
        <v>2.2499999999999999E-4</v>
      </c>
      <c r="CZ63" s="81">
        <v>221939</v>
      </c>
      <c r="DA63" s="81" t="s">
        <v>505</v>
      </c>
      <c r="DB63" s="81" t="s">
        <v>510</v>
      </c>
      <c r="DQ63" s="290" t="s">
        <v>506</v>
      </c>
      <c r="DR63" s="290" t="s">
        <v>499</v>
      </c>
      <c r="DY63" s="212" t="s">
        <v>568</v>
      </c>
      <c r="DZ63" s="297" t="s">
        <v>415</v>
      </c>
      <c r="EA63" s="292" t="s">
        <v>434</v>
      </c>
      <c r="EB63" s="293">
        <f t="shared" si="31"/>
        <v>22600000</v>
      </c>
      <c r="EC63" s="212" t="s">
        <v>392</v>
      </c>
      <c r="EE63" s="160" t="s">
        <v>568</v>
      </c>
      <c r="EF63" s="327" t="s">
        <v>415</v>
      </c>
      <c r="EG63" s="322" t="s">
        <v>434</v>
      </c>
      <c r="EH63" s="326">
        <f>$AP32</f>
        <v>29790518.999999996</v>
      </c>
      <c r="EI63" s="160" t="s">
        <v>392</v>
      </c>
      <c r="EK63" s="329" t="s">
        <v>506</v>
      </c>
      <c r="EL63" s="329" t="s">
        <v>499</v>
      </c>
      <c r="ES63" s="330" t="s">
        <v>568</v>
      </c>
      <c r="ET63" s="337" t="s">
        <v>415</v>
      </c>
      <c r="EU63" s="331" t="s">
        <v>434</v>
      </c>
      <c r="EV63" s="332">
        <f t="shared" si="32"/>
        <v>29800000</v>
      </c>
      <c r="EW63" s="330" t="s">
        <v>392</v>
      </c>
    </row>
    <row r="64" spans="2:153" thickTop="1" thickBot="1" x14ac:dyDescent="0.3">
      <c r="DQ64" s="290" t="s">
        <v>506</v>
      </c>
      <c r="DR64" s="290" t="s">
        <v>500</v>
      </c>
      <c r="DS64" s="290" t="s">
        <v>501</v>
      </c>
      <c r="DT64" s="290" t="s">
        <v>502</v>
      </c>
      <c r="DU64" s="290" t="s">
        <v>503</v>
      </c>
      <c r="DV64" s="290" t="s">
        <v>504</v>
      </c>
      <c r="DW64" s="290" t="s">
        <v>508</v>
      </c>
      <c r="EA64" s="292"/>
      <c r="EE64" s="160"/>
      <c r="EF64" s="160"/>
      <c r="EG64" s="322"/>
      <c r="EH64" s="160"/>
      <c r="EI64" s="160"/>
      <c r="EK64" s="329" t="s">
        <v>506</v>
      </c>
      <c r="EL64" s="329" t="s">
        <v>500</v>
      </c>
      <c r="EM64" s="329" t="s">
        <v>501</v>
      </c>
      <c r="EN64" s="329" t="s">
        <v>502</v>
      </c>
      <c r="EO64" s="329" t="s">
        <v>503</v>
      </c>
      <c r="EP64" s="329" t="s">
        <v>504</v>
      </c>
      <c r="EQ64" s="329" t="s">
        <v>508</v>
      </c>
      <c r="EU64" s="331"/>
    </row>
    <row r="65" spans="121:153" thickTop="1" thickBot="1" x14ac:dyDescent="0.3">
      <c r="DQ65" s="290" t="s">
        <v>506</v>
      </c>
      <c r="DR65" s="290" t="s">
        <v>465</v>
      </c>
      <c r="DS65" s="291">
        <v>291</v>
      </c>
      <c r="DT65" s="291">
        <v>1.8700000000000001E-2</v>
      </c>
      <c r="DU65" s="290">
        <v>15576.47</v>
      </c>
      <c r="DV65" s="290" t="s">
        <v>509</v>
      </c>
      <c r="DW65" s="291">
        <v>2E-16</v>
      </c>
      <c r="DX65" s="81" t="s">
        <v>510</v>
      </c>
      <c r="DY65" s="212" t="s">
        <v>568</v>
      </c>
      <c r="DZ65" s="297" t="s">
        <v>416</v>
      </c>
      <c r="EA65" s="292" t="s">
        <v>434</v>
      </c>
      <c r="EB65" s="293">
        <f>DS93</f>
        <v>0.11899999999999999</v>
      </c>
      <c r="EC65" s="212" t="s">
        <v>392</v>
      </c>
      <c r="EE65" s="160" t="s">
        <v>568</v>
      </c>
      <c r="EF65" s="327" t="s">
        <v>416</v>
      </c>
      <c r="EG65" s="322" t="s">
        <v>434</v>
      </c>
      <c r="EH65" s="160">
        <f>$AP33</f>
        <v>0.10219989320869988</v>
      </c>
      <c r="EI65" s="160" t="s">
        <v>392</v>
      </c>
      <c r="EK65" s="329" t="s">
        <v>506</v>
      </c>
      <c r="EL65" s="329" t="s">
        <v>465</v>
      </c>
      <c r="EM65" s="333">
        <v>290</v>
      </c>
      <c r="EN65" s="333">
        <v>0.121</v>
      </c>
      <c r="EO65" s="329">
        <v>2393.0300000000002</v>
      </c>
      <c r="EP65" s="329" t="s">
        <v>509</v>
      </c>
      <c r="EQ65" s="333">
        <v>2E-16</v>
      </c>
      <c r="ER65" s="329" t="s">
        <v>510</v>
      </c>
      <c r="ES65" s="330" t="s">
        <v>568</v>
      </c>
      <c r="ET65" s="337" t="s">
        <v>416</v>
      </c>
      <c r="EU65" s="331" t="s">
        <v>434</v>
      </c>
      <c r="EV65" s="332">
        <f>EM93</f>
        <v>0.13100000000000001</v>
      </c>
      <c r="EW65" s="330" t="s">
        <v>392</v>
      </c>
    </row>
    <row r="66" spans="121:153" thickTop="1" thickBot="1" x14ac:dyDescent="0.3">
      <c r="DQ66" s="290" t="s">
        <v>506</v>
      </c>
      <c r="DR66" s="290" t="s">
        <v>466</v>
      </c>
      <c r="DS66" s="291">
        <v>289</v>
      </c>
      <c r="DT66" s="291">
        <v>3.7600000000000001E-2</v>
      </c>
      <c r="DU66" s="290">
        <v>7697.63</v>
      </c>
      <c r="DV66" s="290" t="s">
        <v>509</v>
      </c>
      <c r="DW66" s="291">
        <v>2E-16</v>
      </c>
      <c r="DX66" s="81" t="s">
        <v>510</v>
      </c>
      <c r="DY66" s="212" t="s">
        <v>568</v>
      </c>
      <c r="DZ66" s="297" t="s">
        <v>417</v>
      </c>
      <c r="EA66" s="292" t="s">
        <v>434</v>
      </c>
      <c r="EB66" s="293">
        <f t="shared" ref="EB66:EB68" si="33">DS94</f>
        <v>0.125</v>
      </c>
      <c r="EC66" s="212" t="s">
        <v>392</v>
      </c>
      <c r="EE66" s="160" t="s">
        <v>568</v>
      </c>
      <c r="EF66" s="327" t="s">
        <v>417</v>
      </c>
      <c r="EG66" s="322" t="s">
        <v>434</v>
      </c>
      <c r="EH66" s="160">
        <f>$AP34</f>
        <v>0.13923823107751293</v>
      </c>
      <c r="EI66" s="160" t="s">
        <v>392</v>
      </c>
      <c r="EK66" s="329" t="s">
        <v>506</v>
      </c>
      <c r="EL66" s="329" t="s">
        <v>466</v>
      </c>
      <c r="EM66" s="333">
        <v>286</v>
      </c>
      <c r="EN66" s="333">
        <v>0.16800000000000001</v>
      </c>
      <c r="EO66" s="329">
        <v>1701.57</v>
      </c>
      <c r="EP66" s="329" t="s">
        <v>509</v>
      </c>
      <c r="EQ66" s="333">
        <v>2E-16</v>
      </c>
      <c r="ER66" s="329" t="s">
        <v>510</v>
      </c>
      <c r="ES66" s="330" t="s">
        <v>568</v>
      </c>
      <c r="ET66" s="337" t="s">
        <v>417</v>
      </c>
      <c r="EU66" s="331" t="s">
        <v>434</v>
      </c>
      <c r="EV66" s="332">
        <f t="shared" ref="EV66:EV68" si="34">EM94</f>
        <v>0.113</v>
      </c>
      <c r="EW66" s="330" t="s">
        <v>392</v>
      </c>
    </row>
    <row r="67" spans="121:153" thickTop="1" thickBot="1" x14ac:dyDescent="0.3">
      <c r="DQ67" s="290" t="s">
        <v>506</v>
      </c>
      <c r="DR67" s="290" t="s">
        <v>467</v>
      </c>
      <c r="DS67" s="291">
        <v>292</v>
      </c>
      <c r="DT67" s="291">
        <v>3.3700000000000001E-2</v>
      </c>
      <c r="DU67" s="290">
        <v>8669.99</v>
      </c>
      <c r="DV67" s="290" t="s">
        <v>509</v>
      </c>
      <c r="DW67" s="291">
        <v>2E-16</v>
      </c>
      <c r="DX67" s="81" t="s">
        <v>510</v>
      </c>
      <c r="DY67" s="212" t="s">
        <v>568</v>
      </c>
      <c r="DZ67" s="297" t="s">
        <v>418</v>
      </c>
      <c r="EA67" s="292" t="s">
        <v>434</v>
      </c>
      <c r="EB67" s="293">
        <f t="shared" si="33"/>
        <v>0.69499999999999995</v>
      </c>
      <c r="EC67" s="212" t="s">
        <v>392</v>
      </c>
      <c r="EE67" s="160" t="s">
        <v>568</v>
      </c>
      <c r="EF67" s="327" t="s">
        <v>418</v>
      </c>
      <c r="EG67" s="322" t="s">
        <v>434</v>
      </c>
      <c r="EH67" s="160">
        <f>$AP35</f>
        <v>0.70938862229355959</v>
      </c>
      <c r="EI67" s="160" t="s">
        <v>392</v>
      </c>
      <c r="EK67" s="329" t="s">
        <v>506</v>
      </c>
      <c r="EL67" s="329" t="s">
        <v>467</v>
      </c>
      <c r="EM67" s="333">
        <v>292</v>
      </c>
      <c r="EN67" s="333">
        <v>8.2600000000000007E-2</v>
      </c>
      <c r="EO67" s="329">
        <v>3532.74</v>
      </c>
      <c r="EP67" s="329" t="s">
        <v>509</v>
      </c>
      <c r="EQ67" s="333">
        <v>2E-16</v>
      </c>
      <c r="ER67" s="329" t="s">
        <v>510</v>
      </c>
      <c r="ES67" s="330" t="s">
        <v>568</v>
      </c>
      <c r="ET67" s="337" t="s">
        <v>418</v>
      </c>
      <c r="EU67" s="331" t="s">
        <v>434</v>
      </c>
      <c r="EV67" s="332">
        <f t="shared" si="34"/>
        <v>0.66900000000000004</v>
      </c>
      <c r="EW67" s="330" t="s">
        <v>392</v>
      </c>
    </row>
    <row r="68" spans="121:153" thickTop="1" thickBot="1" x14ac:dyDescent="0.3">
      <c r="DQ68" s="290" t="s">
        <v>506</v>
      </c>
      <c r="DR68" s="290" t="s">
        <v>468</v>
      </c>
      <c r="DS68" s="291">
        <v>297</v>
      </c>
      <c r="DT68" s="291">
        <v>0.111</v>
      </c>
      <c r="DU68" s="290">
        <v>2666.88</v>
      </c>
      <c r="DV68" s="290" t="s">
        <v>509</v>
      </c>
      <c r="DW68" s="291">
        <v>2E-16</v>
      </c>
      <c r="DX68" s="81" t="s">
        <v>510</v>
      </c>
      <c r="DY68" s="212" t="s">
        <v>568</v>
      </c>
      <c r="DZ68" s="297" t="s">
        <v>519</v>
      </c>
      <c r="EA68" s="292" t="s">
        <v>434</v>
      </c>
      <c r="EB68" s="293">
        <f t="shared" si="33"/>
        <v>5.3600000000000002E-2</v>
      </c>
      <c r="EC68" s="212" t="s">
        <v>392</v>
      </c>
      <c r="EE68" s="160" t="s">
        <v>568</v>
      </c>
      <c r="EF68" s="327" t="s">
        <v>519</v>
      </c>
      <c r="EG68" s="322" t="s">
        <v>434</v>
      </c>
      <c r="EH68" s="160">
        <f>$AP47</f>
        <v>4.9173253420227526E-2</v>
      </c>
      <c r="EI68" s="160" t="s">
        <v>392</v>
      </c>
      <c r="EK68" s="329" t="s">
        <v>506</v>
      </c>
      <c r="EL68" s="329" t="s">
        <v>468</v>
      </c>
      <c r="EM68" s="333">
        <v>296</v>
      </c>
      <c r="EN68" s="333">
        <v>0.13400000000000001</v>
      </c>
      <c r="EO68" s="329">
        <v>2200.38</v>
      </c>
      <c r="EP68" s="329" t="s">
        <v>509</v>
      </c>
      <c r="EQ68" s="333">
        <v>2E-16</v>
      </c>
      <c r="ER68" s="329" t="s">
        <v>510</v>
      </c>
      <c r="ES68" s="330" t="s">
        <v>568</v>
      </c>
      <c r="ET68" s="337" t="s">
        <v>519</v>
      </c>
      <c r="EU68" s="331" t="s">
        <v>434</v>
      </c>
      <c r="EV68" s="332">
        <f t="shared" si="34"/>
        <v>4.8899999999999999E-2</v>
      </c>
      <c r="EW68" s="330" t="s">
        <v>392</v>
      </c>
    </row>
    <row r="69" spans="121:153" thickTop="1" thickBot="1" x14ac:dyDescent="0.3">
      <c r="DQ69" s="290" t="s">
        <v>506</v>
      </c>
      <c r="DR69" s="290" t="s">
        <v>541</v>
      </c>
      <c r="DS69" s="291">
        <v>0.17699999999999999</v>
      </c>
      <c r="DT69" s="291">
        <v>2.0899999999999998E-2</v>
      </c>
      <c r="DU69" s="290">
        <v>8.4600000000000009</v>
      </c>
      <c r="DV69" s="291" t="s">
        <v>509</v>
      </c>
      <c r="DW69" s="291">
        <v>2E-16</v>
      </c>
      <c r="DX69" s="81" t="s">
        <v>510</v>
      </c>
      <c r="EA69" s="292"/>
      <c r="EE69" s="160"/>
      <c r="EF69" s="160"/>
      <c r="EG69" s="322"/>
      <c r="EH69" s="160"/>
      <c r="EI69" s="160"/>
      <c r="EK69" s="329" t="s">
        <v>506</v>
      </c>
      <c r="EL69" s="329" t="s">
        <v>541</v>
      </c>
      <c r="EM69" s="333">
        <v>0.04</v>
      </c>
      <c r="EN69" s="333">
        <v>7.2599999999999998E-2</v>
      </c>
      <c r="EO69" s="329">
        <v>0.55000000000000004</v>
      </c>
      <c r="EP69" s="333">
        <v>0.57999999999999996</v>
      </c>
      <c r="EQ69" s="333"/>
      <c r="EU69" s="331"/>
    </row>
    <row r="70" spans="121:153" thickTop="1" thickBot="1" x14ac:dyDescent="0.3">
      <c r="DQ70" s="290" t="s">
        <v>506</v>
      </c>
      <c r="DR70" s="290" t="s">
        <v>410</v>
      </c>
      <c r="DS70" s="291">
        <v>0.70099999999999996</v>
      </c>
      <c r="DT70" s="291">
        <v>4.0599999999999997E-2</v>
      </c>
      <c r="DU70" s="290">
        <v>17.28</v>
      </c>
      <c r="DV70" s="290" t="s">
        <v>509</v>
      </c>
      <c r="DW70" s="291">
        <v>2E-16</v>
      </c>
      <c r="DX70" s="81" t="s">
        <v>510</v>
      </c>
      <c r="DY70" s="212" t="s">
        <v>568</v>
      </c>
      <c r="DZ70" s="297" t="s">
        <v>419</v>
      </c>
      <c r="EA70" s="292" t="s">
        <v>434</v>
      </c>
      <c r="EB70" s="293">
        <f>DS97</f>
        <v>249</v>
      </c>
      <c r="EC70" s="212" t="s">
        <v>392</v>
      </c>
      <c r="EE70" s="160" t="s">
        <v>568</v>
      </c>
      <c r="EF70" s="327" t="s">
        <v>419</v>
      </c>
      <c r="EG70" s="322" t="s">
        <v>434</v>
      </c>
      <c r="EH70" s="160">
        <f>$AP37</f>
        <v>270.72297242395007</v>
      </c>
      <c r="EI70" s="160" t="s">
        <v>392</v>
      </c>
      <c r="EK70" s="329" t="s">
        <v>506</v>
      </c>
      <c r="EL70" s="329" t="s">
        <v>410</v>
      </c>
      <c r="EM70" s="333">
        <v>1.43E-7</v>
      </c>
      <c r="EN70" s="333">
        <v>8.1100000000000003E-6</v>
      </c>
      <c r="EO70" s="329">
        <v>0.02</v>
      </c>
      <c r="EP70" s="329">
        <v>0.99</v>
      </c>
      <c r="EQ70" s="333"/>
      <c r="ES70" s="330" t="s">
        <v>568</v>
      </c>
      <c r="ET70" s="337" t="s">
        <v>419</v>
      </c>
      <c r="EU70" s="331" t="s">
        <v>434</v>
      </c>
      <c r="EV70" s="332">
        <f>EM97</f>
        <v>234</v>
      </c>
      <c r="EW70" s="330" t="s">
        <v>392</v>
      </c>
    </row>
    <row r="71" spans="121:153" thickTop="1" thickBot="1" x14ac:dyDescent="0.3">
      <c r="DQ71" s="290" t="s">
        <v>506</v>
      </c>
      <c r="DR71" s="290" t="s">
        <v>542</v>
      </c>
      <c r="DS71" s="291">
        <v>0.54400000000000004</v>
      </c>
      <c r="DT71" s="291">
        <v>1.18E-2</v>
      </c>
      <c r="DU71" s="290">
        <v>45.96</v>
      </c>
      <c r="DV71" s="290" t="s">
        <v>509</v>
      </c>
      <c r="DW71" s="291">
        <v>2E-16</v>
      </c>
      <c r="DX71" s="81" t="s">
        <v>510</v>
      </c>
      <c r="DY71" s="212" t="s">
        <v>568</v>
      </c>
      <c r="DZ71" s="297" t="s">
        <v>420</v>
      </c>
      <c r="EA71" s="292" t="s">
        <v>434</v>
      </c>
      <c r="EB71" s="293">
        <f t="shared" ref="EB71:EB72" si="35">DS98</f>
        <v>272</v>
      </c>
      <c r="EC71" s="212" t="s">
        <v>392</v>
      </c>
      <c r="EE71" s="160" t="s">
        <v>568</v>
      </c>
      <c r="EF71" s="327" t="s">
        <v>420</v>
      </c>
      <c r="EG71" s="322" t="s">
        <v>434</v>
      </c>
      <c r="EH71" s="160">
        <f>$AP38</f>
        <v>297.81730970684839</v>
      </c>
      <c r="EI71" s="160" t="s">
        <v>392</v>
      </c>
      <c r="EK71" s="329" t="s">
        <v>506</v>
      </c>
      <c r="EL71" s="329" t="s">
        <v>542</v>
      </c>
      <c r="EM71" s="333">
        <v>0.64500000000000002</v>
      </c>
      <c r="EN71" s="333">
        <v>3.9699999999999999E-2</v>
      </c>
      <c r="EO71" s="329">
        <v>16.23</v>
      </c>
      <c r="EP71" s="329" t="s">
        <v>509</v>
      </c>
      <c r="EQ71" s="333">
        <v>2E-16</v>
      </c>
      <c r="ER71" s="329" t="s">
        <v>510</v>
      </c>
      <c r="ES71" s="330" t="s">
        <v>568</v>
      </c>
      <c r="ET71" s="337" t="s">
        <v>420</v>
      </c>
      <c r="EU71" s="331" t="s">
        <v>434</v>
      </c>
      <c r="EV71" s="332">
        <f t="shared" ref="EV71:EV72" si="36">EM98</f>
        <v>372</v>
      </c>
      <c r="EW71" s="330" t="s">
        <v>392</v>
      </c>
    </row>
    <row r="72" spans="121:153" thickTop="1" thickBot="1" x14ac:dyDescent="0.3">
      <c r="DQ72" s="290" t="s">
        <v>506</v>
      </c>
      <c r="DR72" s="290" t="s">
        <v>543</v>
      </c>
      <c r="DS72" s="291">
        <v>0.52</v>
      </c>
      <c r="DT72" s="291">
        <v>8.8800000000000007E-3</v>
      </c>
      <c r="DU72" s="290">
        <v>58.56</v>
      </c>
      <c r="DV72" s="290" t="s">
        <v>509</v>
      </c>
      <c r="DW72" s="291">
        <v>2E-16</v>
      </c>
      <c r="DX72" s="81" t="s">
        <v>510</v>
      </c>
      <c r="DY72" s="212" t="s">
        <v>568</v>
      </c>
      <c r="DZ72" s="297" t="s">
        <v>421</v>
      </c>
      <c r="EA72" s="292" t="s">
        <v>434</v>
      </c>
      <c r="EB72" s="293">
        <f t="shared" si="35"/>
        <v>43.6</v>
      </c>
      <c r="EC72" s="212" t="s">
        <v>392</v>
      </c>
      <c r="EE72" s="160" t="s">
        <v>568</v>
      </c>
      <c r="EF72" s="327" t="s">
        <v>421</v>
      </c>
      <c r="EG72" s="322" t="s">
        <v>434</v>
      </c>
      <c r="EH72" s="161">
        <f>$AP39</f>
        <v>51.346760837798342</v>
      </c>
      <c r="EI72" s="160" t="s">
        <v>392</v>
      </c>
      <c r="EK72" s="329" t="s">
        <v>506</v>
      </c>
      <c r="EL72" s="329" t="s">
        <v>543</v>
      </c>
      <c r="EM72" s="333">
        <v>1.07</v>
      </c>
      <c r="EN72" s="333">
        <v>3.4700000000000002E-2</v>
      </c>
      <c r="EO72" s="329">
        <v>30.71</v>
      </c>
      <c r="EP72" s="329" t="s">
        <v>509</v>
      </c>
      <c r="EQ72" s="333">
        <v>2E-16</v>
      </c>
      <c r="ER72" s="329" t="s">
        <v>510</v>
      </c>
      <c r="ES72" s="330" t="s">
        <v>568</v>
      </c>
      <c r="ET72" s="337" t="s">
        <v>421</v>
      </c>
      <c r="EU72" s="331" t="s">
        <v>434</v>
      </c>
      <c r="EV72" s="332">
        <f t="shared" si="36"/>
        <v>86</v>
      </c>
      <c r="EW72" s="330" t="s">
        <v>392</v>
      </c>
    </row>
    <row r="73" spans="121:153" thickTop="1" thickBot="1" x14ac:dyDescent="0.3">
      <c r="DQ73" s="290" t="s">
        <v>506</v>
      </c>
      <c r="DR73" s="290" t="s">
        <v>544</v>
      </c>
      <c r="DS73" s="291">
        <v>0.53</v>
      </c>
      <c r="DT73" s="291">
        <v>2.3300000000000001E-2</v>
      </c>
      <c r="DU73" s="290">
        <v>22.75</v>
      </c>
      <c r="DV73" s="290" t="s">
        <v>509</v>
      </c>
      <c r="DW73" s="291">
        <v>2E-16</v>
      </c>
      <c r="DX73" s="81" t="s">
        <v>510</v>
      </c>
      <c r="DY73" s="212" t="s">
        <v>568</v>
      </c>
      <c r="DZ73" s="297" t="s">
        <v>422</v>
      </c>
      <c r="EA73" s="292" t="s">
        <v>434</v>
      </c>
      <c r="EB73" s="293">
        <f>1/DS104</f>
        <v>109.64912280701755</v>
      </c>
      <c r="EC73" s="212" t="s">
        <v>392</v>
      </c>
      <c r="EE73" s="160" t="s">
        <v>568</v>
      </c>
      <c r="EF73" s="327" t="s">
        <v>422</v>
      </c>
      <c r="EG73" s="322" t="s">
        <v>434</v>
      </c>
      <c r="EH73" s="160">
        <f>$AP40</f>
        <v>110.35617272728382</v>
      </c>
      <c r="EI73" s="160" t="s">
        <v>392</v>
      </c>
      <c r="EK73" s="329" t="s">
        <v>506</v>
      </c>
      <c r="EL73" s="329" t="s">
        <v>544</v>
      </c>
      <c r="EM73" s="333">
        <v>0.95699999999999996</v>
      </c>
      <c r="EN73" s="333">
        <v>6.3899999999999998E-2</v>
      </c>
      <c r="EO73" s="329">
        <v>14.99</v>
      </c>
      <c r="EP73" s="329" t="s">
        <v>509</v>
      </c>
      <c r="EQ73" s="333">
        <v>2E-16</v>
      </c>
      <c r="ER73" s="329" t="s">
        <v>510</v>
      </c>
      <c r="ES73" s="330" t="s">
        <v>568</v>
      </c>
      <c r="ET73" s="337" t="s">
        <v>422</v>
      </c>
      <c r="EU73" s="331" t="s">
        <v>434</v>
      </c>
      <c r="EV73" s="332">
        <f>1/EM104</f>
        <v>208.33333333333334</v>
      </c>
      <c r="EW73" s="330" t="s">
        <v>392</v>
      </c>
    </row>
    <row r="74" spans="121:153" thickTop="1" thickBot="1" x14ac:dyDescent="0.3">
      <c r="DQ74" s="290" t="s">
        <v>506</v>
      </c>
      <c r="DR74" s="290" t="s">
        <v>411</v>
      </c>
      <c r="DS74" s="291">
        <v>7.8200000000000006E-2</v>
      </c>
      <c r="DT74" s="291">
        <v>4.4200000000000003E-2</v>
      </c>
      <c r="DU74" s="290">
        <v>1.77</v>
      </c>
      <c r="DV74" s="291">
        <v>7.6799999999999993E-2</v>
      </c>
      <c r="DW74" s="290" t="s">
        <v>557</v>
      </c>
      <c r="EA74" s="292"/>
      <c r="EE74" s="160"/>
      <c r="EF74" s="160"/>
      <c r="EG74" s="322"/>
      <c r="EH74" s="160"/>
      <c r="EI74" s="160"/>
      <c r="EK74" s="329" t="s">
        <v>506</v>
      </c>
      <c r="EL74" s="329" t="s">
        <v>411</v>
      </c>
      <c r="EM74" s="333">
        <v>1.44</v>
      </c>
      <c r="EN74" s="333">
        <v>0.14899999999999999</v>
      </c>
      <c r="EO74" s="329">
        <v>9.68</v>
      </c>
      <c r="EP74" s="333" t="s">
        <v>509</v>
      </c>
      <c r="EQ74" s="333">
        <v>2E-16</v>
      </c>
      <c r="ER74" s="329" t="s">
        <v>510</v>
      </c>
      <c r="EU74" s="331"/>
    </row>
    <row r="75" spans="121:153" thickTop="1" thickBot="1" x14ac:dyDescent="0.3">
      <c r="DQ75" s="290" t="s">
        <v>506</v>
      </c>
      <c r="DR75" s="290" t="s">
        <v>545</v>
      </c>
      <c r="DS75" s="291">
        <v>0.55900000000000005</v>
      </c>
      <c r="DT75" s="291">
        <v>1.3100000000000001E-2</v>
      </c>
      <c r="DU75" s="290">
        <v>42.76</v>
      </c>
      <c r="DV75" s="290" t="s">
        <v>509</v>
      </c>
      <c r="DW75" s="291">
        <v>2E-16</v>
      </c>
      <c r="DX75" s="81" t="s">
        <v>510</v>
      </c>
      <c r="DY75" s="212" t="s">
        <v>568</v>
      </c>
      <c r="DZ75" s="297" t="s">
        <v>515</v>
      </c>
      <c r="EA75" s="292" t="s">
        <v>434</v>
      </c>
      <c r="EB75" s="293">
        <f>DS115</f>
        <v>997000000</v>
      </c>
      <c r="EC75" s="212" t="s">
        <v>392</v>
      </c>
      <c r="EE75" s="160" t="s">
        <v>568</v>
      </c>
      <c r="EF75" s="327" t="s">
        <v>515</v>
      </c>
      <c r="EG75" s="322" t="s">
        <v>434</v>
      </c>
      <c r="EH75" s="160">
        <f>$AP44</f>
        <v>20786361.000000004</v>
      </c>
      <c r="EI75" s="160" t="s">
        <v>392</v>
      </c>
      <c r="EK75" s="329" t="s">
        <v>506</v>
      </c>
      <c r="EL75" s="329" t="s">
        <v>545</v>
      </c>
      <c r="EM75" s="333">
        <v>1.1000000000000001</v>
      </c>
      <c r="EN75" s="333">
        <v>3.5200000000000002E-2</v>
      </c>
      <c r="EO75" s="329">
        <v>31.36</v>
      </c>
      <c r="EP75" s="329" t="s">
        <v>509</v>
      </c>
      <c r="EQ75" s="333">
        <v>2E-16</v>
      </c>
      <c r="ER75" s="329" t="s">
        <v>510</v>
      </c>
      <c r="ES75" s="330" t="s">
        <v>568</v>
      </c>
      <c r="ET75" s="337" t="s">
        <v>515</v>
      </c>
      <c r="EU75" s="331" t="s">
        <v>434</v>
      </c>
      <c r="EV75" s="332">
        <f>EM115</f>
        <v>992000000</v>
      </c>
      <c r="EW75" s="330" t="s">
        <v>392</v>
      </c>
    </row>
    <row r="76" spans="121:153" thickTop="1" thickBot="1" x14ac:dyDescent="0.3">
      <c r="DQ76" s="290" t="s">
        <v>506</v>
      </c>
      <c r="DR76" s="290" t="s">
        <v>546</v>
      </c>
      <c r="DS76" s="291">
        <v>0.53300000000000003</v>
      </c>
      <c r="DT76" s="291">
        <v>9.9699999999999997E-3</v>
      </c>
      <c r="DU76" s="290">
        <v>53.4</v>
      </c>
      <c r="DV76" s="290" t="s">
        <v>509</v>
      </c>
      <c r="DW76" s="291">
        <v>2E-16</v>
      </c>
      <c r="DX76" s="81" t="s">
        <v>510</v>
      </c>
      <c r="DY76" s="212" t="s">
        <v>568</v>
      </c>
      <c r="DZ76" s="297" t="s">
        <v>426</v>
      </c>
      <c r="EA76" s="292" t="s">
        <v>434</v>
      </c>
      <c r="EB76" s="293">
        <f>DS116</f>
        <v>992000000</v>
      </c>
      <c r="EC76" s="212" t="s">
        <v>392</v>
      </c>
      <c r="EE76" s="160" t="s">
        <v>568</v>
      </c>
      <c r="EF76" s="327" t="s">
        <v>426</v>
      </c>
      <c r="EG76" s="322" t="s">
        <v>434</v>
      </c>
      <c r="EH76" s="160">
        <f>$AP45</f>
        <v>20786361.000000004</v>
      </c>
      <c r="EI76" s="160" t="s">
        <v>392</v>
      </c>
      <c r="EK76" s="329" t="s">
        <v>506</v>
      </c>
      <c r="EL76" s="329" t="s">
        <v>546</v>
      </c>
      <c r="EM76" s="333">
        <v>0.745</v>
      </c>
      <c r="EN76" s="333">
        <v>2.8500000000000001E-2</v>
      </c>
      <c r="EO76" s="329">
        <v>26.12</v>
      </c>
      <c r="EP76" s="329" t="s">
        <v>509</v>
      </c>
      <c r="EQ76" s="333">
        <v>2E-16</v>
      </c>
      <c r="ER76" s="329" t="s">
        <v>510</v>
      </c>
      <c r="ES76" s="330" t="s">
        <v>568</v>
      </c>
      <c r="ET76" s="337" t="s">
        <v>426</v>
      </c>
      <c r="EU76" s="331" t="s">
        <v>434</v>
      </c>
      <c r="EV76" s="332">
        <f>EM116</f>
        <v>992000000</v>
      </c>
      <c r="EW76" s="330" t="s">
        <v>392</v>
      </c>
    </row>
    <row r="77" spans="121:153" thickTop="1" thickBot="1" x14ac:dyDescent="0.3">
      <c r="DQ77" s="290" t="s">
        <v>506</v>
      </c>
      <c r="DR77" s="290" t="s">
        <v>547</v>
      </c>
      <c r="DS77" s="291">
        <v>7.3200000000000001E-2</v>
      </c>
      <c r="DT77" s="291">
        <v>4.0399999999999998E-2</v>
      </c>
      <c r="DU77" s="290">
        <v>1.81</v>
      </c>
      <c r="DV77" s="290">
        <v>6.9800000000000001E-2</v>
      </c>
      <c r="DW77" s="291" t="s">
        <v>557</v>
      </c>
      <c r="DY77" s="212" t="s">
        <v>568</v>
      </c>
      <c r="DZ77" s="297" t="s">
        <v>429</v>
      </c>
      <c r="EA77" s="292" t="s">
        <v>434</v>
      </c>
      <c r="EB77" s="293">
        <f>DS123</f>
        <v>159</v>
      </c>
      <c r="EC77" s="212" t="s">
        <v>392</v>
      </c>
      <c r="EE77" s="160" t="s">
        <v>568</v>
      </c>
      <c r="EF77" s="327" t="s">
        <v>429</v>
      </c>
      <c r="EG77" s="322" t="s">
        <v>434</v>
      </c>
      <c r="EH77" s="160">
        <f>$AP48</f>
        <v>374.43594009983366</v>
      </c>
      <c r="EI77" s="160" t="s">
        <v>392</v>
      </c>
      <c r="EK77" s="329" t="s">
        <v>506</v>
      </c>
      <c r="EL77" s="329" t="s">
        <v>547</v>
      </c>
      <c r="EM77" s="333">
        <v>0.216</v>
      </c>
      <c r="EN77" s="333">
        <v>0.186</v>
      </c>
      <c r="EO77" s="329">
        <v>1.1599999999999999</v>
      </c>
      <c r="EP77" s="329">
        <v>0.25</v>
      </c>
      <c r="EQ77" s="333"/>
      <c r="ES77" s="330" t="s">
        <v>568</v>
      </c>
      <c r="ET77" s="337" t="s">
        <v>429</v>
      </c>
      <c r="EU77" s="331" t="s">
        <v>434</v>
      </c>
      <c r="EV77" s="332">
        <f>EM123</f>
        <v>168</v>
      </c>
      <c r="EW77" s="330" t="s">
        <v>392</v>
      </c>
    </row>
    <row r="78" spans="121:153" thickTop="1" thickBot="1" x14ac:dyDescent="0.3">
      <c r="DQ78" s="290" t="s">
        <v>506</v>
      </c>
      <c r="DR78" s="290" t="s">
        <v>412</v>
      </c>
      <c r="DS78" s="291">
        <v>1.09E-24</v>
      </c>
      <c r="DT78" s="291">
        <v>1.0299999999999999E-21</v>
      </c>
      <c r="DU78" s="290">
        <v>0</v>
      </c>
      <c r="DV78" s="290">
        <v>0.99919999999999998</v>
      </c>
      <c r="DY78" s="212" t="s">
        <v>568</v>
      </c>
      <c r="DZ78" s="297" t="s">
        <v>430</v>
      </c>
      <c r="EA78" s="292" t="s">
        <v>434</v>
      </c>
      <c r="EB78" s="293">
        <f t="shared" ref="EB78:EB79" si="37">DS124</f>
        <v>4.45E-3</v>
      </c>
      <c r="EC78" s="212" t="s">
        <v>392</v>
      </c>
      <c r="EE78" s="160" t="s">
        <v>568</v>
      </c>
      <c r="EF78" s="327" t="s">
        <v>430</v>
      </c>
      <c r="EG78" s="322" t="s">
        <v>434</v>
      </c>
      <c r="EH78" s="160">
        <f>$AP49</f>
        <v>187.21797004991683</v>
      </c>
      <c r="EI78" s="160" t="s">
        <v>392</v>
      </c>
      <c r="EK78" s="329" t="s">
        <v>506</v>
      </c>
      <c r="EL78" s="329" t="s">
        <v>412</v>
      </c>
      <c r="EM78" s="333">
        <v>0.27500000000000002</v>
      </c>
      <c r="EN78" s="333">
        <v>0.27400000000000002</v>
      </c>
      <c r="EO78" s="329">
        <v>1</v>
      </c>
      <c r="EP78" s="329">
        <v>0.32</v>
      </c>
      <c r="ES78" s="330" t="s">
        <v>568</v>
      </c>
      <c r="ET78" s="337" t="s">
        <v>430</v>
      </c>
      <c r="EU78" s="331" t="s">
        <v>434</v>
      </c>
      <c r="EV78" s="332">
        <f t="shared" ref="EV78:EV79" si="38">EM124</f>
        <v>206</v>
      </c>
      <c r="EW78" s="330" t="s">
        <v>392</v>
      </c>
    </row>
    <row r="79" spans="121:153" thickTop="1" thickBot="1" x14ac:dyDescent="0.3">
      <c r="DQ79" s="290" t="s">
        <v>506</v>
      </c>
      <c r="DR79" s="290" t="s">
        <v>548</v>
      </c>
      <c r="DS79" s="291">
        <v>6.7799999999999999E-2</v>
      </c>
      <c r="DT79" s="291">
        <v>2.1600000000000001E-2</v>
      </c>
      <c r="DU79" s="290">
        <v>3.14</v>
      </c>
      <c r="DV79" s="290">
        <v>1.6999999999999999E-3</v>
      </c>
      <c r="DW79" s="290" t="s">
        <v>516</v>
      </c>
      <c r="DY79" s="212" t="s">
        <v>568</v>
      </c>
      <c r="DZ79" s="297" t="s">
        <v>431</v>
      </c>
      <c r="EA79" s="292" t="s">
        <v>434</v>
      </c>
      <c r="EB79" s="293">
        <f t="shared" si="37"/>
        <v>60.2</v>
      </c>
      <c r="EC79" s="212" t="s">
        <v>392</v>
      </c>
      <c r="EE79" s="160" t="s">
        <v>568</v>
      </c>
      <c r="EF79" s="327" t="s">
        <v>431</v>
      </c>
      <c r="EG79" s="322" t="s">
        <v>434</v>
      </c>
      <c r="EH79" s="160">
        <f>$AP50</f>
        <v>374.43594009983366</v>
      </c>
      <c r="EI79" s="160" t="s">
        <v>392</v>
      </c>
      <c r="EK79" s="329" t="s">
        <v>506</v>
      </c>
      <c r="EL79" s="329" t="s">
        <v>548</v>
      </c>
      <c r="EM79" s="333">
        <v>8.7300000000000003E-2</v>
      </c>
      <c r="EN79" s="333">
        <v>7.2099999999999997E-2</v>
      </c>
      <c r="EO79" s="329">
        <v>1.21</v>
      </c>
      <c r="EP79" s="329">
        <v>0.23</v>
      </c>
      <c r="ES79" s="330" t="s">
        <v>568</v>
      </c>
      <c r="ET79" s="337" t="s">
        <v>431</v>
      </c>
      <c r="EU79" s="331" t="s">
        <v>434</v>
      </c>
      <c r="EV79" s="332">
        <f t="shared" si="38"/>
        <v>94.2</v>
      </c>
      <c r="EW79" s="330" t="s">
        <v>392</v>
      </c>
    </row>
    <row r="80" spans="121:153" thickTop="1" thickBot="1" x14ac:dyDescent="0.3">
      <c r="DQ80" s="290" t="s">
        <v>506</v>
      </c>
      <c r="DR80" s="290" t="s">
        <v>549</v>
      </c>
      <c r="DS80" s="291">
        <v>0.23799999999999999</v>
      </c>
      <c r="DT80" s="291">
        <v>1.8800000000000001E-2</v>
      </c>
      <c r="DU80" s="290">
        <v>12.65</v>
      </c>
      <c r="DV80" s="290" t="s">
        <v>509</v>
      </c>
      <c r="DW80" s="291">
        <v>2E-16</v>
      </c>
      <c r="DX80" s="81" t="s">
        <v>510</v>
      </c>
      <c r="EK80" s="329" t="s">
        <v>506</v>
      </c>
      <c r="EL80" s="329" t="s">
        <v>549</v>
      </c>
      <c r="EM80" s="333">
        <v>0.42799999999999999</v>
      </c>
      <c r="EN80" s="333">
        <v>7.1800000000000003E-2</v>
      </c>
      <c r="EO80" s="329">
        <v>5.96</v>
      </c>
      <c r="EP80" s="333">
        <v>2.7000000000000002E-9</v>
      </c>
      <c r="EQ80" s="333" t="s">
        <v>510</v>
      </c>
    </row>
    <row r="81" spans="121:148" thickTop="1" thickBot="1" x14ac:dyDescent="0.3">
      <c r="DQ81" s="290" t="s">
        <v>506</v>
      </c>
      <c r="DR81" s="290" t="s">
        <v>550</v>
      </c>
      <c r="DS81" s="291">
        <v>0.19500000000000001</v>
      </c>
      <c r="DT81" s="291">
        <v>1.06E-2</v>
      </c>
      <c r="DU81" s="290">
        <v>18.43</v>
      </c>
      <c r="DV81" s="290" t="s">
        <v>509</v>
      </c>
      <c r="DW81" s="291">
        <v>2E-16</v>
      </c>
      <c r="DX81" s="81" t="s">
        <v>510</v>
      </c>
      <c r="EK81" s="329" t="s">
        <v>506</v>
      </c>
      <c r="EL81" s="329" t="s">
        <v>550</v>
      </c>
      <c r="EM81" s="333">
        <v>0.35099999999999998</v>
      </c>
      <c r="EN81" s="333">
        <v>2.3900000000000001E-2</v>
      </c>
      <c r="EO81" s="329">
        <v>14.71</v>
      </c>
      <c r="EP81" s="329" t="s">
        <v>509</v>
      </c>
      <c r="EQ81" s="333">
        <v>2E-16</v>
      </c>
      <c r="ER81" s="329" t="s">
        <v>510</v>
      </c>
    </row>
    <row r="82" spans="121:148" thickTop="1" thickBot="1" x14ac:dyDescent="0.3">
      <c r="DQ82" s="290" t="s">
        <v>506</v>
      </c>
      <c r="DR82" s="290" t="s">
        <v>551</v>
      </c>
      <c r="DS82" s="291">
        <v>0.17100000000000001</v>
      </c>
      <c r="DT82" s="291">
        <v>2.1299999999999999E-2</v>
      </c>
      <c r="DU82" s="290">
        <v>8.01</v>
      </c>
      <c r="DV82" s="291">
        <v>1.3E-15</v>
      </c>
      <c r="DW82" s="291" t="s">
        <v>510</v>
      </c>
      <c r="EK82" s="329" t="s">
        <v>506</v>
      </c>
      <c r="EL82" s="329" t="s">
        <v>551</v>
      </c>
      <c r="EM82" s="333">
        <v>0.26300000000000001</v>
      </c>
      <c r="EN82" s="333">
        <v>5.33E-2</v>
      </c>
      <c r="EO82" s="329">
        <v>4.93</v>
      </c>
      <c r="EP82" s="333">
        <v>8.4E-7</v>
      </c>
      <c r="EQ82" s="333" t="s">
        <v>510</v>
      </c>
    </row>
    <row r="83" spans="121:148" thickTop="1" thickBot="1" x14ac:dyDescent="0.3">
      <c r="DQ83" s="290" t="s">
        <v>506</v>
      </c>
      <c r="DR83" s="290" t="s">
        <v>552</v>
      </c>
      <c r="DS83" s="291">
        <v>0.193</v>
      </c>
      <c r="DT83" s="291">
        <v>5.7499999999999999E-3</v>
      </c>
      <c r="DU83" s="290">
        <v>33.61</v>
      </c>
      <c r="DV83" s="290" t="s">
        <v>509</v>
      </c>
      <c r="DW83" s="291">
        <v>2E-16</v>
      </c>
      <c r="DX83" s="81" t="s">
        <v>510</v>
      </c>
      <c r="EK83" s="329" t="s">
        <v>506</v>
      </c>
      <c r="EL83" s="329" t="s">
        <v>552</v>
      </c>
      <c r="EM83" s="333">
        <v>0.35799999999999998</v>
      </c>
      <c r="EN83" s="333">
        <v>1.32E-2</v>
      </c>
      <c r="EO83" s="329">
        <v>27.21</v>
      </c>
      <c r="EP83" s="329" t="s">
        <v>509</v>
      </c>
      <c r="EQ83" s="333">
        <v>2E-16</v>
      </c>
      <c r="ER83" s="329" t="s">
        <v>510</v>
      </c>
    </row>
    <row r="84" spans="121:148" thickTop="1" thickBot="1" x14ac:dyDescent="0.3">
      <c r="DQ84" s="290" t="s">
        <v>506</v>
      </c>
      <c r="DR84" s="290" t="s">
        <v>553</v>
      </c>
      <c r="DS84" s="291">
        <v>0.18</v>
      </c>
      <c r="DT84" s="291">
        <v>4.3400000000000001E-3</v>
      </c>
      <c r="DU84" s="290">
        <v>41.37</v>
      </c>
      <c r="DV84" s="291" t="s">
        <v>509</v>
      </c>
      <c r="DW84" s="291">
        <v>2E-16</v>
      </c>
      <c r="DX84" s="81" t="s">
        <v>510</v>
      </c>
      <c r="EK84" s="329" t="s">
        <v>506</v>
      </c>
      <c r="EL84" s="329" t="s">
        <v>553</v>
      </c>
      <c r="EM84" s="333">
        <v>0.23499999999999999</v>
      </c>
      <c r="EN84" s="333">
        <v>1.04E-2</v>
      </c>
      <c r="EO84" s="329">
        <v>22.5</v>
      </c>
      <c r="EP84" s="333" t="s">
        <v>509</v>
      </c>
      <c r="EQ84" s="333">
        <v>2E-16</v>
      </c>
      <c r="ER84" s="329" t="s">
        <v>510</v>
      </c>
    </row>
    <row r="85" spans="121:148" thickTop="1" thickBot="1" x14ac:dyDescent="0.3">
      <c r="DQ85" s="290" t="s">
        <v>506</v>
      </c>
      <c r="DR85" s="290" t="s">
        <v>298</v>
      </c>
      <c r="DS85" s="291">
        <v>993000000</v>
      </c>
      <c r="DT85" s="291">
        <v>42800000</v>
      </c>
      <c r="DU85" s="290">
        <v>23.21</v>
      </c>
      <c r="DV85" s="290" t="s">
        <v>509</v>
      </c>
      <c r="DW85" s="291">
        <v>2E-16</v>
      </c>
      <c r="DX85" s="81" t="s">
        <v>510</v>
      </c>
      <c r="EK85" s="329" t="s">
        <v>506</v>
      </c>
      <c r="EL85" s="329" t="s">
        <v>298</v>
      </c>
      <c r="EM85" s="333">
        <v>993000000</v>
      </c>
      <c r="EN85" s="333">
        <v>16900000</v>
      </c>
      <c r="EO85" s="329">
        <v>58.62</v>
      </c>
      <c r="EP85" s="329" t="s">
        <v>509</v>
      </c>
      <c r="EQ85" s="333">
        <v>2E-16</v>
      </c>
      <c r="ER85" s="329" t="s">
        <v>510</v>
      </c>
    </row>
    <row r="86" spans="121:148" thickTop="1" thickBot="1" x14ac:dyDescent="0.3">
      <c r="DQ86" s="290" t="s">
        <v>506</v>
      </c>
      <c r="DR86" s="290" t="s">
        <v>475</v>
      </c>
      <c r="DS86" s="291">
        <v>2070000</v>
      </c>
      <c r="DT86" s="291">
        <v>11400</v>
      </c>
      <c r="DU86" s="290">
        <v>181.5</v>
      </c>
      <c r="DV86" s="290" t="s">
        <v>509</v>
      </c>
      <c r="DW86" s="291">
        <v>2E-16</v>
      </c>
      <c r="DX86" s="81" t="s">
        <v>510</v>
      </c>
      <c r="EK86" s="329" t="s">
        <v>506</v>
      </c>
      <c r="EL86" s="329" t="s">
        <v>475</v>
      </c>
      <c r="EM86" s="333">
        <v>1350000</v>
      </c>
      <c r="EN86" s="333">
        <v>22000</v>
      </c>
      <c r="EO86" s="329">
        <v>61.2</v>
      </c>
      <c r="EP86" s="329" t="s">
        <v>509</v>
      </c>
      <c r="EQ86" s="333">
        <v>2E-16</v>
      </c>
      <c r="ER86" s="329" t="s">
        <v>510</v>
      </c>
    </row>
    <row r="87" spans="121:148" thickTop="1" thickBot="1" x14ac:dyDescent="0.3">
      <c r="DQ87" s="290" t="s">
        <v>506</v>
      </c>
      <c r="DR87" s="290" t="s">
        <v>291</v>
      </c>
      <c r="DS87" s="291">
        <v>5750000</v>
      </c>
      <c r="DT87" s="291">
        <v>96300</v>
      </c>
      <c r="DU87" s="290">
        <v>59.67</v>
      </c>
      <c r="DV87" s="290" t="s">
        <v>509</v>
      </c>
      <c r="DW87" s="291">
        <v>2E-16</v>
      </c>
      <c r="DX87" s="81" t="s">
        <v>510</v>
      </c>
      <c r="EK87" s="329" t="s">
        <v>506</v>
      </c>
      <c r="EL87" s="329" t="s">
        <v>291</v>
      </c>
      <c r="EM87" s="333">
        <v>4120000</v>
      </c>
      <c r="EN87" s="333">
        <v>86900</v>
      </c>
      <c r="EO87" s="329">
        <v>47.42</v>
      </c>
      <c r="EP87" s="329" t="s">
        <v>509</v>
      </c>
      <c r="EQ87" s="333">
        <v>2E-16</v>
      </c>
      <c r="ER87" s="329" t="s">
        <v>510</v>
      </c>
    </row>
    <row r="88" spans="121:148" thickTop="1" thickBot="1" x14ac:dyDescent="0.3">
      <c r="DQ88" s="290" t="s">
        <v>506</v>
      </c>
      <c r="DR88" s="290" t="s">
        <v>293</v>
      </c>
      <c r="DS88" s="291">
        <v>22600000</v>
      </c>
      <c r="DT88" s="291">
        <v>1070000</v>
      </c>
      <c r="DU88" s="290">
        <v>21</v>
      </c>
      <c r="DV88" s="291" t="s">
        <v>509</v>
      </c>
      <c r="DW88" s="291">
        <v>2E-16</v>
      </c>
      <c r="DX88" s="81" t="s">
        <v>510</v>
      </c>
      <c r="EK88" s="329" t="s">
        <v>506</v>
      </c>
      <c r="EL88" s="329" t="s">
        <v>293</v>
      </c>
      <c r="EM88" s="333">
        <v>29800000</v>
      </c>
      <c r="EN88" s="333">
        <v>1210000</v>
      </c>
      <c r="EO88" s="329">
        <v>24.67</v>
      </c>
      <c r="EP88" s="333" t="s">
        <v>509</v>
      </c>
      <c r="EQ88" s="333">
        <v>2E-16</v>
      </c>
      <c r="ER88" s="329" t="s">
        <v>510</v>
      </c>
    </row>
    <row r="89" spans="121:148" thickTop="1" thickBot="1" x14ac:dyDescent="0.3">
      <c r="DQ89" s="290" t="s">
        <v>506</v>
      </c>
      <c r="DR89" s="290" t="s">
        <v>476</v>
      </c>
      <c r="DS89" s="291">
        <v>-27.9</v>
      </c>
      <c r="DT89" s="291">
        <v>245</v>
      </c>
      <c r="DU89" s="290">
        <v>-0.11</v>
      </c>
      <c r="DV89" s="290">
        <v>0.90920000000000001</v>
      </c>
      <c r="DW89" s="291"/>
      <c r="EK89" s="329" t="s">
        <v>506</v>
      </c>
      <c r="EL89" s="329" t="s">
        <v>476</v>
      </c>
      <c r="EM89" s="333">
        <v>-20.7</v>
      </c>
      <c r="EN89" s="333">
        <v>5.16</v>
      </c>
      <c r="EO89" s="329">
        <v>-4.01</v>
      </c>
      <c r="EP89" s="333">
        <v>6.0999999999999999E-5</v>
      </c>
      <c r="EQ89" s="333" t="s">
        <v>510</v>
      </c>
    </row>
    <row r="90" spans="121:148" thickTop="1" thickBot="1" x14ac:dyDescent="0.3">
      <c r="DQ90" s="290" t="s">
        <v>506</v>
      </c>
      <c r="DR90" s="290" t="s">
        <v>477</v>
      </c>
      <c r="DS90" s="291">
        <v>-17</v>
      </c>
      <c r="DT90" s="291">
        <v>239</v>
      </c>
      <c r="DU90" s="290">
        <v>-7.0000000000000007E-2</v>
      </c>
      <c r="DV90" s="290">
        <v>0.94330000000000003</v>
      </c>
      <c r="EK90" s="329" t="s">
        <v>506</v>
      </c>
      <c r="EL90" s="329" t="s">
        <v>477</v>
      </c>
      <c r="EM90" s="333">
        <v>-14</v>
      </c>
      <c r="EN90" s="333">
        <v>52.2</v>
      </c>
      <c r="EO90" s="329">
        <v>-0.27</v>
      </c>
      <c r="EP90" s="329">
        <v>0.79</v>
      </c>
    </row>
    <row r="91" spans="121:148" thickTop="1" thickBot="1" x14ac:dyDescent="0.3">
      <c r="DQ91" s="290" t="s">
        <v>506</v>
      </c>
      <c r="DR91" s="290" t="s">
        <v>478</v>
      </c>
      <c r="DS91" s="291">
        <v>-15.2</v>
      </c>
      <c r="DT91" s="291">
        <v>509</v>
      </c>
      <c r="DU91" s="290">
        <v>-0.03</v>
      </c>
      <c r="DV91" s="290">
        <v>0.97609999999999997</v>
      </c>
      <c r="EK91" s="329" t="s">
        <v>506</v>
      </c>
      <c r="EL91" s="329" t="s">
        <v>478</v>
      </c>
      <c r="EM91" s="333">
        <v>-13</v>
      </c>
      <c r="EN91" s="333">
        <v>37.4</v>
      </c>
      <c r="EO91" s="329">
        <v>-0.35</v>
      </c>
      <c r="EP91" s="329">
        <v>0.73</v>
      </c>
    </row>
    <row r="92" spans="121:148" thickTop="1" thickBot="1" x14ac:dyDescent="0.3">
      <c r="DQ92" s="290" t="s">
        <v>506</v>
      </c>
      <c r="DR92" s="290" t="s">
        <v>479</v>
      </c>
      <c r="DS92" s="291">
        <v>-17.100000000000001</v>
      </c>
      <c r="DT92" s="291">
        <v>201</v>
      </c>
      <c r="DU92" s="290">
        <v>-0.09</v>
      </c>
      <c r="DV92" s="290">
        <v>0.93210000000000004</v>
      </c>
      <c r="EK92" s="329" t="s">
        <v>506</v>
      </c>
      <c r="EL92" s="329" t="s">
        <v>479</v>
      </c>
      <c r="EM92" s="333">
        <v>-13.4</v>
      </c>
      <c r="EN92" s="333">
        <v>50.4</v>
      </c>
      <c r="EO92" s="329">
        <v>-0.27</v>
      </c>
      <c r="EP92" s="329">
        <v>0.79</v>
      </c>
    </row>
    <row r="93" spans="121:148" thickTop="1" thickBot="1" x14ac:dyDescent="0.3">
      <c r="DQ93" s="290" t="s">
        <v>506</v>
      </c>
      <c r="DR93" s="290" t="s">
        <v>481</v>
      </c>
      <c r="DS93" s="291">
        <v>0.11899999999999999</v>
      </c>
      <c r="DT93" s="291">
        <v>6.9700000000000003E-4</v>
      </c>
      <c r="DU93" s="290">
        <v>171.24</v>
      </c>
      <c r="DV93" s="290" t="s">
        <v>509</v>
      </c>
      <c r="DW93" s="291">
        <v>2E-16</v>
      </c>
      <c r="DX93" s="81" t="s">
        <v>510</v>
      </c>
      <c r="EK93" s="329" t="s">
        <v>506</v>
      </c>
      <c r="EL93" s="329" t="s">
        <v>481</v>
      </c>
      <c r="EM93" s="333">
        <v>0.13100000000000001</v>
      </c>
      <c r="EN93" s="333">
        <v>2.8700000000000002E-3</v>
      </c>
      <c r="EO93" s="329">
        <v>45.75</v>
      </c>
      <c r="EP93" s="329" t="s">
        <v>509</v>
      </c>
      <c r="EQ93" s="333">
        <v>2E-16</v>
      </c>
      <c r="ER93" s="329" t="s">
        <v>510</v>
      </c>
    </row>
    <row r="94" spans="121:148" thickTop="1" thickBot="1" x14ac:dyDescent="0.3">
      <c r="DQ94" s="290" t="s">
        <v>506</v>
      </c>
      <c r="DR94" s="290" t="s">
        <v>482</v>
      </c>
      <c r="DS94" s="291">
        <v>0.125</v>
      </c>
      <c r="DT94" s="291">
        <v>7.76E-4</v>
      </c>
      <c r="DU94" s="290">
        <v>160.53</v>
      </c>
      <c r="DV94" s="290" t="s">
        <v>509</v>
      </c>
      <c r="DW94" s="291">
        <v>2E-16</v>
      </c>
      <c r="DX94" s="81" t="s">
        <v>510</v>
      </c>
      <c r="EK94" s="329" t="s">
        <v>506</v>
      </c>
      <c r="EL94" s="329" t="s">
        <v>482</v>
      </c>
      <c r="EM94" s="333">
        <v>0.113</v>
      </c>
      <c r="EN94" s="333">
        <v>2.2599999999999999E-3</v>
      </c>
      <c r="EO94" s="329">
        <v>49.83</v>
      </c>
      <c r="EP94" s="329" t="s">
        <v>509</v>
      </c>
      <c r="EQ94" s="333">
        <v>2E-16</v>
      </c>
      <c r="ER94" s="329" t="s">
        <v>510</v>
      </c>
    </row>
    <row r="95" spans="121:148" thickTop="1" thickBot="1" x14ac:dyDescent="0.3">
      <c r="DQ95" s="290" t="s">
        <v>506</v>
      </c>
      <c r="DR95" s="290" t="s">
        <v>483</v>
      </c>
      <c r="DS95" s="291">
        <v>0.69499999999999995</v>
      </c>
      <c r="DT95" s="291">
        <v>1.9300000000000001E-3</v>
      </c>
      <c r="DU95" s="290">
        <v>360.35</v>
      </c>
      <c r="DV95" s="290" t="s">
        <v>509</v>
      </c>
      <c r="DW95" s="291">
        <v>2E-16</v>
      </c>
      <c r="DX95" s="81" t="s">
        <v>510</v>
      </c>
      <c r="EK95" s="329" t="s">
        <v>506</v>
      </c>
      <c r="EL95" s="329" t="s">
        <v>483</v>
      </c>
      <c r="EM95" s="333">
        <v>0.66900000000000004</v>
      </c>
      <c r="EN95" s="333">
        <v>4.5500000000000002E-3</v>
      </c>
      <c r="EO95" s="329">
        <v>147.02000000000001</v>
      </c>
      <c r="EP95" s="329" t="s">
        <v>509</v>
      </c>
      <c r="EQ95" s="333">
        <v>2E-16</v>
      </c>
      <c r="ER95" s="329" t="s">
        <v>510</v>
      </c>
    </row>
    <row r="96" spans="121:148" thickTop="1" thickBot="1" x14ac:dyDescent="0.3">
      <c r="DQ96" s="290" t="s">
        <v>506</v>
      </c>
      <c r="DR96" s="290" t="s">
        <v>484</v>
      </c>
      <c r="DS96" s="291">
        <v>5.3600000000000002E-2</v>
      </c>
      <c r="DT96" s="291">
        <v>2.8499999999999999E-4</v>
      </c>
      <c r="DU96" s="290">
        <v>188.16</v>
      </c>
      <c r="DV96" s="290" t="s">
        <v>509</v>
      </c>
      <c r="DW96" s="291">
        <v>2E-16</v>
      </c>
      <c r="DX96" s="81" t="s">
        <v>510</v>
      </c>
      <c r="EK96" s="329" t="s">
        <v>506</v>
      </c>
      <c r="EL96" s="329" t="s">
        <v>484</v>
      </c>
      <c r="EM96" s="333">
        <v>4.8899999999999999E-2</v>
      </c>
      <c r="EN96" s="333">
        <v>7.27E-4</v>
      </c>
      <c r="EO96" s="329">
        <v>67.27</v>
      </c>
      <c r="EP96" s="329" t="s">
        <v>509</v>
      </c>
      <c r="EQ96" s="333">
        <v>2E-16</v>
      </c>
      <c r="ER96" s="329" t="s">
        <v>510</v>
      </c>
    </row>
    <row r="97" spans="121:148" thickTop="1" thickBot="1" x14ac:dyDescent="0.3">
      <c r="DQ97" s="290" t="s">
        <v>506</v>
      </c>
      <c r="DR97" s="290" t="s">
        <v>486</v>
      </c>
      <c r="DS97" s="291">
        <v>249</v>
      </c>
      <c r="DT97" s="291">
        <v>1.83</v>
      </c>
      <c r="DU97" s="290">
        <v>136.26</v>
      </c>
      <c r="DV97" s="290" t="s">
        <v>509</v>
      </c>
      <c r="DW97" s="291">
        <v>2E-16</v>
      </c>
      <c r="DX97" s="81" t="s">
        <v>510</v>
      </c>
      <c r="EK97" s="329" t="s">
        <v>506</v>
      </c>
      <c r="EL97" s="329" t="s">
        <v>486</v>
      </c>
      <c r="EM97" s="333">
        <v>234</v>
      </c>
      <c r="EN97" s="333">
        <v>4.67</v>
      </c>
      <c r="EO97" s="329">
        <v>50.08</v>
      </c>
      <c r="EP97" s="329" t="s">
        <v>509</v>
      </c>
      <c r="EQ97" s="333">
        <v>2E-16</v>
      </c>
      <c r="ER97" s="329" t="s">
        <v>510</v>
      </c>
    </row>
    <row r="98" spans="121:148" thickTop="1" thickBot="1" x14ac:dyDescent="0.3">
      <c r="DQ98" s="290" t="s">
        <v>506</v>
      </c>
      <c r="DR98" s="290" t="s">
        <v>285</v>
      </c>
      <c r="DS98" s="291">
        <v>272</v>
      </c>
      <c r="DT98" s="291">
        <v>2.58</v>
      </c>
      <c r="DU98" s="290">
        <v>105.54</v>
      </c>
      <c r="DV98" s="290" t="s">
        <v>509</v>
      </c>
      <c r="DW98" s="291">
        <v>2E-16</v>
      </c>
      <c r="DX98" s="81" t="s">
        <v>510</v>
      </c>
      <c r="EK98" s="329" t="s">
        <v>506</v>
      </c>
      <c r="EL98" s="329" t="s">
        <v>285</v>
      </c>
      <c r="EM98" s="333">
        <v>372</v>
      </c>
      <c r="EN98" s="333">
        <v>3</v>
      </c>
      <c r="EO98" s="329">
        <v>123.82</v>
      </c>
      <c r="EP98" s="329" t="s">
        <v>509</v>
      </c>
      <c r="EQ98" s="333">
        <v>2E-16</v>
      </c>
      <c r="ER98" s="329" t="s">
        <v>510</v>
      </c>
    </row>
    <row r="99" spans="121:148" thickTop="1" thickBot="1" x14ac:dyDescent="0.3">
      <c r="DQ99" s="290" t="s">
        <v>506</v>
      </c>
      <c r="DR99" s="290" t="s">
        <v>120</v>
      </c>
      <c r="DS99" s="291">
        <v>43.6</v>
      </c>
      <c r="DT99" s="291">
        <v>0.182</v>
      </c>
      <c r="DU99" s="290">
        <v>239.21</v>
      </c>
      <c r="DV99" s="290" t="s">
        <v>509</v>
      </c>
      <c r="DW99" s="291">
        <v>2E-16</v>
      </c>
      <c r="DX99" s="81" t="s">
        <v>510</v>
      </c>
      <c r="EK99" s="329" t="s">
        <v>506</v>
      </c>
      <c r="EL99" s="329" t="s">
        <v>120</v>
      </c>
      <c r="EM99" s="333">
        <v>86</v>
      </c>
      <c r="EN99" s="333">
        <v>0.55100000000000005</v>
      </c>
      <c r="EO99" s="329">
        <v>156.1</v>
      </c>
      <c r="EP99" s="329" t="s">
        <v>509</v>
      </c>
      <c r="EQ99" s="333">
        <v>2E-16</v>
      </c>
      <c r="ER99" s="329" t="s">
        <v>510</v>
      </c>
    </row>
    <row r="100" spans="121:148" thickTop="1" thickBot="1" x14ac:dyDescent="0.3">
      <c r="DQ100" s="290" t="s">
        <v>506</v>
      </c>
      <c r="DR100" s="290" t="s">
        <v>488</v>
      </c>
      <c r="DS100" s="291">
        <v>-7.28</v>
      </c>
      <c r="DT100" s="291">
        <v>1.7299999999999999E-2</v>
      </c>
      <c r="DU100" s="290">
        <v>-420.05</v>
      </c>
      <c r="DV100" s="290" t="s">
        <v>509</v>
      </c>
      <c r="DW100" s="291">
        <v>2E-16</v>
      </c>
      <c r="DX100" s="81" t="s">
        <v>510</v>
      </c>
      <c r="EK100" s="329" t="s">
        <v>506</v>
      </c>
      <c r="EL100" s="329" t="s">
        <v>488</v>
      </c>
      <c r="EM100" s="333">
        <v>-5.49</v>
      </c>
      <c r="EN100" s="333">
        <v>2.5000000000000001E-2</v>
      </c>
      <c r="EO100" s="329">
        <v>-219.86</v>
      </c>
      <c r="EP100" s="329" t="s">
        <v>509</v>
      </c>
      <c r="EQ100" s="333">
        <v>2E-16</v>
      </c>
      <c r="ER100" s="329" t="s">
        <v>510</v>
      </c>
    </row>
    <row r="101" spans="121:148" thickTop="1" thickBot="1" x14ac:dyDescent="0.3">
      <c r="DQ101" s="290" t="s">
        <v>506</v>
      </c>
      <c r="DR101" s="290" t="s">
        <v>489</v>
      </c>
      <c r="DS101" s="291">
        <v>-6.79</v>
      </c>
      <c r="DT101" s="291">
        <v>1.6199999999999999E-2</v>
      </c>
      <c r="DU101" s="290">
        <v>-419.12</v>
      </c>
      <c r="DV101" s="290" t="s">
        <v>509</v>
      </c>
      <c r="DW101" s="291">
        <v>2E-16</v>
      </c>
      <c r="DX101" s="81" t="s">
        <v>510</v>
      </c>
      <c r="EK101" s="329" t="s">
        <v>506</v>
      </c>
      <c r="EL101" s="329" t="s">
        <v>489</v>
      </c>
      <c r="EM101" s="333">
        <v>-5.55</v>
      </c>
      <c r="EN101" s="333">
        <v>2.9100000000000001E-2</v>
      </c>
      <c r="EO101" s="329">
        <v>-190.81</v>
      </c>
      <c r="EP101" s="329" t="s">
        <v>509</v>
      </c>
      <c r="EQ101" s="333">
        <v>2E-16</v>
      </c>
      <c r="ER101" s="329" t="s">
        <v>510</v>
      </c>
    </row>
    <row r="102" spans="121:148" thickTop="1" thickBot="1" x14ac:dyDescent="0.3">
      <c r="DQ102" s="290" t="s">
        <v>506</v>
      </c>
      <c r="DR102" s="290" t="s">
        <v>490</v>
      </c>
      <c r="DS102" s="291">
        <v>-6.78</v>
      </c>
      <c r="DT102" s="291">
        <v>1.7399999999999999E-2</v>
      </c>
      <c r="DU102" s="290">
        <v>-388.82</v>
      </c>
      <c r="DV102" s="290" t="s">
        <v>509</v>
      </c>
      <c r="DW102" s="291">
        <v>2E-16</v>
      </c>
      <c r="DX102" s="81" t="s">
        <v>510</v>
      </c>
      <c r="EK102" s="329" t="s">
        <v>506</v>
      </c>
      <c r="EL102" s="329" t="s">
        <v>490</v>
      </c>
      <c r="EM102" s="333">
        <v>-6.26</v>
      </c>
      <c r="EN102" s="333">
        <v>2.3800000000000002E-2</v>
      </c>
      <c r="EO102" s="329">
        <v>-263.54000000000002</v>
      </c>
      <c r="EP102" s="329" t="s">
        <v>509</v>
      </c>
      <c r="EQ102" s="333">
        <v>2E-16</v>
      </c>
      <c r="ER102" s="329" t="s">
        <v>510</v>
      </c>
    </row>
    <row r="103" spans="121:148" thickTop="1" thickBot="1" x14ac:dyDescent="0.3">
      <c r="DQ103" s="290" t="s">
        <v>506</v>
      </c>
      <c r="DR103" s="290" t="s">
        <v>491</v>
      </c>
      <c r="DS103" s="291">
        <v>-6.15</v>
      </c>
      <c r="DT103" s="291">
        <v>2.0199999999999999E-2</v>
      </c>
      <c r="DU103" s="290">
        <v>-304.99</v>
      </c>
      <c r="DV103" s="290" t="s">
        <v>509</v>
      </c>
      <c r="DW103" s="291">
        <v>2E-16</v>
      </c>
      <c r="DX103" s="81" t="s">
        <v>510</v>
      </c>
      <c r="EK103" s="329" t="s">
        <v>506</v>
      </c>
      <c r="EL103" s="329" t="s">
        <v>491</v>
      </c>
      <c r="EM103" s="333">
        <v>-5.88</v>
      </c>
      <c r="EN103" s="333">
        <v>2.4299999999999999E-2</v>
      </c>
      <c r="EO103" s="329">
        <v>-241.49</v>
      </c>
      <c r="EP103" s="329" t="s">
        <v>509</v>
      </c>
      <c r="EQ103" s="333">
        <v>2E-16</v>
      </c>
      <c r="ER103" s="329" t="s">
        <v>510</v>
      </c>
    </row>
    <row r="104" spans="121:148" thickTop="1" thickBot="1" x14ac:dyDescent="0.3">
      <c r="DQ104" s="290" t="s">
        <v>506</v>
      </c>
      <c r="DR104" s="290" t="s">
        <v>493</v>
      </c>
      <c r="DS104" s="291">
        <v>9.1199999999999996E-3</v>
      </c>
      <c r="DT104" s="291">
        <v>4.1699999999999997E-5</v>
      </c>
      <c r="DU104" s="290">
        <v>218.56</v>
      </c>
      <c r="DV104" s="290" t="s">
        <v>509</v>
      </c>
      <c r="DW104" s="291">
        <v>2E-16</v>
      </c>
      <c r="DX104" s="81" t="s">
        <v>510</v>
      </c>
      <c r="EK104" s="329" t="s">
        <v>506</v>
      </c>
      <c r="EL104" s="329" t="s">
        <v>493</v>
      </c>
      <c r="EM104" s="333">
        <v>4.7999999999999996E-3</v>
      </c>
      <c r="EN104" s="333">
        <v>6.4300000000000004E-5</v>
      </c>
      <c r="EO104" s="329">
        <v>74.680000000000007</v>
      </c>
      <c r="EP104" s="329" t="s">
        <v>509</v>
      </c>
      <c r="EQ104" s="333">
        <v>2E-16</v>
      </c>
      <c r="ER104" s="329" t="s">
        <v>510</v>
      </c>
    </row>
    <row r="105" spans="121:148" thickTop="1" thickBot="1" x14ac:dyDescent="0.3">
      <c r="DQ105" s="290" t="s">
        <v>506</v>
      </c>
      <c r="DR105" s="290" t="s">
        <v>494</v>
      </c>
      <c r="DS105" s="291">
        <v>59.9</v>
      </c>
      <c r="DT105" s="291">
        <v>0.95299999999999996</v>
      </c>
      <c r="DU105" s="290">
        <v>62.86</v>
      </c>
      <c r="DV105" s="290" t="s">
        <v>509</v>
      </c>
      <c r="DW105" s="291">
        <v>2E-16</v>
      </c>
      <c r="DX105" s="81" t="s">
        <v>510</v>
      </c>
      <c r="EK105" s="329" t="s">
        <v>506</v>
      </c>
      <c r="EL105" s="329" t="s">
        <v>494</v>
      </c>
      <c r="EM105" s="333">
        <v>92.9</v>
      </c>
      <c r="EN105" s="333">
        <v>0.96199999999999997</v>
      </c>
      <c r="EO105" s="329">
        <v>96.58</v>
      </c>
      <c r="EP105" s="329" t="s">
        <v>509</v>
      </c>
      <c r="EQ105" s="333">
        <v>2E-16</v>
      </c>
      <c r="ER105" s="329" t="s">
        <v>510</v>
      </c>
    </row>
    <row r="106" spans="121:148" thickTop="1" thickBot="1" x14ac:dyDescent="0.3">
      <c r="DQ106" s="290" t="s">
        <v>506</v>
      </c>
      <c r="DR106" s="290" t="s">
        <v>495</v>
      </c>
      <c r="DS106" s="291">
        <v>6.5799999999999999E-3</v>
      </c>
      <c r="DT106" s="291">
        <v>1.87</v>
      </c>
      <c r="DU106" s="290">
        <v>0</v>
      </c>
      <c r="DV106" s="290">
        <v>0.99719999999999998</v>
      </c>
      <c r="EK106" s="329" t="s">
        <v>506</v>
      </c>
      <c r="EL106" s="329" t="s">
        <v>495</v>
      </c>
      <c r="EM106" s="333">
        <v>1930</v>
      </c>
      <c r="EN106" s="333">
        <v>457</v>
      </c>
      <c r="EO106" s="329">
        <v>4.21</v>
      </c>
      <c r="EP106" s="333">
        <v>2.5999999999999998E-5</v>
      </c>
      <c r="EQ106" s="329" t="s">
        <v>510</v>
      </c>
    </row>
    <row r="107" spans="121:148" thickTop="1" thickBot="1" x14ac:dyDescent="0.3">
      <c r="DS107" s="291"/>
      <c r="DT107" s="291"/>
      <c r="EM107" s="333"/>
      <c r="EN107" s="333"/>
    </row>
    <row r="108" spans="121:148" thickTop="1" thickBot="1" x14ac:dyDescent="0.3">
      <c r="DQ108" s="290" t="s">
        <v>565</v>
      </c>
      <c r="EK108" s="329" t="s">
        <v>565</v>
      </c>
    </row>
    <row r="109" spans="121:148" thickTop="1" thickBot="1" x14ac:dyDescent="0.3">
      <c r="DQ109" s="290" t="s">
        <v>506</v>
      </c>
      <c r="DR109" s="290" t="s">
        <v>499</v>
      </c>
      <c r="EK109" s="329" t="s">
        <v>506</v>
      </c>
      <c r="EL109" s="329" t="s">
        <v>499</v>
      </c>
    </row>
    <row r="110" spans="121:148" thickTop="1" thickBot="1" x14ac:dyDescent="0.3">
      <c r="DQ110" s="290" t="s">
        <v>506</v>
      </c>
      <c r="DR110" s="290" t="s">
        <v>500</v>
      </c>
      <c r="DS110" s="290" t="s">
        <v>501</v>
      </c>
      <c r="DT110" s="290" t="s">
        <v>502</v>
      </c>
      <c r="DU110" s="290" t="s">
        <v>503</v>
      </c>
      <c r="DV110" s="290" t="s">
        <v>504</v>
      </c>
      <c r="DW110" s="290" t="s">
        <v>508</v>
      </c>
      <c r="DX110" s="81" t="s">
        <v>510</v>
      </c>
      <c r="EK110" s="329" t="s">
        <v>506</v>
      </c>
      <c r="EL110" s="329" t="s">
        <v>500</v>
      </c>
      <c r="EM110" s="329" t="s">
        <v>501</v>
      </c>
      <c r="EN110" s="329" t="s">
        <v>502</v>
      </c>
      <c r="EO110" s="329" t="s">
        <v>503</v>
      </c>
      <c r="EP110" s="329" t="s">
        <v>504</v>
      </c>
      <c r="EQ110" s="329" t="s">
        <v>508</v>
      </c>
      <c r="ER110" s="329" t="s">
        <v>510</v>
      </c>
    </row>
    <row r="111" spans="121:148" thickTop="1" thickBot="1" x14ac:dyDescent="0.3">
      <c r="DQ111" s="290" t="s">
        <v>506</v>
      </c>
      <c r="DR111" s="290" t="s">
        <v>513</v>
      </c>
      <c r="DS111" s="291">
        <v>292</v>
      </c>
      <c r="DT111" s="291">
        <v>5.79E-2</v>
      </c>
      <c r="DU111" s="290">
        <v>5045.8100000000004</v>
      </c>
      <c r="DV111" s="290" t="s">
        <v>505</v>
      </c>
      <c r="DW111" s="290" t="s">
        <v>510</v>
      </c>
      <c r="DX111" s="81" t="s">
        <v>510</v>
      </c>
      <c r="EK111" s="329" t="s">
        <v>506</v>
      </c>
      <c r="EL111" s="329" t="s">
        <v>513</v>
      </c>
      <c r="EM111" s="333">
        <v>292</v>
      </c>
      <c r="EN111" s="333">
        <v>0.17699999999999999</v>
      </c>
      <c r="EO111" s="329">
        <v>1648.69</v>
      </c>
      <c r="EP111" s="329" t="s">
        <v>505</v>
      </c>
      <c r="EQ111" s="329" t="s">
        <v>510</v>
      </c>
      <c r="ER111" s="329" t="s">
        <v>510</v>
      </c>
    </row>
    <row r="112" spans="121:148" thickTop="1" thickBot="1" x14ac:dyDescent="0.3">
      <c r="DQ112" s="290" t="s">
        <v>506</v>
      </c>
      <c r="DR112" s="290" t="s">
        <v>514</v>
      </c>
      <c r="DS112" s="291">
        <v>297</v>
      </c>
      <c r="DT112" s="291">
        <v>0.126</v>
      </c>
      <c r="DU112" s="290">
        <v>2366.4899999999998</v>
      </c>
      <c r="DV112" s="290" t="s">
        <v>505</v>
      </c>
      <c r="DW112" s="291" t="s">
        <v>510</v>
      </c>
      <c r="DX112" s="81" t="s">
        <v>510</v>
      </c>
      <c r="EK112" s="329" t="s">
        <v>506</v>
      </c>
      <c r="EL112" s="329" t="s">
        <v>514</v>
      </c>
      <c r="EM112" s="333">
        <v>296</v>
      </c>
      <c r="EN112" s="333">
        <v>0.14799999999999999</v>
      </c>
      <c r="EO112" s="329">
        <v>1998.25</v>
      </c>
      <c r="EP112" s="329" t="s">
        <v>505</v>
      </c>
      <c r="EQ112" s="333" t="s">
        <v>510</v>
      </c>
      <c r="ER112" s="329" t="s">
        <v>510</v>
      </c>
    </row>
    <row r="113" spans="121:148" thickTop="1" thickBot="1" x14ac:dyDescent="0.3">
      <c r="DQ113" s="290" t="s">
        <v>506</v>
      </c>
      <c r="DR113" s="290" t="s">
        <v>423</v>
      </c>
      <c r="DS113" s="291">
        <v>0.122</v>
      </c>
      <c r="DT113" s="291">
        <v>3.9399999999999999E-3</v>
      </c>
      <c r="DU113" s="290">
        <v>30.87</v>
      </c>
      <c r="DV113" s="290" t="s">
        <v>505</v>
      </c>
      <c r="DW113" s="291" t="s">
        <v>510</v>
      </c>
      <c r="EK113" s="329" t="s">
        <v>506</v>
      </c>
      <c r="EL113" s="329" t="s">
        <v>423</v>
      </c>
      <c r="EM113" s="333">
        <v>0.11600000000000001</v>
      </c>
      <c r="EN113" s="333">
        <v>4.6800000000000001E-3</v>
      </c>
      <c r="EO113" s="329">
        <v>24.71</v>
      </c>
      <c r="EP113" s="329" t="s">
        <v>505</v>
      </c>
      <c r="EQ113" s="333" t="s">
        <v>510</v>
      </c>
    </row>
    <row r="114" spans="121:148" thickTop="1" thickBot="1" x14ac:dyDescent="0.3">
      <c r="DQ114" s="290" t="s">
        <v>506</v>
      </c>
      <c r="DR114" s="290" t="s">
        <v>424</v>
      </c>
      <c r="DS114" s="291">
        <v>0.155</v>
      </c>
      <c r="DT114" s="291">
        <v>1.6800000000000001E-3</v>
      </c>
      <c r="DU114" s="290">
        <v>92.35</v>
      </c>
      <c r="DV114" s="290" t="s">
        <v>505</v>
      </c>
      <c r="DW114" s="291" t="s">
        <v>510</v>
      </c>
      <c r="DX114" s="81" t="s">
        <v>510</v>
      </c>
      <c r="EK114" s="329" t="s">
        <v>506</v>
      </c>
      <c r="EL114" s="329" t="s">
        <v>424</v>
      </c>
      <c r="EM114" s="333">
        <v>0.13800000000000001</v>
      </c>
      <c r="EN114" s="333">
        <v>2.0600000000000002E-3</v>
      </c>
      <c r="EO114" s="329">
        <v>66.790000000000006</v>
      </c>
      <c r="EP114" s="329" t="s">
        <v>505</v>
      </c>
      <c r="EQ114" s="333" t="s">
        <v>510</v>
      </c>
      <c r="ER114" s="329" t="s">
        <v>510</v>
      </c>
    </row>
    <row r="115" spans="121:148" thickTop="1" thickBot="1" x14ac:dyDescent="0.3">
      <c r="DQ115" s="290" t="s">
        <v>506</v>
      </c>
      <c r="DR115" s="290" t="s">
        <v>515</v>
      </c>
      <c r="DS115" s="291">
        <v>997000000</v>
      </c>
      <c r="DT115" s="291">
        <v>12000000</v>
      </c>
      <c r="DU115" s="290">
        <v>83.12</v>
      </c>
      <c r="DV115" s="291" t="s">
        <v>505</v>
      </c>
      <c r="DW115" s="290" t="s">
        <v>510</v>
      </c>
      <c r="EK115" s="329" t="s">
        <v>506</v>
      </c>
      <c r="EL115" s="329" t="s">
        <v>515</v>
      </c>
      <c r="EM115" s="333">
        <v>992000000</v>
      </c>
      <c r="EN115" s="333">
        <v>47800000</v>
      </c>
      <c r="EO115" s="329">
        <v>20.77</v>
      </c>
      <c r="EP115" s="333" t="s">
        <v>505</v>
      </c>
      <c r="EQ115" s="329" t="s">
        <v>510</v>
      </c>
    </row>
    <row r="116" spans="121:148" thickTop="1" thickBot="1" x14ac:dyDescent="0.3">
      <c r="DQ116" s="290" t="s">
        <v>506</v>
      </c>
      <c r="DR116" s="290" t="s">
        <v>426</v>
      </c>
      <c r="DS116" s="291">
        <v>992000000</v>
      </c>
      <c r="DT116" s="291">
        <v>45700000</v>
      </c>
      <c r="DU116" s="290">
        <v>21.71</v>
      </c>
      <c r="DV116" s="290" t="s">
        <v>505</v>
      </c>
      <c r="DW116" s="291" t="s">
        <v>510</v>
      </c>
      <c r="EK116" s="329" t="s">
        <v>506</v>
      </c>
      <c r="EL116" s="329" t="s">
        <v>426</v>
      </c>
      <c r="EM116" s="333">
        <v>992000000</v>
      </c>
      <c r="EN116" s="333">
        <v>54400000</v>
      </c>
      <c r="EO116" s="329">
        <v>18.22</v>
      </c>
      <c r="EP116" s="329" t="s">
        <v>505</v>
      </c>
      <c r="EQ116" s="333" t="s">
        <v>510</v>
      </c>
    </row>
    <row r="117" spans="121:148" thickTop="1" thickBot="1" x14ac:dyDescent="0.3">
      <c r="DQ117" s="290" t="s">
        <v>506</v>
      </c>
      <c r="DR117" s="290" t="s">
        <v>480</v>
      </c>
      <c r="DS117" s="291">
        <v>-15.2</v>
      </c>
      <c r="DT117" s="291">
        <v>128</v>
      </c>
      <c r="DU117" s="290">
        <v>-0.12</v>
      </c>
      <c r="DV117" s="290">
        <v>0.91</v>
      </c>
      <c r="DX117" s="81" t="s">
        <v>510</v>
      </c>
      <c r="EK117" s="329" t="s">
        <v>506</v>
      </c>
      <c r="EL117" s="329" t="s">
        <v>480</v>
      </c>
      <c r="EM117" s="333">
        <v>-13.9</v>
      </c>
      <c r="EN117" s="333">
        <v>22</v>
      </c>
      <c r="EO117" s="329">
        <v>-0.63</v>
      </c>
      <c r="EP117" s="329">
        <v>0.53</v>
      </c>
      <c r="ER117" s="329" t="s">
        <v>510</v>
      </c>
    </row>
    <row r="118" spans="121:148" thickTop="1" thickBot="1" x14ac:dyDescent="0.3">
      <c r="DQ118" s="290" t="s">
        <v>506</v>
      </c>
      <c r="DR118" s="290" t="s">
        <v>517</v>
      </c>
      <c r="DS118" s="291">
        <v>-16.7</v>
      </c>
      <c r="DT118" s="291">
        <v>346</v>
      </c>
      <c r="DU118" s="290">
        <v>-0.05</v>
      </c>
      <c r="DV118" s="290">
        <v>0.96</v>
      </c>
      <c r="DX118" s="81" t="s">
        <v>510</v>
      </c>
      <c r="EK118" s="329" t="s">
        <v>506</v>
      </c>
      <c r="EL118" s="329" t="s">
        <v>517</v>
      </c>
      <c r="EM118" s="333">
        <v>-14</v>
      </c>
      <c r="EN118" s="333">
        <v>24.1</v>
      </c>
      <c r="EO118" s="329">
        <v>-0.57999999999999996</v>
      </c>
      <c r="EP118" s="329">
        <v>0.56000000000000005</v>
      </c>
      <c r="ER118" s="329" t="s">
        <v>510</v>
      </c>
    </row>
    <row r="119" spans="121:148" thickTop="1" thickBot="1" x14ac:dyDescent="0.3">
      <c r="DQ119" s="290" t="s">
        <v>506</v>
      </c>
      <c r="DR119" s="290" t="s">
        <v>518</v>
      </c>
      <c r="DS119" s="291">
        <v>3.49E-2</v>
      </c>
      <c r="DT119" s="291">
        <v>2.8299999999999999E-4</v>
      </c>
      <c r="DU119" s="290">
        <v>123.31</v>
      </c>
      <c r="DV119" s="290" t="s">
        <v>505</v>
      </c>
      <c r="DW119" s="291" t="s">
        <v>510</v>
      </c>
      <c r="DX119" s="81" t="s">
        <v>510</v>
      </c>
      <c r="EK119" s="329" t="s">
        <v>506</v>
      </c>
      <c r="EL119" s="329" t="s">
        <v>518</v>
      </c>
      <c r="EM119" s="333">
        <v>2.9899999999999999E-2</v>
      </c>
      <c r="EN119" s="333">
        <v>5.9699999999999998E-4</v>
      </c>
      <c r="EO119" s="329">
        <v>50.03</v>
      </c>
      <c r="EP119" s="329" t="s">
        <v>505</v>
      </c>
      <c r="EQ119" s="333" t="s">
        <v>510</v>
      </c>
      <c r="ER119" s="329" t="s">
        <v>510</v>
      </c>
    </row>
    <row r="120" spans="121:148" thickTop="1" thickBot="1" x14ac:dyDescent="0.3">
      <c r="DQ120" s="290" t="s">
        <v>506</v>
      </c>
      <c r="DR120" s="290" t="s">
        <v>519</v>
      </c>
      <c r="DS120" s="291">
        <v>5.2900000000000003E-2</v>
      </c>
      <c r="DT120" s="291">
        <v>1.8699999999999999E-4</v>
      </c>
      <c r="DU120" s="290">
        <v>283.35000000000002</v>
      </c>
      <c r="DV120" s="290" t="s">
        <v>505</v>
      </c>
      <c r="DW120" s="291" t="s">
        <v>510</v>
      </c>
      <c r="DX120" s="81" t="s">
        <v>510</v>
      </c>
      <c r="EK120" s="329" t="s">
        <v>506</v>
      </c>
      <c r="EL120" s="329" t="s">
        <v>519</v>
      </c>
      <c r="EM120" s="333">
        <v>4.7199999999999999E-2</v>
      </c>
      <c r="EN120" s="333">
        <v>6.9099999999999999E-4</v>
      </c>
      <c r="EO120" s="329">
        <v>68.349999999999994</v>
      </c>
      <c r="EP120" s="329" t="s">
        <v>505</v>
      </c>
      <c r="EQ120" s="333" t="s">
        <v>510</v>
      </c>
      <c r="ER120" s="329" t="s">
        <v>510</v>
      </c>
    </row>
    <row r="121" spans="121:148" thickTop="1" thickBot="1" x14ac:dyDescent="0.3">
      <c r="DQ121" s="290" t="s">
        <v>506</v>
      </c>
      <c r="DR121" s="290" t="s">
        <v>492</v>
      </c>
      <c r="DS121" s="291">
        <v>-6.01</v>
      </c>
      <c r="DT121" s="291">
        <v>2.2599999999999999E-2</v>
      </c>
      <c r="DU121" s="290">
        <v>-266.11</v>
      </c>
      <c r="DV121" s="290" t="s">
        <v>505</v>
      </c>
      <c r="DW121" s="291" t="s">
        <v>510</v>
      </c>
      <c r="DX121" s="81" t="s">
        <v>510</v>
      </c>
      <c r="EK121" s="329" t="s">
        <v>506</v>
      </c>
      <c r="EL121" s="329" t="s">
        <v>492</v>
      </c>
      <c r="EM121" s="333">
        <v>-5.76</v>
      </c>
      <c r="EN121" s="333">
        <v>2.3E-2</v>
      </c>
      <c r="EO121" s="329">
        <v>-249.99</v>
      </c>
      <c r="EP121" s="329" t="s">
        <v>505</v>
      </c>
      <c r="EQ121" s="333" t="s">
        <v>510</v>
      </c>
      <c r="ER121" s="329" t="s">
        <v>510</v>
      </c>
    </row>
    <row r="122" spans="121:148" thickTop="1" thickBot="1" x14ac:dyDescent="0.3">
      <c r="DQ122" s="290" t="s">
        <v>506</v>
      </c>
      <c r="DR122" s="290" t="s">
        <v>520</v>
      </c>
      <c r="DS122" s="291">
        <v>-6.27</v>
      </c>
      <c r="DT122" s="291">
        <v>1.5900000000000001E-2</v>
      </c>
      <c r="DU122" s="290">
        <v>-394.88</v>
      </c>
      <c r="DV122" s="290" t="s">
        <v>505</v>
      </c>
      <c r="DW122" s="291" t="s">
        <v>510</v>
      </c>
      <c r="DX122" s="81" t="s">
        <v>510</v>
      </c>
      <c r="EK122" s="329" t="s">
        <v>506</v>
      </c>
      <c r="EL122" s="329" t="s">
        <v>520</v>
      </c>
      <c r="EM122" s="333">
        <v>-5.5</v>
      </c>
      <c r="EN122" s="333">
        <v>2.07E-2</v>
      </c>
      <c r="EO122" s="329">
        <v>-265.70999999999998</v>
      </c>
      <c r="EP122" s="329" t="s">
        <v>505</v>
      </c>
      <c r="EQ122" s="333" t="s">
        <v>510</v>
      </c>
      <c r="ER122" s="329" t="s">
        <v>510</v>
      </c>
    </row>
    <row r="123" spans="121:148" thickTop="1" thickBot="1" x14ac:dyDescent="0.3">
      <c r="DQ123" s="290" t="s">
        <v>506</v>
      </c>
      <c r="DR123" s="290" t="s">
        <v>429</v>
      </c>
      <c r="DS123" s="291">
        <v>159</v>
      </c>
      <c r="DT123" s="291">
        <v>0.85699999999999998</v>
      </c>
      <c r="DU123" s="290">
        <v>185.47</v>
      </c>
      <c r="DV123" s="290" t="s">
        <v>505</v>
      </c>
      <c r="DW123" s="291" t="s">
        <v>510</v>
      </c>
      <c r="DX123" s="81" t="s">
        <v>510</v>
      </c>
      <c r="EK123" s="329" t="s">
        <v>506</v>
      </c>
      <c r="EL123" s="329" t="s">
        <v>429</v>
      </c>
      <c r="EM123" s="333">
        <v>168</v>
      </c>
      <c r="EN123" s="333">
        <v>0.98199999999999998</v>
      </c>
      <c r="EO123" s="329">
        <v>171.28</v>
      </c>
      <c r="EP123" s="329" t="s">
        <v>505</v>
      </c>
      <c r="EQ123" s="333" t="s">
        <v>510</v>
      </c>
      <c r="ER123" s="329" t="s">
        <v>510</v>
      </c>
    </row>
    <row r="124" spans="121:148" thickTop="1" thickBot="1" x14ac:dyDescent="0.3">
      <c r="DQ124" s="290" t="s">
        <v>506</v>
      </c>
      <c r="DR124" s="290" t="s">
        <v>430</v>
      </c>
      <c r="DS124" s="291">
        <v>4.45E-3</v>
      </c>
      <c r="DT124" s="291">
        <v>9.9699999999999997E-2</v>
      </c>
      <c r="DU124" s="290">
        <v>0.04</v>
      </c>
      <c r="DV124" s="290">
        <v>0.96</v>
      </c>
      <c r="DW124" s="291"/>
      <c r="EK124" s="329" t="s">
        <v>506</v>
      </c>
      <c r="EL124" s="329" t="s">
        <v>430</v>
      </c>
      <c r="EM124" s="333">
        <v>206</v>
      </c>
      <c r="EN124" s="333">
        <v>375</v>
      </c>
      <c r="EO124" s="329">
        <v>0.55000000000000004</v>
      </c>
      <c r="EP124" s="329">
        <v>0.57999999999999996</v>
      </c>
      <c r="EQ124" s="333"/>
    </row>
    <row r="125" spans="121:148" thickTop="1" thickBot="1" x14ac:dyDescent="0.3">
      <c r="DQ125" s="290" t="s">
        <v>506</v>
      </c>
      <c r="DR125" s="290" t="s">
        <v>431</v>
      </c>
      <c r="DS125" s="291">
        <v>60.2</v>
      </c>
      <c r="DT125" s="291">
        <v>1.03</v>
      </c>
      <c r="DU125" s="290">
        <v>58.21</v>
      </c>
      <c r="DV125" s="290" t="s">
        <v>505</v>
      </c>
      <c r="DW125" s="291" t="s">
        <v>510</v>
      </c>
      <c r="DX125" s="81">
        <v>0.01</v>
      </c>
      <c r="ED125" s="81" t="s">
        <v>564</v>
      </c>
      <c r="EK125" s="329" t="s">
        <v>506</v>
      </c>
      <c r="EL125" s="329" t="s">
        <v>431</v>
      </c>
      <c r="EM125" s="333">
        <v>94.2</v>
      </c>
      <c r="EN125" s="333">
        <v>0.96499999999999997</v>
      </c>
      <c r="EO125" s="329">
        <v>97.59</v>
      </c>
      <c r="EP125" s="329" t="s">
        <v>505</v>
      </c>
      <c r="EQ125" s="333" t="s">
        <v>510</v>
      </c>
      <c r="ER125" s="329">
        <v>0.01</v>
      </c>
    </row>
    <row r="126" spans="121:148" thickTop="1" thickBot="1" x14ac:dyDescent="0.3">
      <c r="DQ126" s="290" t="s">
        <v>506</v>
      </c>
      <c r="DR126" s="290" t="s">
        <v>559</v>
      </c>
      <c r="EK126" s="329" t="s">
        <v>506</v>
      </c>
      <c r="EL126" s="329" t="s">
        <v>559</v>
      </c>
    </row>
    <row r="127" spans="121:148" thickTop="1" thickBot="1" x14ac:dyDescent="0.3">
      <c r="DQ127" s="290" t="s">
        <v>506</v>
      </c>
      <c r="DR127" s="290" t="s">
        <v>560</v>
      </c>
      <c r="DS127" s="290" t="s">
        <v>561</v>
      </c>
      <c r="DT127" s="290">
        <v>0</v>
      </c>
      <c r="DU127" s="290" t="s">
        <v>562</v>
      </c>
      <c r="DV127" s="290">
        <v>1E-3</v>
      </c>
      <c r="DW127" s="290" t="s">
        <v>563</v>
      </c>
      <c r="EK127" s="329" t="s">
        <v>506</v>
      </c>
      <c r="EL127" s="329" t="s">
        <v>560</v>
      </c>
      <c r="EM127" s="329" t="s">
        <v>561</v>
      </c>
      <c r="EN127" s="329">
        <v>0</v>
      </c>
      <c r="EO127" s="329" t="s">
        <v>562</v>
      </c>
      <c r="EP127" s="329">
        <v>1E-3</v>
      </c>
      <c r="EQ127" s="329" t="s">
        <v>563</v>
      </c>
    </row>
  </sheetData>
  <mergeCells count="7">
    <mergeCell ref="E36:F36"/>
    <mergeCell ref="A1:G1"/>
    <mergeCell ref="A3:H3"/>
    <mergeCell ref="K3:U3"/>
    <mergeCell ref="W3:AH3"/>
    <mergeCell ref="L4:P4"/>
    <mergeCell ref="E33:F33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8</vt:i4>
      </vt:variant>
    </vt:vector>
  </HeadingPairs>
  <TitlesOfParts>
    <vt:vector size="25" baseType="lpstr">
      <vt:lpstr>Gebouwgegevens Tabula</vt:lpstr>
      <vt:lpstr>Gebouwgegevens Allacker</vt:lpstr>
      <vt:lpstr>Tabula data</vt:lpstr>
      <vt:lpstr>Verwarming Allacker</vt:lpstr>
      <vt:lpstr>Verwarming Tabula</vt:lpstr>
      <vt:lpstr>Gebouwgegevens Tabula 2zone</vt:lpstr>
      <vt:lpstr>Tabula 2zone Ref 1</vt:lpstr>
      <vt:lpstr>Tabula 2zone Ref 2</vt:lpstr>
      <vt:lpstr>Tabula RefULG 1</vt:lpstr>
      <vt:lpstr>Tabula RefULG 2</vt:lpstr>
      <vt:lpstr>Verwarming Tabula 2zone</vt:lpstr>
      <vt:lpstr>Verwarming Tabula 2zone Ref 1</vt:lpstr>
      <vt:lpstr>Verwarming Tabula 2zone Ref 2</vt:lpstr>
      <vt:lpstr>Verwarming Tabula 2zone RefULG1</vt:lpstr>
      <vt:lpstr>Verwarming Tabula 2zone RefULG2</vt:lpstr>
      <vt:lpstr>PropertiesGB_Theoretical</vt:lpstr>
      <vt:lpstr>Vloerverwarming zonder QRH</vt:lpstr>
      <vt:lpstr>'Gebouwgegevens Allacker'!Print_Area</vt:lpstr>
      <vt:lpstr>'Gebouwgegevens Tabula'!Print_Area</vt:lpstr>
      <vt:lpstr>'Gebouwgegevens Tabula 2zone'!Print_Area</vt:lpstr>
      <vt:lpstr>'Tabula 2zone Ref 1'!Print_Area</vt:lpstr>
      <vt:lpstr>'Tabula 2zone Ref 2'!Print_Area</vt:lpstr>
      <vt:lpstr>'Tabula data'!Print_Area</vt:lpstr>
      <vt:lpstr>'Tabula RefULG 1'!Print_Area</vt:lpstr>
      <vt:lpstr>'Tabula RefULG 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REYNDERG</dc:creator>
  <cp:lastModifiedBy>Glenn Reynders</cp:lastModifiedBy>
  <cp:revision>0</cp:revision>
  <cp:lastPrinted>2013-07-29T10:47:59Z</cp:lastPrinted>
  <dcterms:created xsi:type="dcterms:W3CDTF">2011-08-19T12:11:09Z</dcterms:created>
  <dcterms:modified xsi:type="dcterms:W3CDTF">2014-08-28T09:44:46Z</dcterms:modified>
</cp:coreProperties>
</file>