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105" windowWidth="7215" windowHeight="10005" tabRatio="723" firstSheet="2" activeTab="9"/>
  </bookViews>
  <sheets>
    <sheet name="Gebouwgegevens Tabula" sheetId="1" state="hidden" r:id="rId1"/>
    <sheet name="Gebouwgegevens Allacker" sheetId="2" state="hidden" r:id="rId2"/>
    <sheet name="Tabula data" sheetId="3" r:id="rId3"/>
    <sheet name="Verwarming Allacker" sheetId="4" state="hidden" r:id="rId4"/>
    <sheet name="Verwarming Tabula" sheetId="5" state="hidden" r:id="rId5"/>
    <sheet name="Gebouwgegevens Tabula 2zone" sheetId="6" r:id="rId6"/>
    <sheet name="Tabula Ref1" sheetId="13" r:id="rId7"/>
    <sheet name="Tabula Ref2" sheetId="14" r:id="rId8"/>
    <sheet name="Tabula RefULG 1" sheetId="17" r:id="rId9"/>
    <sheet name="Tabula RefULG 2" sheetId="18" r:id="rId10"/>
    <sheet name="Verwarming Tabula 2zone" sheetId="7" r:id="rId11"/>
    <sheet name="Verwarming Tabula 2zone Ref1" sheetId="15" r:id="rId12"/>
    <sheet name="Verwarming Tabula 2zone Ref2" sheetId="16" r:id="rId13"/>
    <sheet name="Verwarming Tabula 2zone RefULG1" sheetId="19" r:id="rId14"/>
    <sheet name="Verwarming Tabula 2zone RefULG2" sheetId="20" r:id="rId15"/>
    <sheet name="PropertiesGB_Theoretical" sheetId="8" r:id="rId16"/>
    <sheet name="Sheet8" sheetId="9" r:id="rId17"/>
    <sheet name="Sheet9" sheetId="10" r:id="rId18"/>
  </sheets>
  <externalReferences>
    <externalReference r:id="rId19"/>
  </externalReferences>
  <definedNames>
    <definedName name="_xlnm.Print_Area" localSheetId="1">'Gebouwgegevens Allacker'!$A$1:$H$38,'Gebouwgegevens Allacker'!$J$3:$T$32,'Gebouwgegevens Allacker'!$V$3:$AG$52</definedName>
    <definedName name="_xlnm.Print_Area" localSheetId="0">'Gebouwgegevens Tabula'!$A$1:$H$38,'Gebouwgegevens Tabula'!$J$3:$T$32,'Gebouwgegevens Tabula'!$V$3:$AG$52</definedName>
    <definedName name="_xlnm.Print_Area" localSheetId="5">'Gebouwgegevens Tabula 2zone'!$B$1:$I$37,'Gebouwgegevens Tabula 2zone'!$K$3:$U$32,'Gebouwgegevens Tabula 2zone'!$W$3:$AH$51</definedName>
    <definedName name="_xlnm.Print_Area" localSheetId="2">'Tabula data'!$A$1:$D$33,'Tabula data'!$F$1:$Q$36,'Tabula data'!$A$36:$D$51</definedName>
    <definedName name="_xlnm.Print_Area" localSheetId="6">'Tabula Ref1'!$B$1:$I$37,'Tabula Ref1'!$K$3:$U$32,'Tabula Ref1'!$W$3:$AH$51</definedName>
    <definedName name="_xlnm.Print_Area" localSheetId="7">'Tabula Ref2'!$B$1:$I$37,'Tabula Ref2'!$K$3:$U$32,'Tabula Ref2'!$W$3:$AH$51</definedName>
    <definedName name="_xlnm.Print_Area" localSheetId="8">'Tabula RefULG 1'!$B$1:$I$37,'Tabula RefULG 1'!$K$3:$U$32,'Tabula RefULG 1'!$W$3:$AH$51</definedName>
    <definedName name="_xlnm.Print_Area" localSheetId="9">'Tabula RefULG 2'!$B$1:$I$37,'Tabula RefULG 2'!$K$3:$U$32,'Tabula RefULG 2'!$W$3:$AH$51</definedName>
  </definedNames>
  <calcPr calcId="145621"/>
</workbook>
</file>

<file path=xl/calcChain.xml><?xml version="1.0" encoding="utf-8"?>
<calcChain xmlns="http://schemas.openxmlformats.org/spreadsheetml/2006/main">
  <c r="AP24" i="17" l="1"/>
  <c r="AP24" i="18" l="1"/>
  <c r="AA28" i="18" l="1"/>
  <c r="AP48" i="18" s="1"/>
  <c r="AP50" i="18" s="1"/>
  <c r="AP49" i="18" s="1"/>
  <c r="AA54" i="18"/>
  <c r="AA22" i="18"/>
  <c r="AP40" i="18"/>
  <c r="AP37" i="18"/>
  <c r="AP34" i="18"/>
  <c r="AP23" i="18"/>
  <c r="AP21" i="18"/>
  <c r="AP20" i="18"/>
  <c r="AP19" i="18"/>
  <c r="AP14" i="18"/>
  <c r="AP9" i="18"/>
  <c r="AP30" i="18"/>
  <c r="AP43" i="18"/>
  <c r="AP47" i="18" s="1"/>
  <c r="AP42" i="18"/>
  <c r="AP46" i="18" s="1"/>
  <c r="AP33" i="18"/>
  <c r="AP28" i="18"/>
  <c r="AP35" i="18" s="1"/>
  <c r="AP27" i="18"/>
  <c r="AP26" i="18"/>
  <c r="AP7" i="18"/>
  <c r="AP17" i="18" s="1"/>
  <c r="AP6" i="18"/>
  <c r="AP16" i="18" s="1"/>
  <c r="AP5" i="18"/>
  <c r="AP15" i="18" s="1"/>
  <c r="AP4" i="18"/>
  <c r="AP40" i="17"/>
  <c r="AP37" i="17"/>
  <c r="AP30" i="17"/>
  <c r="AP39" i="17"/>
  <c r="DG5" i="17"/>
  <c r="AP38" i="17"/>
  <c r="AA54" i="17"/>
  <c r="AA40" i="17"/>
  <c r="AA27" i="17"/>
  <c r="AA21" i="17"/>
  <c r="AP21" i="17"/>
  <c r="AP23" i="17"/>
  <c r="AP19" i="17"/>
  <c r="AP9" i="17"/>
  <c r="AP6" i="17"/>
  <c r="AP16" i="17" s="1"/>
  <c r="AP5" i="17"/>
  <c r="AP15" i="17" s="1"/>
  <c r="AP48" i="17"/>
  <c r="AP50" i="17" s="1"/>
  <c r="AP49" i="17" s="1"/>
  <c r="AP43" i="17"/>
  <c r="AP47" i="17" s="1"/>
  <c r="AP42" i="17"/>
  <c r="AP46" i="17" s="1"/>
  <c r="AP34" i="17"/>
  <c r="AP33" i="17"/>
  <c r="AP28" i="17"/>
  <c r="AP35" i="17" s="1"/>
  <c r="AP27" i="17"/>
  <c r="AP26" i="17"/>
  <c r="AP20" i="17"/>
  <c r="AP7" i="17"/>
  <c r="AP17" i="17" s="1"/>
  <c r="AP4" i="17"/>
  <c r="AP14" i="17" s="1"/>
  <c r="AP38" i="18" l="1"/>
  <c r="B139" i="15"/>
  <c r="B139" i="19" l="1"/>
  <c r="B139" i="7" l="1"/>
  <c r="DU79" i="17" l="1"/>
  <c r="DU78" i="17"/>
  <c r="DU77" i="17"/>
  <c r="DU76" i="17"/>
  <c r="DU75" i="17"/>
  <c r="DU73" i="17"/>
  <c r="DU72" i="17"/>
  <c r="DU71" i="17"/>
  <c r="DU70" i="17"/>
  <c r="DU68" i="17"/>
  <c r="DU67" i="17"/>
  <c r="DU66" i="17"/>
  <c r="DU65" i="17"/>
  <c r="DU63" i="17"/>
  <c r="DU62" i="17"/>
  <c r="DU61" i="17"/>
  <c r="DU59" i="17"/>
  <c r="DU58" i="17"/>
  <c r="DU57" i="17"/>
  <c r="DU56" i="17"/>
  <c r="DU55" i="17"/>
  <c r="DU54" i="17"/>
  <c r="DU53" i="17"/>
  <c r="DU52" i="17"/>
  <c r="DU51" i="17"/>
  <c r="DU50" i="17"/>
  <c r="DU49" i="17"/>
  <c r="DU48" i="17"/>
  <c r="DU47" i="17"/>
  <c r="DU46" i="17"/>
  <c r="DU45" i="17"/>
  <c r="DU44" i="17"/>
  <c r="DU42" i="17"/>
  <c r="DU41" i="17"/>
  <c r="DU40" i="17"/>
  <c r="DU39" i="17"/>
  <c r="DU38" i="17"/>
  <c r="DU37" i="17"/>
  <c r="DU36" i="17"/>
  <c r="DU35" i="17"/>
  <c r="DU34" i="17"/>
  <c r="DU33" i="17"/>
  <c r="DU32" i="17"/>
  <c r="DU30" i="17"/>
  <c r="DU29" i="17"/>
  <c r="DU28" i="17"/>
  <c r="DU27" i="17"/>
  <c r="DU24" i="17"/>
  <c r="DU23" i="17"/>
  <c r="DU22" i="17"/>
  <c r="DU21" i="17"/>
  <c r="DU20" i="17"/>
  <c r="DU19" i="17"/>
  <c r="DU18" i="17"/>
  <c r="DU17" i="17"/>
  <c r="DU16" i="17"/>
  <c r="DU15" i="17"/>
  <c r="DU14" i="17"/>
  <c r="DU13" i="17"/>
  <c r="DU12" i="17"/>
  <c r="DU11" i="17"/>
  <c r="DU10" i="17"/>
  <c r="DU9" i="17"/>
  <c r="DU8" i="17"/>
  <c r="DU7" i="17"/>
  <c r="DU6" i="17"/>
  <c r="DU5" i="17"/>
  <c r="E109" i="20" l="1"/>
  <c r="D109" i="20"/>
  <c r="H109" i="20" s="1"/>
  <c r="C109" i="20"/>
  <c r="G109" i="20" s="1"/>
  <c r="E108" i="20"/>
  <c r="D108" i="20"/>
  <c r="H108" i="20" s="1"/>
  <c r="C108" i="20"/>
  <c r="G108" i="20" s="1"/>
  <c r="F92" i="20"/>
  <c r="D92" i="20"/>
  <c r="C92" i="20"/>
  <c r="F91" i="20"/>
  <c r="D91" i="20"/>
  <c r="C91" i="20"/>
  <c r="F90" i="20"/>
  <c r="D90" i="20"/>
  <c r="C90" i="20"/>
  <c r="F89" i="20"/>
  <c r="D89" i="20"/>
  <c r="C89" i="20"/>
  <c r="F88" i="20"/>
  <c r="D88" i="20"/>
  <c r="C88" i="20"/>
  <c r="F87" i="20"/>
  <c r="D87" i="20"/>
  <c r="C87" i="20"/>
  <c r="F86" i="20"/>
  <c r="D86" i="20"/>
  <c r="C86" i="20"/>
  <c r="F85" i="20"/>
  <c r="D85" i="20"/>
  <c r="C85" i="20"/>
  <c r="F84" i="20"/>
  <c r="D84" i="20"/>
  <c r="C84" i="20"/>
  <c r="E34" i="20"/>
  <c r="D34" i="20"/>
  <c r="H34" i="20" s="1"/>
  <c r="C34" i="20"/>
  <c r="G34" i="20" s="1"/>
  <c r="E33" i="20"/>
  <c r="D33" i="20"/>
  <c r="H33" i="20" s="1"/>
  <c r="C33" i="20"/>
  <c r="G33" i="20" s="1"/>
  <c r="K28" i="20"/>
  <c r="D28" i="20"/>
  <c r="C28" i="20"/>
  <c r="B19" i="20"/>
  <c r="F19" i="20" s="1"/>
  <c r="B18" i="20"/>
  <c r="B17" i="20"/>
  <c r="B16" i="20"/>
  <c r="F16" i="20" s="1"/>
  <c r="B15" i="20"/>
  <c r="F15" i="20" s="1"/>
  <c r="B14" i="20"/>
  <c r="B13" i="20"/>
  <c r="B12" i="20"/>
  <c r="F12" i="20" s="1"/>
  <c r="B776" i="20"/>
  <c r="B778" i="20" s="1"/>
  <c r="B777" i="20" s="1"/>
  <c r="B764" i="20"/>
  <c r="B761" i="20"/>
  <c r="B768" i="20" s="1"/>
  <c r="J750" i="20"/>
  <c r="I750" i="20"/>
  <c r="F750" i="20"/>
  <c r="E750" i="20"/>
  <c r="D750" i="20"/>
  <c r="H750" i="20" s="1"/>
  <c r="C750" i="20"/>
  <c r="G750" i="20" s="1"/>
  <c r="K750" i="20" s="1"/>
  <c r="J749" i="20"/>
  <c r="I749" i="20"/>
  <c r="F749" i="20"/>
  <c r="E749" i="20"/>
  <c r="D749" i="20"/>
  <c r="H749" i="20" s="1"/>
  <c r="C749" i="20"/>
  <c r="G749" i="20" s="1"/>
  <c r="K749" i="20" s="1"/>
  <c r="J748" i="20"/>
  <c r="I748" i="20"/>
  <c r="H748" i="20"/>
  <c r="F748" i="20"/>
  <c r="E748" i="20"/>
  <c r="D748" i="20"/>
  <c r="C748" i="20"/>
  <c r="G748" i="20" s="1"/>
  <c r="K748" i="20" s="1"/>
  <c r="J747" i="20"/>
  <c r="I747" i="20"/>
  <c r="F747" i="20"/>
  <c r="E747" i="20"/>
  <c r="D747" i="20"/>
  <c r="H747" i="20" s="1"/>
  <c r="C747" i="20"/>
  <c r="G747" i="20" s="1"/>
  <c r="K747" i="20" s="1"/>
  <c r="J746" i="20"/>
  <c r="I746" i="20"/>
  <c r="H746" i="20"/>
  <c r="F746" i="20"/>
  <c r="E746" i="20"/>
  <c r="D746" i="20"/>
  <c r="C746" i="20"/>
  <c r="G746" i="20" s="1"/>
  <c r="K746" i="20" s="1"/>
  <c r="J745" i="20"/>
  <c r="I745" i="20"/>
  <c r="F745" i="20"/>
  <c r="E745" i="20"/>
  <c r="D745" i="20"/>
  <c r="H745" i="20" s="1"/>
  <c r="C745" i="20"/>
  <c r="G745" i="20" s="1"/>
  <c r="K745" i="20" s="1"/>
  <c r="J744" i="20"/>
  <c r="I744" i="20"/>
  <c r="F744" i="20"/>
  <c r="E744" i="20"/>
  <c r="D744" i="20"/>
  <c r="H744" i="20" s="1"/>
  <c r="C744" i="20"/>
  <c r="G744" i="20" s="1"/>
  <c r="J743" i="20"/>
  <c r="I743" i="20"/>
  <c r="F743" i="20"/>
  <c r="E743" i="20"/>
  <c r="D743" i="20"/>
  <c r="H743" i="20" s="1"/>
  <c r="C743" i="20"/>
  <c r="G743" i="20" s="1"/>
  <c r="K743" i="20" s="1"/>
  <c r="J742" i="20"/>
  <c r="I742" i="20"/>
  <c r="H742" i="20"/>
  <c r="F742" i="20"/>
  <c r="E742" i="20"/>
  <c r="D742" i="20"/>
  <c r="C742" i="20"/>
  <c r="G742" i="20" s="1"/>
  <c r="K742" i="20" s="1"/>
  <c r="J741" i="20"/>
  <c r="I741" i="20"/>
  <c r="F741" i="20"/>
  <c r="E741" i="20"/>
  <c r="D741" i="20"/>
  <c r="H741" i="20" s="1"/>
  <c r="C741" i="20"/>
  <c r="G741" i="20" s="1"/>
  <c r="K741" i="20" s="1"/>
  <c r="J740" i="20"/>
  <c r="I740" i="20"/>
  <c r="H740" i="20"/>
  <c r="F740" i="20"/>
  <c r="E740" i="20"/>
  <c r="D740" i="20"/>
  <c r="C740" i="20"/>
  <c r="G740" i="20" s="1"/>
  <c r="K740" i="20" s="1"/>
  <c r="J739" i="20"/>
  <c r="I739" i="20"/>
  <c r="F739" i="20"/>
  <c r="E739" i="20"/>
  <c r="D739" i="20"/>
  <c r="H739" i="20" s="1"/>
  <c r="C739" i="20"/>
  <c r="G739" i="20" s="1"/>
  <c r="K739" i="20" s="1"/>
  <c r="B752" i="20" s="1"/>
  <c r="M731" i="20"/>
  <c r="G731" i="20"/>
  <c r="F731" i="20"/>
  <c r="E731" i="20"/>
  <c r="D731" i="20"/>
  <c r="C731" i="20"/>
  <c r="I731" i="20" s="1"/>
  <c r="L731" i="20" s="1"/>
  <c r="H717" i="20"/>
  <c r="G717" i="20"/>
  <c r="F717" i="20"/>
  <c r="E717" i="20"/>
  <c r="D717" i="20"/>
  <c r="C717" i="20"/>
  <c r="H716" i="20"/>
  <c r="G716" i="20"/>
  <c r="F716" i="20"/>
  <c r="E716" i="20"/>
  <c r="D716" i="20"/>
  <c r="C716" i="20"/>
  <c r="H715" i="20"/>
  <c r="G715" i="20"/>
  <c r="F715" i="20"/>
  <c r="E715" i="20"/>
  <c r="D715" i="20"/>
  <c r="C715" i="20"/>
  <c r="B699" i="20"/>
  <c r="B698" i="20"/>
  <c r="B697" i="20"/>
  <c r="B685" i="20"/>
  <c r="B682" i="20"/>
  <c r="B689" i="20" s="1"/>
  <c r="B691" i="20" s="1"/>
  <c r="B692" i="20" s="1"/>
  <c r="J661" i="20"/>
  <c r="I661" i="20"/>
  <c r="F661" i="20"/>
  <c r="E661" i="20"/>
  <c r="D661" i="20"/>
  <c r="H661" i="20" s="1"/>
  <c r="C661" i="20"/>
  <c r="G661" i="20" s="1"/>
  <c r="K661" i="20" s="1"/>
  <c r="J660" i="20"/>
  <c r="I660" i="20"/>
  <c r="H660" i="20"/>
  <c r="F660" i="20"/>
  <c r="E660" i="20"/>
  <c r="D660" i="20"/>
  <c r="C660" i="20"/>
  <c r="G660" i="20" s="1"/>
  <c r="K660" i="20" s="1"/>
  <c r="G652" i="20"/>
  <c r="F652" i="20"/>
  <c r="M652" i="20" s="1"/>
  <c r="N652" i="20" s="1"/>
  <c r="H652" i="20" s="1"/>
  <c r="E652" i="20"/>
  <c r="D652" i="20"/>
  <c r="C652" i="20"/>
  <c r="I652" i="20" s="1"/>
  <c r="L652" i="20" s="1"/>
  <c r="H637" i="20"/>
  <c r="G637" i="20"/>
  <c r="F637" i="20"/>
  <c r="E637" i="20"/>
  <c r="D637" i="20"/>
  <c r="C637" i="20"/>
  <c r="H636" i="20"/>
  <c r="B673" i="20" s="1"/>
  <c r="B703" i="20" s="1"/>
  <c r="G636" i="20"/>
  <c r="F636" i="20"/>
  <c r="E636" i="20"/>
  <c r="D636" i="20"/>
  <c r="C636" i="20"/>
  <c r="B618" i="20"/>
  <c r="B620" i="20" s="1"/>
  <c r="B619" i="20" s="1"/>
  <c r="B612" i="20"/>
  <c r="B613" i="20" s="1"/>
  <c r="B610" i="20"/>
  <c r="G610" i="20" s="1"/>
  <c r="B606" i="20"/>
  <c r="B607" i="20" s="1"/>
  <c r="B603" i="20"/>
  <c r="J583" i="20"/>
  <c r="I583" i="20"/>
  <c r="F583" i="20"/>
  <c r="E583" i="20"/>
  <c r="D583" i="20"/>
  <c r="H583" i="20" s="1"/>
  <c r="C583" i="20"/>
  <c r="G583" i="20" s="1"/>
  <c r="K583" i="20" s="1"/>
  <c r="J582" i="20"/>
  <c r="I582" i="20"/>
  <c r="H582" i="20"/>
  <c r="F582" i="20"/>
  <c r="E582" i="20"/>
  <c r="D582" i="20"/>
  <c r="C582" i="20"/>
  <c r="G582" i="20" s="1"/>
  <c r="K582" i="20" s="1"/>
  <c r="J581" i="20"/>
  <c r="I581" i="20"/>
  <c r="F581" i="20"/>
  <c r="E581" i="20"/>
  <c r="D581" i="20"/>
  <c r="H581" i="20" s="1"/>
  <c r="C581" i="20"/>
  <c r="G581" i="20" s="1"/>
  <c r="M573" i="20"/>
  <c r="G573" i="20"/>
  <c r="F573" i="20"/>
  <c r="E573" i="20"/>
  <c r="D573" i="20"/>
  <c r="C573" i="20"/>
  <c r="I573" i="20" s="1"/>
  <c r="L573" i="20" s="1"/>
  <c r="H559" i="20"/>
  <c r="G559" i="20"/>
  <c r="F559" i="20"/>
  <c r="E559" i="20"/>
  <c r="D559" i="20"/>
  <c r="C559" i="20"/>
  <c r="H558" i="20"/>
  <c r="G558" i="20"/>
  <c r="F558" i="20"/>
  <c r="E558" i="20"/>
  <c r="D558" i="20"/>
  <c r="C558" i="20"/>
  <c r="H557" i="20"/>
  <c r="B594" i="20" s="1"/>
  <c r="B624" i="20" s="1"/>
  <c r="G557" i="20"/>
  <c r="F557" i="20"/>
  <c r="E557" i="20"/>
  <c r="D557" i="20"/>
  <c r="C557" i="20"/>
  <c r="B539" i="20"/>
  <c r="B541" i="20" s="1"/>
  <c r="B540" i="20" s="1"/>
  <c r="B528" i="20"/>
  <c r="B527" i="20"/>
  <c r="B524" i="20"/>
  <c r="B531" i="20" s="1"/>
  <c r="B533" i="20" s="1"/>
  <c r="B534" i="20" s="1"/>
  <c r="J504" i="20"/>
  <c r="I504" i="20"/>
  <c r="H504" i="20"/>
  <c r="F504" i="20"/>
  <c r="E504" i="20"/>
  <c r="D504" i="20"/>
  <c r="C504" i="20"/>
  <c r="G504" i="20" s="1"/>
  <c r="K504" i="20" s="1"/>
  <c r="J503" i="20"/>
  <c r="I503" i="20"/>
  <c r="F503" i="20"/>
  <c r="E503" i="20"/>
  <c r="D503" i="20"/>
  <c r="H503" i="20" s="1"/>
  <c r="C503" i="20"/>
  <c r="G503" i="20" s="1"/>
  <c r="K503" i="20" s="1"/>
  <c r="J502" i="20"/>
  <c r="I502" i="20"/>
  <c r="H502" i="20"/>
  <c r="F502" i="20"/>
  <c r="E502" i="20"/>
  <c r="D502" i="20"/>
  <c r="C502" i="20"/>
  <c r="G502" i="20" s="1"/>
  <c r="H483" i="20"/>
  <c r="G483" i="20"/>
  <c r="F483" i="20"/>
  <c r="E483" i="20"/>
  <c r="D483" i="20"/>
  <c r="C483" i="20"/>
  <c r="H482" i="20"/>
  <c r="G482" i="20"/>
  <c r="F482" i="20"/>
  <c r="E482" i="20"/>
  <c r="D482" i="20"/>
  <c r="C482" i="20"/>
  <c r="H481" i="20"/>
  <c r="G481" i="20"/>
  <c r="F481" i="20"/>
  <c r="E481" i="20"/>
  <c r="D481" i="20"/>
  <c r="C481" i="20"/>
  <c r="H480" i="20"/>
  <c r="G480" i="20"/>
  <c r="F480" i="20"/>
  <c r="E480" i="20"/>
  <c r="D480" i="20"/>
  <c r="C480" i="20"/>
  <c r="H479" i="20"/>
  <c r="G479" i="20"/>
  <c r="F479" i="20"/>
  <c r="E479" i="20"/>
  <c r="D479" i="20"/>
  <c r="C479" i="20"/>
  <c r="H478" i="20"/>
  <c r="B515" i="20" s="1"/>
  <c r="G478" i="20"/>
  <c r="F478" i="20"/>
  <c r="E478" i="20"/>
  <c r="D478" i="20"/>
  <c r="C478" i="20"/>
  <c r="B461" i="20"/>
  <c r="B463" i="20" s="1"/>
  <c r="B462" i="20" s="1"/>
  <c r="B453" i="20"/>
  <c r="G453" i="20" s="1"/>
  <c r="B449" i="20"/>
  <c r="B450" i="20" s="1"/>
  <c r="B446" i="20"/>
  <c r="J428" i="20"/>
  <c r="I428" i="20"/>
  <c r="F428" i="20"/>
  <c r="E428" i="20"/>
  <c r="D428" i="20"/>
  <c r="H428" i="20" s="1"/>
  <c r="C428" i="20"/>
  <c r="G428" i="20" s="1"/>
  <c r="K428" i="20" s="1"/>
  <c r="J427" i="20"/>
  <c r="I427" i="20"/>
  <c r="H427" i="20"/>
  <c r="F427" i="20"/>
  <c r="E427" i="20"/>
  <c r="D427" i="20"/>
  <c r="C427" i="20"/>
  <c r="G427" i="20" s="1"/>
  <c r="K427" i="20" s="1"/>
  <c r="J426" i="20"/>
  <c r="I426" i="20"/>
  <c r="F426" i="20"/>
  <c r="E426" i="20"/>
  <c r="D426" i="20"/>
  <c r="H426" i="20" s="1"/>
  <c r="C426" i="20"/>
  <c r="G426" i="20" s="1"/>
  <c r="K426" i="20" s="1"/>
  <c r="J425" i="20"/>
  <c r="I425" i="20"/>
  <c r="F425" i="20"/>
  <c r="E425" i="20"/>
  <c r="D425" i="20"/>
  <c r="H425" i="20" s="1"/>
  <c r="C425" i="20"/>
  <c r="G425" i="20" s="1"/>
  <c r="J424" i="20"/>
  <c r="I424" i="20"/>
  <c r="F424" i="20"/>
  <c r="E424" i="20"/>
  <c r="D424" i="20"/>
  <c r="H424" i="20" s="1"/>
  <c r="C424" i="20"/>
  <c r="G424" i="20" s="1"/>
  <c r="H402" i="20"/>
  <c r="G402" i="20"/>
  <c r="F402" i="20"/>
  <c r="E402" i="20"/>
  <c r="D402" i="20"/>
  <c r="C402" i="20"/>
  <c r="H401" i="20"/>
  <c r="G401" i="20"/>
  <c r="F401" i="20"/>
  <c r="E401" i="20"/>
  <c r="D401" i="20"/>
  <c r="C401" i="20"/>
  <c r="H400" i="20"/>
  <c r="B437" i="20" s="1"/>
  <c r="B467" i="20" s="1"/>
  <c r="G400" i="20"/>
  <c r="F400" i="20"/>
  <c r="E400" i="20"/>
  <c r="D400" i="20"/>
  <c r="C400" i="20"/>
  <c r="B385" i="20"/>
  <c r="B384" i="20"/>
  <c r="B383" i="20"/>
  <c r="B372" i="20"/>
  <c r="B371" i="20"/>
  <c r="B368" i="20"/>
  <c r="B375" i="20" s="1"/>
  <c r="B377" i="20" s="1"/>
  <c r="B378" i="20" s="1"/>
  <c r="J350" i="20"/>
  <c r="I350" i="20"/>
  <c r="H350" i="20"/>
  <c r="F350" i="20"/>
  <c r="E350" i="20"/>
  <c r="D350" i="20"/>
  <c r="C350" i="20"/>
  <c r="G350" i="20" s="1"/>
  <c r="K350" i="20" s="1"/>
  <c r="J349" i="20"/>
  <c r="I349" i="20"/>
  <c r="F349" i="20"/>
  <c r="E349" i="20"/>
  <c r="D349" i="20"/>
  <c r="H349" i="20" s="1"/>
  <c r="C349" i="20"/>
  <c r="G349" i="20" s="1"/>
  <c r="K349" i="20" s="1"/>
  <c r="J348" i="20"/>
  <c r="I348" i="20"/>
  <c r="H348" i="20"/>
  <c r="F348" i="20"/>
  <c r="E348" i="20"/>
  <c r="D348" i="20"/>
  <c r="C348" i="20"/>
  <c r="G348" i="20" s="1"/>
  <c r="K348" i="20" s="1"/>
  <c r="J347" i="20"/>
  <c r="I347" i="20"/>
  <c r="F347" i="20"/>
  <c r="E347" i="20"/>
  <c r="D347" i="20"/>
  <c r="H347" i="20" s="1"/>
  <c r="C347" i="20"/>
  <c r="G347" i="20" s="1"/>
  <c r="K347" i="20" s="1"/>
  <c r="J346" i="20"/>
  <c r="I346" i="20"/>
  <c r="H346" i="20"/>
  <c r="F346" i="20"/>
  <c r="E346" i="20"/>
  <c r="D346" i="20"/>
  <c r="C346" i="20"/>
  <c r="G346" i="20" s="1"/>
  <c r="K346" i="20" s="1"/>
  <c r="H325" i="20"/>
  <c r="G325" i="20"/>
  <c r="F325" i="20"/>
  <c r="E325" i="20"/>
  <c r="D325" i="20"/>
  <c r="C325" i="20"/>
  <c r="H324" i="20"/>
  <c r="G324" i="20"/>
  <c r="F324" i="20"/>
  <c r="E324" i="20"/>
  <c r="D324" i="20"/>
  <c r="C324" i="20"/>
  <c r="H323" i="20"/>
  <c r="G323" i="20"/>
  <c r="F323" i="20"/>
  <c r="E323" i="20"/>
  <c r="D323" i="20"/>
  <c r="C323" i="20"/>
  <c r="H322" i="20"/>
  <c r="B359" i="20" s="1"/>
  <c r="G322" i="20"/>
  <c r="F322" i="20"/>
  <c r="E322" i="20"/>
  <c r="D322" i="20"/>
  <c r="C322" i="20"/>
  <c r="B306" i="20"/>
  <c r="B305" i="20" s="1"/>
  <c r="B304" i="20"/>
  <c r="B296" i="20"/>
  <c r="G296" i="20" s="1"/>
  <c r="B292" i="20"/>
  <c r="B289" i="20"/>
  <c r="B280" i="20"/>
  <c r="J270" i="20"/>
  <c r="I270" i="20"/>
  <c r="F270" i="20"/>
  <c r="E270" i="20"/>
  <c r="D270" i="20"/>
  <c r="H270" i="20" s="1"/>
  <c r="C270" i="20"/>
  <c r="G270" i="20" s="1"/>
  <c r="J269" i="20"/>
  <c r="I269" i="20"/>
  <c r="F269" i="20"/>
  <c r="E269" i="20"/>
  <c r="D269" i="20"/>
  <c r="H269" i="20" s="1"/>
  <c r="C269" i="20"/>
  <c r="G269" i="20" s="1"/>
  <c r="K269" i="20" s="1"/>
  <c r="J268" i="20"/>
  <c r="I268" i="20"/>
  <c r="H268" i="20"/>
  <c r="F268" i="20"/>
  <c r="E268" i="20"/>
  <c r="D268" i="20"/>
  <c r="C268" i="20"/>
  <c r="G268" i="20" s="1"/>
  <c r="K268" i="20" s="1"/>
  <c r="J267" i="20"/>
  <c r="I267" i="20"/>
  <c r="F267" i="20"/>
  <c r="E267" i="20"/>
  <c r="D267" i="20"/>
  <c r="H267" i="20" s="1"/>
  <c r="C267" i="20"/>
  <c r="G267" i="20" s="1"/>
  <c r="K267" i="20" s="1"/>
  <c r="H246" i="20"/>
  <c r="G246" i="20"/>
  <c r="F246" i="20"/>
  <c r="E246" i="20"/>
  <c r="D246" i="20"/>
  <c r="C246" i="20"/>
  <c r="H245" i="20"/>
  <c r="G245" i="20"/>
  <c r="F245" i="20"/>
  <c r="E245" i="20"/>
  <c r="D245" i="20"/>
  <c r="C245" i="20"/>
  <c r="H244" i="20"/>
  <c r="G244" i="20"/>
  <c r="F244" i="20"/>
  <c r="E244" i="20"/>
  <c r="D244" i="20"/>
  <c r="C244" i="20"/>
  <c r="H243" i="20"/>
  <c r="G243" i="20"/>
  <c r="F243" i="20"/>
  <c r="E243" i="20"/>
  <c r="D243" i="20"/>
  <c r="C243" i="20"/>
  <c r="B227" i="20"/>
  <c r="B226" i="20"/>
  <c r="B225" i="20"/>
  <c r="B213" i="20"/>
  <c r="B210" i="20"/>
  <c r="B217" i="20" s="1"/>
  <c r="B219" i="20" s="1"/>
  <c r="B220" i="20" s="1"/>
  <c r="J190" i="20"/>
  <c r="I190" i="20"/>
  <c r="F190" i="20"/>
  <c r="E190" i="20"/>
  <c r="D190" i="20"/>
  <c r="H190" i="20" s="1"/>
  <c r="C190" i="20"/>
  <c r="G190" i="20" s="1"/>
  <c r="K190" i="20" s="1"/>
  <c r="J189" i="20"/>
  <c r="I189" i="20"/>
  <c r="H189" i="20"/>
  <c r="F189" i="20"/>
  <c r="E189" i="20"/>
  <c r="D189" i="20"/>
  <c r="C189" i="20"/>
  <c r="G189" i="20" s="1"/>
  <c r="K189" i="20" s="1"/>
  <c r="J188" i="20"/>
  <c r="I188" i="20"/>
  <c r="F188" i="20"/>
  <c r="E188" i="20"/>
  <c r="D188" i="20"/>
  <c r="H188" i="20" s="1"/>
  <c r="C188" i="20"/>
  <c r="G188" i="20" s="1"/>
  <c r="K188" i="20" s="1"/>
  <c r="M180" i="20"/>
  <c r="G180" i="20"/>
  <c r="F180" i="20"/>
  <c r="E180" i="20"/>
  <c r="D180" i="20"/>
  <c r="C180" i="20"/>
  <c r="I180" i="20" s="1"/>
  <c r="L180" i="20" s="1"/>
  <c r="H165" i="20"/>
  <c r="G165" i="20"/>
  <c r="F165" i="20"/>
  <c r="E165" i="20"/>
  <c r="D165" i="20"/>
  <c r="C165" i="20"/>
  <c r="H164" i="20"/>
  <c r="G164" i="20"/>
  <c r="F164" i="20"/>
  <c r="E164" i="20"/>
  <c r="D164" i="20"/>
  <c r="C164" i="20"/>
  <c r="B127" i="20"/>
  <c r="B48" i="20"/>
  <c r="B22" i="20"/>
  <c r="F22" i="20" s="1"/>
  <c r="B21" i="20"/>
  <c r="V12" i="20"/>
  <c r="V11" i="20"/>
  <c r="V10" i="20"/>
  <c r="V9" i="20"/>
  <c r="V8" i="20"/>
  <c r="V7" i="20"/>
  <c r="B127" i="19"/>
  <c r="B48" i="19"/>
  <c r="B51" i="19" s="1"/>
  <c r="B58" i="19" s="1"/>
  <c r="G58" i="19" s="1"/>
  <c r="B133" i="19"/>
  <c r="B130" i="19"/>
  <c r="B137" i="19" s="1"/>
  <c r="F109" i="19"/>
  <c r="E109" i="19"/>
  <c r="D109" i="19"/>
  <c r="H109" i="19" s="1"/>
  <c r="C109" i="19"/>
  <c r="G109" i="19" s="1"/>
  <c r="F108" i="19"/>
  <c r="E108" i="19"/>
  <c r="D108" i="19"/>
  <c r="H108" i="19" s="1"/>
  <c r="C108" i="19"/>
  <c r="G108" i="19" s="1"/>
  <c r="F92" i="19"/>
  <c r="E92" i="19"/>
  <c r="D92" i="19"/>
  <c r="C92" i="19"/>
  <c r="F91" i="19"/>
  <c r="E91" i="19"/>
  <c r="D91" i="19"/>
  <c r="C91" i="19"/>
  <c r="F90" i="19"/>
  <c r="E90" i="19"/>
  <c r="D90" i="19"/>
  <c r="C90" i="19"/>
  <c r="F89" i="19"/>
  <c r="E89" i="19"/>
  <c r="D89" i="19"/>
  <c r="C89" i="19"/>
  <c r="F88" i="19"/>
  <c r="E88" i="19"/>
  <c r="D88" i="19"/>
  <c r="C88" i="19"/>
  <c r="F87" i="19"/>
  <c r="E87" i="19"/>
  <c r="D87" i="19"/>
  <c r="C87" i="19"/>
  <c r="F86" i="19"/>
  <c r="E86" i="19"/>
  <c r="D86" i="19"/>
  <c r="C86" i="19"/>
  <c r="F85" i="19"/>
  <c r="E85" i="19"/>
  <c r="D85" i="19"/>
  <c r="C85" i="19"/>
  <c r="F84" i="19"/>
  <c r="E84" i="19"/>
  <c r="D84" i="19"/>
  <c r="C84" i="19"/>
  <c r="B66" i="19"/>
  <c r="B54" i="19"/>
  <c r="F34" i="19"/>
  <c r="E34" i="19"/>
  <c r="D34" i="19"/>
  <c r="H34" i="19" s="1"/>
  <c r="C34" i="19"/>
  <c r="G34" i="19" s="1"/>
  <c r="F33" i="19"/>
  <c r="E33" i="19"/>
  <c r="D33" i="19"/>
  <c r="H33" i="19" s="1"/>
  <c r="C33" i="19"/>
  <c r="G33" i="19" s="1"/>
  <c r="K28" i="19"/>
  <c r="I28" i="19"/>
  <c r="E28" i="19"/>
  <c r="D28" i="19"/>
  <c r="C28" i="19"/>
  <c r="F22" i="19"/>
  <c r="E22" i="19"/>
  <c r="D22" i="19"/>
  <c r="C22" i="19"/>
  <c r="F21" i="19"/>
  <c r="E21" i="19"/>
  <c r="D21" i="19"/>
  <c r="C21" i="19"/>
  <c r="E19" i="19"/>
  <c r="C19" i="19"/>
  <c r="B19" i="19"/>
  <c r="F19" i="19" s="1"/>
  <c r="D18" i="19"/>
  <c r="B18" i="19"/>
  <c r="E18" i="19" s="1"/>
  <c r="E17" i="19"/>
  <c r="D17" i="19"/>
  <c r="C17" i="19"/>
  <c r="B17" i="19"/>
  <c r="F17" i="19" s="1"/>
  <c r="B16" i="19"/>
  <c r="E15" i="19"/>
  <c r="C15" i="19"/>
  <c r="B15" i="19"/>
  <c r="F15" i="19" s="1"/>
  <c r="D14" i="19"/>
  <c r="B14" i="19"/>
  <c r="E14" i="19" s="1"/>
  <c r="E13" i="19"/>
  <c r="D13" i="19"/>
  <c r="C13" i="19"/>
  <c r="B13" i="19"/>
  <c r="F13" i="19" s="1"/>
  <c r="B12" i="19"/>
  <c r="B778" i="19"/>
  <c r="B777" i="19"/>
  <c r="B776" i="19"/>
  <c r="B764" i="19"/>
  <c r="B761" i="19"/>
  <c r="B768" i="19" s="1"/>
  <c r="B770" i="19" s="1"/>
  <c r="B771" i="19" s="1"/>
  <c r="J750" i="19"/>
  <c r="I750" i="19"/>
  <c r="F750" i="19"/>
  <c r="E750" i="19"/>
  <c r="D750" i="19"/>
  <c r="H750" i="19" s="1"/>
  <c r="C750" i="19"/>
  <c r="G750" i="19" s="1"/>
  <c r="K750" i="19" s="1"/>
  <c r="J749" i="19"/>
  <c r="I749" i="19"/>
  <c r="F749" i="19"/>
  <c r="E749" i="19"/>
  <c r="D749" i="19"/>
  <c r="H749" i="19" s="1"/>
  <c r="C749" i="19"/>
  <c r="G749" i="19" s="1"/>
  <c r="K749" i="19" s="1"/>
  <c r="J748" i="19"/>
  <c r="I748" i="19"/>
  <c r="F748" i="19"/>
  <c r="E748" i="19"/>
  <c r="D748" i="19"/>
  <c r="H748" i="19" s="1"/>
  <c r="C748" i="19"/>
  <c r="G748" i="19" s="1"/>
  <c r="K748" i="19" s="1"/>
  <c r="J747" i="19"/>
  <c r="I747" i="19"/>
  <c r="F747" i="19"/>
  <c r="E747" i="19"/>
  <c r="D747" i="19"/>
  <c r="H747" i="19" s="1"/>
  <c r="C747" i="19"/>
  <c r="G747" i="19" s="1"/>
  <c r="J746" i="19"/>
  <c r="I746" i="19"/>
  <c r="F746" i="19"/>
  <c r="E746" i="19"/>
  <c r="D746" i="19"/>
  <c r="H746" i="19" s="1"/>
  <c r="C746" i="19"/>
  <c r="G746" i="19" s="1"/>
  <c r="J745" i="19"/>
  <c r="I745" i="19"/>
  <c r="F745" i="19"/>
  <c r="E745" i="19"/>
  <c r="D745" i="19"/>
  <c r="H745" i="19" s="1"/>
  <c r="C745" i="19"/>
  <c r="G745" i="19" s="1"/>
  <c r="J744" i="19"/>
  <c r="I744" i="19"/>
  <c r="F744" i="19"/>
  <c r="E744" i="19"/>
  <c r="D744" i="19"/>
  <c r="H744" i="19" s="1"/>
  <c r="C744" i="19"/>
  <c r="G744" i="19" s="1"/>
  <c r="K744" i="19" s="1"/>
  <c r="J743" i="19"/>
  <c r="I743" i="19"/>
  <c r="H743" i="19"/>
  <c r="F743" i="19"/>
  <c r="E743" i="19"/>
  <c r="D743" i="19"/>
  <c r="C743" i="19"/>
  <c r="G743" i="19" s="1"/>
  <c r="K743" i="19" s="1"/>
  <c r="J742" i="19"/>
  <c r="I742" i="19"/>
  <c r="F742" i="19"/>
  <c r="E742" i="19"/>
  <c r="D742" i="19"/>
  <c r="H742" i="19" s="1"/>
  <c r="C742" i="19"/>
  <c r="G742" i="19" s="1"/>
  <c r="K742" i="19" s="1"/>
  <c r="J741" i="19"/>
  <c r="I741" i="19"/>
  <c r="F741" i="19"/>
  <c r="E741" i="19"/>
  <c r="D741" i="19"/>
  <c r="H741" i="19" s="1"/>
  <c r="C741" i="19"/>
  <c r="G741" i="19" s="1"/>
  <c r="K741" i="19" s="1"/>
  <c r="J740" i="19"/>
  <c r="I740" i="19"/>
  <c r="F740" i="19"/>
  <c r="E740" i="19"/>
  <c r="D740" i="19"/>
  <c r="H740" i="19" s="1"/>
  <c r="C740" i="19"/>
  <c r="G740" i="19" s="1"/>
  <c r="J739" i="19"/>
  <c r="I739" i="19"/>
  <c r="H739" i="19"/>
  <c r="F739" i="19"/>
  <c r="E739" i="19"/>
  <c r="D739" i="19"/>
  <c r="C739" i="19"/>
  <c r="G739" i="19" s="1"/>
  <c r="K739" i="19" s="1"/>
  <c r="L731" i="19"/>
  <c r="G731" i="19"/>
  <c r="F731" i="19"/>
  <c r="M731" i="19" s="1"/>
  <c r="N731" i="19" s="1"/>
  <c r="H731" i="19" s="1"/>
  <c r="E731" i="19"/>
  <c r="D731" i="19"/>
  <c r="C731" i="19"/>
  <c r="I731" i="19" s="1"/>
  <c r="H717" i="19"/>
  <c r="G717" i="19"/>
  <c r="F717" i="19"/>
  <c r="E717" i="19"/>
  <c r="D717" i="19"/>
  <c r="C717" i="19"/>
  <c r="H716" i="19"/>
  <c r="G716" i="19"/>
  <c r="F716" i="19"/>
  <c r="E716" i="19"/>
  <c r="D716" i="19"/>
  <c r="C716" i="19"/>
  <c r="H715" i="19"/>
  <c r="G715" i="19"/>
  <c r="F715" i="19"/>
  <c r="E715" i="19"/>
  <c r="D715" i="19"/>
  <c r="C715" i="19"/>
  <c r="B703" i="19"/>
  <c r="B699" i="19"/>
  <c r="B698" i="19" s="1"/>
  <c r="B697" i="19"/>
  <c r="B685" i="19"/>
  <c r="B682" i="19"/>
  <c r="B689" i="19" s="1"/>
  <c r="G689" i="19" s="1"/>
  <c r="J661" i="19"/>
  <c r="I661" i="19"/>
  <c r="F661" i="19"/>
  <c r="E661" i="19"/>
  <c r="D661" i="19"/>
  <c r="H661" i="19" s="1"/>
  <c r="C661" i="19"/>
  <c r="G661" i="19" s="1"/>
  <c r="K661" i="19" s="1"/>
  <c r="J660" i="19"/>
  <c r="I660" i="19"/>
  <c r="F660" i="19"/>
  <c r="E660" i="19"/>
  <c r="D660" i="19"/>
  <c r="H660" i="19" s="1"/>
  <c r="C660" i="19"/>
  <c r="G660" i="19" s="1"/>
  <c r="L652" i="19"/>
  <c r="I652" i="19"/>
  <c r="G652" i="19"/>
  <c r="F652" i="19"/>
  <c r="M652" i="19" s="1"/>
  <c r="E652" i="19"/>
  <c r="D652" i="19"/>
  <c r="C652" i="19"/>
  <c r="H637" i="19"/>
  <c r="G637" i="19"/>
  <c r="F637" i="19"/>
  <c r="E637" i="19"/>
  <c r="D637" i="19"/>
  <c r="C637" i="19"/>
  <c r="H636" i="19"/>
  <c r="B673" i="19" s="1"/>
  <c r="G636" i="19"/>
  <c r="F636" i="19"/>
  <c r="E636" i="19"/>
  <c r="D636" i="19"/>
  <c r="C636" i="19"/>
  <c r="B618" i="19"/>
  <c r="B620" i="19" s="1"/>
  <c r="B619" i="19" s="1"/>
  <c r="B610" i="19"/>
  <c r="B607" i="19"/>
  <c r="B606" i="19"/>
  <c r="B603" i="19"/>
  <c r="B594" i="19"/>
  <c r="J583" i="19"/>
  <c r="I583" i="19"/>
  <c r="F583" i="19"/>
  <c r="E583" i="19"/>
  <c r="D583" i="19"/>
  <c r="H583" i="19" s="1"/>
  <c r="C583" i="19"/>
  <c r="G583" i="19" s="1"/>
  <c r="J582" i="19"/>
  <c r="I582" i="19"/>
  <c r="F582" i="19"/>
  <c r="E582" i="19"/>
  <c r="D582" i="19"/>
  <c r="H582" i="19" s="1"/>
  <c r="C582" i="19"/>
  <c r="G582" i="19" s="1"/>
  <c r="J581" i="19"/>
  <c r="I581" i="19"/>
  <c r="F581" i="19"/>
  <c r="E581" i="19"/>
  <c r="D581" i="19"/>
  <c r="H581" i="19" s="1"/>
  <c r="C581" i="19"/>
  <c r="G581" i="19" s="1"/>
  <c r="K581" i="19" s="1"/>
  <c r="I573" i="19"/>
  <c r="L573" i="19" s="1"/>
  <c r="G573" i="19"/>
  <c r="F573" i="19"/>
  <c r="M573" i="19" s="1"/>
  <c r="N573" i="19" s="1"/>
  <c r="H573" i="19" s="1"/>
  <c r="E573" i="19"/>
  <c r="D573" i="19"/>
  <c r="C573" i="19"/>
  <c r="H559" i="19"/>
  <c r="G559" i="19"/>
  <c r="F559" i="19"/>
  <c r="E559" i="19"/>
  <c r="D559" i="19"/>
  <c r="C559" i="19"/>
  <c r="H558" i="19"/>
  <c r="G558" i="19"/>
  <c r="F558" i="19"/>
  <c r="E558" i="19"/>
  <c r="D558" i="19"/>
  <c r="C558" i="19"/>
  <c r="H557" i="19"/>
  <c r="G557" i="19"/>
  <c r="F557" i="19"/>
  <c r="E557" i="19"/>
  <c r="D557" i="19"/>
  <c r="C557" i="19"/>
  <c r="B539" i="19"/>
  <c r="B541" i="19" s="1"/>
  <c r="B540" i="19" s="1"/>
  <c r="B527" i="19"/>
  <c r="B528" i="19" s="1"/>
  <c r="B524" i="19"/>
  <c r="B531" i="19" s="1"/>
  <c r="J504" i="19"/>
  <c r="I504" i="19"/>
  <c r="F504" i="19"/>
  <c r="E504" i="19"/>
  <c r="D504" i="19"/>
  <c r="H504" i="19" s="1"/>
  <c r="C504" i="19"/>
  <c r="G504" i="19" s="1"/>
  <c r="J503" i="19"/>
  <c r="I503" i="19"/>
  <c r="F503" i="19"/>
  <c r="E503" i="19"/>
  <c r="D503" i="19"/>
  <c r="H503" i="19" s="1"/>
  <c r="C503" i="19"/>
  <c r="G503" i="19" s="1"/>
  <c r="K503" i="19" s="1"/>
  <c r="J502" i="19"/>
  <c r="I502" i="19"/>
  <c r="F502" i="19"/>
  <c r="E502" i="19"/>
  <c r="D502" i="19"/>
  <c r="H502" i="19" s="1"/>
  <c r="C502" i="19"/>
  <c r="G502" i="19" s="1"/>
  <c r="H483" i="19"/>
  <c r="G483" i="19"/>
  <c r="F483" i="19"/>
  <c r="E483" i="19"/>
  <c r="D483" i="19"/>
  <c r="C483" i="19"/>
  <c r="H482" i="19"/>
  <c r="G482" i="19"/>
  <c r="F482" i="19"/>
  <c r="E482" i="19"/>
  <c r="D482" i="19"/>
  <c r="C482" i="19"/>
  <c r="H481" i="19"/>
  <c r="G481" i="19"/>
  <c r="F481" i="19"/>
  <c r="E481" i="19"/>
  <c r="D481" i="19"/>
  <c r="C481" i="19"/>
  <c r="H480" i="19"/>
  <c r="G480" i="19"/>
  <c r="F480" i="19"/>
  <c r="E480" i="19"/>
  <c r="D480" i="19"/>
  <c r="C480" i="19"/>
  <c r="H479" i="19"/>
  <c r="G479" i="19"/>
  <c r="F479" i="19"/>
  <c r="E479" i="19"/>
  <c r="D479" i="19"/>
  <c r="C479" i="19"/>
  <c r="H478" i="19"/>
  <c r="B515" i="19" s="1"/>
  <c r="B545" i="19" s="1"/>
  <c r="G478" i="19"/>
  <c r="F478" i="19"/>
  <c r="E478" i="19"/>
  <c r="D478" i="19"/>
  <c r="C478" i="19"/>
  <c r="B463" i="19"/>
  <c r="B462" i="19"/>
  <c r="B461" i="19"/>
  <c r="B455" i="19"/>
  <c r="B456" i="19" s="1"/>
  <c r="B449" i="19"/>
  <c r="B450" i="19" s="1"/>
  <c r="B446" i="19"/>
  <c r="B453" i="19" s="1"/>
  <c r="G453" i="19" s="1"/>
  <c r="J428" i="19"/>
  <c r="I428" i="19"/>
  <c r="F428" i="19"/>
  <c r="E428" i="19"/>
  <c r="D428" i="19"/>
  <c r="H428" i="19" s="1"/>
  <c r="C428" i="19"/>
  <c r="G428" i="19" s="1"/>
  <c r="K428" i="19" s="1"/>
  <c r="J427" i="19"/>
  <c r="I427" i="19"/>
  <c r="F427" i="19"/>
  <c r="E427" i="19"/>
  <c r="D427" i="19"/>
  <c r="H427" i="19" s="1"/>
  <c r="C427" i="19"/>
  <c r="G427" i="19" s="1"/>
  <c r="K427" i="19" s="1"/>
  <c r="J426" i="19"/>
  <c r="I426" i="19"/>
  <c r="F426" i="19"/>
  <c r="E426" i="19"/>
  <c r="D426" i="19"/>
  <c r="H426" i="19" s="1"/>
  <c r="C426" i="19"/>
  <c r="G426" i="19" s="1"/>
  <c r="J425" i="19"/>
  <c r="I425" i="19"/>
  <c r="F425" i="19"/>
  <c r="E425" i="19"/>
  <c r="D425" i="19"/>
  <c r="H425" i="19" s="1"/>
  <c r="C425" i="19"/>
  <c r="G425" i="19" s="1"/>
  <c r="J424" i="19"/>
  <c r="I424" i="19"/>
  <c r="F424" i="19"/>
  <c r="E424" i="19"/>
  <c r="D424" i="19"/>
  <c r="H424" i="19" s="1"/>
  <c r="C424" i="19"/>
  <c r="G424" i="19" s="1"/>
  <c r="K424" i="19" s="1"/>
  <c r="H402" i="19"/>
  <c r="G402" i="19"/>
  <c r="F402" i="19"/>
  <c r="E402" i="19"/>
  <c r="D402" i="19"/>
  <c r="C402" i="19"/>
  <c r="H401" i="19"/>
  <c r="G401" i="19"/>
  <c r="F401" i="19"/>
  <c r="E401" i="19"/>
  <c r="D401" i="19"/>
  <c r="C401" i="19"/>
  <c r="H400" i="19"/>
  <c r="B437" i="19" s="1"/>
  <c r="G400" i="19"/>
  <c r="F400" i="19"/>
  <c r="E400" i="19"/>
  <c r="D400" i="19"/>
  <c r="C400" i="19"/>
  <c r="B385" i="19"/>
  <c r="B384" i="19" s="1"/>
  <c r="B383" i="19"/>
  <c r="B377" i="19"/>
  <c r="B378" i="19" s="1"/>
  <c r="B371" i="19"/>
  <c r="B372" i="19" s="1"/>
  <c r="B368" i="19"/>
  <c r="B375" i="19" s="1"/>
  <c r="G375" i="19" s="1"/>
  <c r="B359" i="19"/>
  <c r="J350" i="19"/>
  <c r="I350" i="19"/>
  <c r="F350" i="19"/>
  <c r="E350" i="19"/>
  <c r="D350" i="19"/>
  <c r="H350" i="19" s="1"/>
  <c r="C350" i="19"/>
  <c r="G350" i="19" s="1"/>
  <c r="K350" i="19" s="1"/>
  <c r="J349" i="19"/>
  <c r="I349" i="19"/>
  <c r="H349" i="19"/>
  <c r="F349" i="19"/>
  <c r="E349" i="19"/>
  <c r="D349" i="19"/>
  <c r="C349" i="19"/>
  <c r="G349" i="19" s="1"/>
  <c r="K349" i="19" s="1"/>
  <c r="J348" i="19"/>
  <c r="I348" i="19"/>
  <c r="F348" i="19"/>
  <c r="E348" i="19"/>
  <c r="D348" i="19"/>
  <c r="H348" i="19" s="1"/>
  <c r="C348" i="19"/>
  <c r="G348" i="19" s="1"/>
  <c r="K348" i="19" s="1"/>
  <c r="J347" i="19"/>
  <c r="I347" i="19"/>
  <c r="F347" i="19"/>
  <c r="E347" i="19"/>
  <c r="D347" i="19"/>
  <c r="H347" i="19" s="1"/>
  <c r="C347" i="19"/>
  <c r="G347" i="19" s="1"/>
  <c r="K347" i="19" s="1"/>
  <c r="J346" i="19"/>
  <c r="I346" i="19"/>
  <c r="F346" i="19"/>
  <c r="E346" i="19"/>
  <c r="D346" i="19"/>
  <c r="H346" i="19" s="1"/>
  <c r="C346" i="19"/>
  <c r="G346" i="19" s="1"/>
  <c r="K346" i="19" s="1"/>
  <c r="H325" i="19"/>
  <c r="G325" i="19"/>
  <c r="F325" i="19"/>
  <c r="E325" i="19"/>
  <c r="D325" i="19"/>
  <c r="C325" i="19"/>
  <c r="H324" i="19"/>
  <c r="G324" i="19"/>
  <c r="F324" i="19"/>
  <c r="E324" i="19"/>
  <c r="D324" i="19"/>
  <c r="C324" i="19"/>
  <c r="H323" i="19"/>
  <c r="G323" i="19"/>
  <c r="F323" i="19"/>
  <c r="E323" i="19"/>
  <c r="D323" i="19"/>
  <c r="C323" i="19"/>
  <c r="H322" i="19"/>
  <c r="G322" i="19"/>
  <c r="F322" i="19"/>
  <c r="E322" i="19"/>
  <c r="D322" i="19"/>
  <c r="C322" i="19"/>
  <c r="B306" i="19"/>
  <c r="B305" i="19" s="1"/>
  <c r="B304" i="19"/>
  <c r="G296" i="19"/>
  <c r="B292" i="19"/>
  <c r="B289" i="19"/>
  <c r="B296" i="19" s="1"/>
  <c r="B298" i="19" s="1"/>
  <c r="B299" i="19" s="1"/>
  <c r="J270" i="19"/>
  <c r="I270" i="19"/>
  <c r="F270" i="19"/>
  <c r="E270" i="19"/>
  <c r="D270" i="19"/>
  <c r="H270" i="19" s="1"/>
  <c r="C270" i="19"/>
  <c r="G270" i="19" s="1"/>
  <c r="J269" i="19"/>
  <c r="I269" i="19"/>
  <c r="F269" i="19"/>
  <c r="E269" i="19"/>
  <c r="D269" i="19"/>
  <c r="H269" i="19" s="1"/>
  <c r="C269" i="19"/>
  <c r="G269" i="19" s="1"/>
  <c r="K269" i="19" s="1"/>
  <c r="J268" i="19"/>
  <c r="I268" i="19"/>
  <c r="F268" i="19"/>
  <c r="E268" i="19"/>
  <c r="D268" i="19"/>
  <c r="H268" i="19" s="1"/>
  <c r="C268" i="19"/>
  <c r="G268" i="19" s="1"/>
  <c r="K268" i="19" s="1"/>
  <c r="J267" i="19"/>
  <c r="I267" i="19"/>
  <c r="F267" i="19"/>
  <c r="E267" i="19"/>
  <c r="D267" i="19"/>
  <c r="H267" i="19" s="1"/>
  <c r="C267" i="19"/>
  <c r="G267" i="19" s="1"/>
  <c r="H246" i="19"/>
  <c r="G246" i="19"/>
  <c r="F246" i="19"/>
  <c r="E246" i="19"/>
  <c r="D246" i="19"/>
  <c r="C246" i="19"/>
  <c r="H245" i="19"/>
  <c r="G245" i="19"/>
  <c r="F245" i="19"/>
  <c r="E245" i="19"/>
  <c r="D245" i="19"/>
  <c r="C245" i="19"/>
  <c r="H244" i="19"/>
  <c r="G244" i="19"/>
  <c r="F244" i="19"/>
  <c r="E244" i="19"/>
  <c r="D244" i="19"/>
  <c r="C244" i="19"/>
  <c r="H243" i="19"/>
  <c r="B280" i="19" s="1"/>
  <c r="B310" i="19" s="1"/>
  <c r="G243" i="19"/>
  <c r="F243" i="19"/>
  <c r="E243" i="19"/>
  <c r="D243" i="19"/>
  <c r="C243" i="19"/>
  <c r="B227" i="19"/>
  <c r="B226" i="19" s="1"/>
  <c r="B225" i="19"/>
  <c r="B213" i="19"/>
  <c r="B210" i="19"/>
  <c r="B217" i="19" s="1"/>
  <c r="G217" i="19" s="1"/>
  <c r="J190" i="19"/>
  <c r="I190" i="19"/>
  <c r="F190" i="19"/>
  <c r="E190" i="19"/>
  <c r="D190" i="19"/>
  <c r="H190" i="19" s="1"/>
  <c r="C190" i="19"/>
  <c r="G190" i="19" s="1"/>
  <c r="K190" i="19" s="1"/>
  <c r="J189" i="19"/>
  <c r="I189" i="19"/>
  <c r="F189" i="19"/>
  <c r="E189" i="19"/>
  <c r="D189" i="19"/>
  <c r="H189" i="19" s="1"/>
  <c r="C189" i="19"/>
  <c r="G189" i="19" s="1"/>
  <c r="J188" i="19"/>
  <c r="I188" i="19"/>
  <c r="H188" i="19"/>
  <c r="F188" i="19"/>
  <c r="E188" i="19"/>
  <c r="D188" i="19"/>
  <c r="C188" i="19"/>
  <c r="G188" i="19" s="1"/>
  <c r="K188" i="19" s="1"/>
  <c r="L180" i="19"/>
  <c r="G180" i="19"/>
  <c r="F180" i="19"/>
  <c r="M180" i="19" s="1"/>
  <c r="N180" i="19" s="1"/>
  <c r="H180" i="19" s="1"/>
  <c r="E180" i="19"/>
  <c r="D180" i="19"/>
  <c r="C180" i="19"/>
  <c r="I180" i="19" s="1"/>
  <c r="H165" i="19"/>
  <c r="G165" i="19"/>
  <c r="F165" i="19"/>
  <c r="E165" i="19"/>
  <c r="D165" i="19"/>
  <c r="C165" i="19"/>
  <c r="H164" i="19"/>
  <c r="G164" i="19"/>
  <c r="F164" i="19"/>
  <c r="E164" i="19"/>
  <c r="D164" i="19"/>
  <c r="C164" i="19"/>
  <c r="B145" i="19"/>
  <c r="B147" i="19" s="1"/>
  <c r="B146" i="19" s="1"/>
  <c r="B68" i="19"/>
  <c r="B67" i="19" s="1"/>
  <c r="J28" i="19"/>
  <c r="B22" i="19"/>
  <c r="B21" i="19"/>
  <c r="V12" i="19"/>
  <c r="V11" i="19"/>
  <c r="V10" i="19"/>
  <c r="V9" i="19"/>
  <c r="V8" i="19"/>
  <c r="V7" i="19"/>
  <c r="AP40" i="6"/>
  <c r="AP24" i="6"/>
  <c r="AP37" i="6"/>
  <c r="AP23" i="6"/>
  <c r="AP22" i="6"/>
  <c r="AP19" i="6"/>
  <c r="AP47" i="6"/>
  <c r="AP46" i="6"/>
  <c r="AP35" i="6"/>
  <c r="AP34" i="6"/>
  <c r="AP33" i="6"/>
  <c r="AP16" i="6"/>
  <c r="AP17" i="6"/>
  <c r="AP15" i="6"/>
  <c r="AP14" i="6"/>
  <c r="D12" i="20" l="1"/>
  <c r="D22" i="20"/>
  <c r="C15" i="20"/>
  <c r="C16" i="20"/>
  <c r="K108" i="20"/>
  <c r="D15" i="20"/>
  <c r="F21" i="20"/>
  <c r="E21" i="20"/>
  <c r="C22" i="20"/>
  <c r="D16" i="20"/>
  <c r="C19" i="20"/>
  <c r="C21" i="20"/>
  <c r="C12" i="20"/>
  <c r="D19" i="20"/>
  <c r="D21" i="20"/>
  <c r="K34" i="20"/>
  <c r="K33" i="19"/>
  <c r="K33" i="20"/>
  <c r="F17" i="20"/>
  <c r="C13" i="20"/>
  <c r="D14" i="20"/>
  <c r="C17" i="20"/>
  <c r="D18" i="20"/>
  <c r="F14" i="20"/>
  <c r="F18" i="20"/>
  <c r="F13" i="20"/>
  <c r="C14" i="20"/>
  <c r="C18" i="20"/>
  <c r="D13" i="20"/>
  <c r="D17" i="20"/>
  <c r="B360" i="20"/>
  <c r="B390" i="20" s="1"/>
  <c r="B389" i="20"/>
  <c r="K424" i="20"/>
  <c r="B438" i="20"/>
  <c r="B468" i="20" s="1"/>
  <c r="B516" i="20"/>
  <c r="B546" i="20" s="1"/>
  <c r="B545" i="20"/>
  <c r="B782" i="20"/>
  <c r="B753" i="20"/>
  <c r="B783" i="20" s="1"/>
  <c r="B595" i="20"/>
  <c r="B625" i="20" s="1"/>
  <c r="K581" i="20"/>
  <c r="N573" i="20"/>
  <c r="H573" i="20" s="1"/>
  <c r="B770" i="20"/>
  <c r="B771" i="20" s="1"/>
  <c r="G768" i="20"/>
  <c r="B455" i="20"/>
  <c r="B456" i="20" s="1"/>
  <c r="K109" i="20"/>
  <c r="N180" i="20"/>
  <c r="H180" i="20" s="1"/>
  <c r="K270" i="20"/>
  <c r="G375" i="20"/>
  <c r="K425" i="20"/>
  <c r="G531" i="20"/>
  <c r="B674" i="20"/>
  <c r="B704" i="20" s="1"/>
  <c r="K744" i="20"/>
  <c r="N731" i="20"/>
  <c r="H731" i="20" s="1"/>
  <c r="K502" i="20"/>
  <c r="B201" i="20"/>
  <c r="G217" i="20"/>
  <c r="B310" i="20"/>
  <c r="B281" i="20"/>
  <c r="B311" i="20" s="1"/>
  <c r="B298" i="20"/>
  <c r="B299" i="20" s="1"/>
  <c r="G689" i="20"/>
  <c r="K108" i="19"/>
  <c r="B140" i="19"/>
  <c r="K34" i="19"/>
  <c r="D12" i="19"/>
  <c r="F14" i="19"/>
  <c r="D16" i="19"/>
  <c r="F18" i="19"/>
  <c r="E12" i="19"/>
  <c r="C14" i="19"/>
  <c r="D15" i="19"/>
  <c r="E16" i="19"/>
  <c r="C18" i="19"/>
  <c r="D19" i="19"/>
  <c r="F12" i="19"/>
  <c r="F16" i="19"/>
  <c r="B60" i="19"/>
  <c r="B61" i="19" s="1"/>
  <c r="C12" i="19"/>
  <c r="C16" i="19"/>
  <c r="B533" i="19"/>
  <c r="B534" i="19" s="1"/>
  <c r="G531" i="19"/>
  <c r="B595" i="19"/>
  <c r="B625" i="19" s="1"/>
  <c r="K189" i="19"/>
  <c r="K502" i="19"/>
  <c r="K660" i="19"/>
  <c r="K740" i="19"/>
  <c r="B360" i="19"/>
  <c r="B390" i="19" s="1"/>
  <c r="B389" i="19"/>
  <c r="G137" i="19"/>
  <c r="B281" i="19"/>
  <c r="B311" i="19" s="1"/>
  <c r="K426" i="19"/>
  <c r="K504" i="19"/>
  <c r="K582" i="19"/>
  <c r="B674" i="19"/>
  <c r="B704" i="19" s="1"/>
  <c r="K746" i="19"/>
  <c r="G768" i="19"/>
  <c r="B201" i="19"/>
  <c r="B219" i="19"/>
  <c r="B220" i="19" s="1"/>
  <c r="B438" i="19"/>
  <c r="B468" i="19" s="1"/>
  <c r="B467" i="19"/>
  <c r="B624" i="19"/>
  <c r="B691" i="19"/>
  <c r="B692" i="19" s="1"/>
  <c r="B752" i="19"/>
  <c r="L28" i="19"/>
  <c r="K109" i="19"/>
  <c r="K267" i="19"/>
  <c r="K270" i="19"/>
  <c r="K425" i="19"/>
  <c r="B516" i="19"/>
  <c r="B546" i="19" s="1"/>
  <c r="K583" i="19"/>
  <c r="B612" i="19"/>
  <c r="B613" i="19" s="1"/>
  <c r="G610" i="19"/>
  <c r="N652" i="19"/>
  <c r="H652" i="19" s="1"/>
  <c r="K745" i="19"/>
  <c r="K747" i="19"/>
  <c r="B231" i="20" l="1"/>
  <c r="B202" i="20"/>
  <c r="B232" i="20" s="1"/>
  <c r="B782" i="19"/>
  <c r="B753" i="19"/>
  <c r="B783" i="19" s="1"/>
  <c r="B202" i="19"/>
  <c r="B232" i="19" s="1"/>
  <c r="B231" i="19"/>
  <c r="AE58" i="18"/>
  <c r="AD58" i="18"/>
  <c r="AE57" i="18"/>
  <c r="AD57" i="18"/>
  <c r="AE56" i="18"/>
  <c r="AG54" i="18" s="1"/>
  <c r="AD56" i="18"/>
  <c r="AD52" i="18"/>
  <c r="AE50" i="18"/>
  <c r="AE47" i="18"/>
  <c r="AD47" i="18"/>
  <c r="AE46" i="18"/>
  <c r="AD46" i="18"/>
  <c r="AE45" i="18"/>
  <c r="AD45" i="18"/>
  <c r="AE44" i="18"/>
  <c r="AD44" i="18"/>
  <c r="AA41" i="18" s="1"/>
  <c r="Q14" i="18" s="1"/>
  <c r="F28" i="20" s="1"/>
  <c r="M28" i="20" s="1"/>
  <c r="AE43" i="18"/>
  <c r="AD43" i="18"/>
  <c r="AD37" i="18"/>
  <c r="AG36" i="18"/>
  <c r="AE36" i="18"/>
  <c r="AE33" i="18"/>
  <c r="AD33" i="18"/>
  <c r="AE32" i="18"/>
  <c r="AD32" i="18"/>
  <c r="AE31" i="18"/>
  <c r="AE30" i="18"/>
  <c r="AG28" i="18" s="1"/>
  <c r="AD30" i="18"/>
  <c r="AE26" i="18"/>
  <c r="AD26" i="18"/>
  <c r="AE25" i="18"/>
  <c r="AD25" i="18"/>
  <c r="AE24" i="18"/>
  <c r="AG22" i="18" s="1"/>
  <c r="AD24" i="18"/>
  <c r="AE20" i="18"/>
  <c r="AD20" i="18"/>
  <c r="AE19" i="18"/>
  <c r="AG14" i="18" s="1"/>
  <c r="AD19" i="18"/>
  <c r="AE18" i="18"/>
  <c r="AD18" i="18"/>
  <c r="AE17" i="18"/>
  <c r="AE14" i="18" s="1"/>
  <c r="S18" i="18" s="1"/>
  <c r="T18" i="18" s="1"/>
  <c r="AD17" i="18"/>
  <c r="AE11" i="18"/>
  <c r="AD11" i="18"/>
  <c r="AE10" i="18"/>
  <c r="AG5" i="18" s="1"/>
  <c r="AD10" i="18"/>
  <c r="AE9" i="18"/>
  <c r="AD9" i="18"/>
  <c r="AE8" i="18"/>
  <c r="AE5" i="18" s="1"/>
  <c r="AA8" i="18"/>
  <c r="AE7" i="18"/>
  <c r="AD7" i="18"/>
  <c r="AA5" i="18" s="1"/>
  <c r="Q25" i="18" s="1"/>
  <c r="U25" i="18"/>
  <c r="CZ79" i="18"/>
  <c r="CZ78" i="18"/>
  <c r="CZ77" i="18"/>
  <c r="CZ76" i="18"/>
  <c r="CZ75" i="18"/>
  <c r="CZ73" i="18"/>
  <c r="CZ72" i="18"/>
  <c r="CZ71" i="18"/>
  <c r="CZ70" i="18"/>
  <c r="CZ68" i="18"/>
  <c r="CZ67" i="18"/>
  <c r="CZ66" i="18"/>
  <c r="CZ65" i="18"/>
  <c r="CZ63" i="18"/>
  <c r="CZ62" i="18"/>
  <c r="CZ61" i="18"/>
  <c r="CZ59" i="18"/>
  <c r="CZ58" i="18"/>
  <c r="CZ57" i="18"/>
  <c r="CZ56" i="18"/>
  <c r="CZ55" i="18"/>
  <c r="CZ54" i="18"/>
  <c r="CZ53" i="18"/>
  <c r="CZ52" i="18"/>
  <c r="CZ51" i="18"/>
  <c r="CZ50" i="18"/>
  <c r="BP50" i="18"/>
  <c r="CK49" i="18" s="1"/>
  <c r="CZ49" i="18"/>
  <c r="CE49" i="18"/>
  <c r="CL49" i="18" s="1"/>
  <c r="BP49" i="18"/>
  <c r="CZ48" i="18"/>
  <c r="CL48" i="18"/>
  <c r="CK48" i="18"/>
  <c r="CE48" i="18"/>
  <c r="BP48" i="18"/>
  <c r="CK47" i="18" s="1"/>
  <c r="CZ47" i="18"/>
  <c r="CE47" i="18"/>
  <c r="CL47" i="18" s="1"/>
  <c r="BP47" i="18"/>
  <c r="CZ46" i="18"/>
  <c r="CL46" i="18"/>
  <c r="CK46" i="18"/>
  <c r="CE46" i="18"/>
  <c r="BP46" i="18"/>
  <c r="CK45" i="18" s="1"/>
  <c r="CZ45" i="18"/>
  <c r="CE45" i="18"/>
  <c r="CL45" i="18" s="1"/>
  <c r="BP45" i="18"/>
  <c r="CK44" i="18" s="1"/>
  <c r="CZ44" i="18"/>
  <c r="CE44" i="18"/>
  <c r="CL44" i="18" s="1"/>
  <c r="BP44" i="18"/>
  <c r="CK43" i="18"/>
  <c r="CE43" i="18"/>
  <c r="CL43" i="18" s="1"/>
  <c r="BP43" i="18"/>
  <c r="CZ42" i="18"/>
  <c r="CL42" i="18"/>
  <c r="CK42" i="18"/>
  <c r="CE42" i="18"/>
  <c r="BP42" i="18"/>
  <c r="CK41" i="18" s="1"/>
  <c r="CZ41" i="18"/>
  <c r="CE41" i="18"/>
  <c r="CL41" i="18" s="1"/>
  <c r="CZ40" i="18"/>
  <c r="BP40" i="18"/>
  <c r="CK39" i="18" s="1"/>
  <c r="AR40" i="18"/>
  <c r="O40" i="18"/>
  <c r="CZ39" i="18"/>
  <c r="CE39" i="18"/>
  <c r="CL39" i="18" s="1"/>
  <c r="BP39" i="18"/>
  <c r="CK38" i="18" s="1"/>
  <c r="CZ38" i="18"/>
  <c r="CE38" i="18"/>
  <c r="CL38" i="18" s="1"/>
  <c r="BP38" i="18"/>
  <c r="CK37" i="18" s="1"/>
  <c r="CZ37" i="18"/>
  <c r="CE37" i="18"/>
  <c r="CL37" i="18" s="1"/>
  <c r="BP37" i="18"/>
  <c r="CZ36" i="18"/>
  <c r="CL36" i="18"/>
  <c r="CK36" i="18"/>
  <c r="CE36" i="18"/>
  <c r="H36" i="18"/>
  <c r="C36" i="18" s="1"/>
  <c r="CZ35" i="18"/>
  <c r="BP35" i="18"/>
  <c r="CK34" i="18" s="1"/>
  <c r="CZ34" i="18"/>
  <c r="CE34" i="18"/>
  <c r="CL34" i="18" s="1"/>
  <c r="BP34" i="18"/>
  <c r="CZ33" i="18"/>
  <c r="CL33" i="18"/>
  <c r="CK33" i="18"/>
  <c r="CE33" i="18"/>
  <c r="BP33" i="18"/>
  <c r="CK32" i="18" s="1"/>
  <c r="CZ32" i="18"/>
  <c r="CL32" i="18"/>
  <c r="CE32" i="18"/>
  <c r="BP32" i="18"/>
  <c r="CK31" i="18" s="1"/>
  <c r="CE31" i="18"/>
  <c r="CL31" i="18" s="1"/>
  <c r="BP31" i="18"/>
  <c r="CK30" i="18" s="1"/>
  <c r="CZ30" i="18"/>
  <c r="CE30" i="18"/>
  <c r="CL30" i="18" s="1"/>
  <c r="BP30" i="18"/>
  <c r="CZ29" i="18"/>
  <c r="CL29" i="18"/>
  <c r="CK29" i="18"/>
  <c r="CE29" i="18"/>
  <c r="CZ28" i="18"/>
  <c r="BP28" i="18"/>
  <c r="CK27" i="18" s="1"/>
  <c r="CZ27" i="18"/>
  <c r="CE27" i="18"/>
  <c r="CL27" i="18" s="1"/>
  <c r="BP27" i="18"/>
  <c r="CK26" i="18" s="1"/>
  <c r="CL26" i="18"/>
  <c r="CE26" i="18"/>
  <c r="BP26" i="18"/>
  <c r="CK25" i="18" s="1"/>
  <c r="C26" i="18"/>
  <c r="CL25" i="18"/>
  <c r="CE25" i="18"/>
  <c r="O25" i="18"/>
  <c r="CZ24" i="18"/>
  <c r="CL24" i="18"/>
  <c r="CK24" i="18"/>
  <c r="CJ24" i="18"/>
  <c r="BP24" i="18"/>
  <c r="Q24" i="18"/>
  <c r="G91" i="20" s="1"/>
  <c r="CZ23" i="18"/>
  <c r="CK23" i="18"/>
  <c r="CE23" i="18"/>
  <c r="CL23" i="18" s="1"/>
  <c r="BP23" i="18"/>
  <c r="AR23" i="18"/>
  <c r="Q23" i="18"/>
  <c r="G90" i="20" s="1"/>
  <c r="CZ22" i="18"/>
  <c r="CK22" i="18"/>
  <c r="CE22" i="18"/>
  <c r="CL22" i="18" s="1"/>
  <c r="BP22" i="18"/>
  <c r="CK21" i="18" s="1"/>
  <c r="Q22" i="18"/>
  <c r="CZ21" i="18"/>
  <c r="CE21" i="18"/>
  <c r="CL21" i="18" s="1"/>
  <c r="BP21" i="18"/>
  <c r="Q21" i="18"/>
  <c r="G88" i="20" s="1"/>
  <c r="CZ20" i="18"/>
  <c r="CK20" i="18"/>
  <c r="CE20" i="18"/>
  <c r="CL20" i="18" s="1"/>
  <c r="BP20" i="18"/>
  <c r="CK19" i="18" s="1"/>
  <c r="O20" i="18"/>
  <c r="E87" i="20" s="1"/>
  <c r="CZ19" i="18"/>
  <c r="CE19" i="18"/>
  <c r="CL19" i="18" s="1"/>
  <c r="BP19" i="18"/>
  <c r="C19" i="18"/>
  <c r="CZ18" i="18"/>
  <c r="CK18" i="18"/>
  <c r="CE18" i="18"/>
  <c r="CL18" i="18" s="1"/>
  <c r="O18" i="18"/>
  <c r="E85" i="20" s="1"/>
  <c r="CZ17" i="18"/>
  <c r="BP17" i="18"/>
  <c r="CZ16" i="18"/>
  <c r="CL16" i="18"/>
  <c r="CK16" i="18"/>
  <c r="CE16" i="18"/>
  <c r="BP16" i="18"/>
  <c r="Q16" i="18"/>
  <c r="G22" i="20" s="1"/>
  <c r="O16" i="18"/>
  <c r="E22" i="20" s="1"/>
  <c r="CZ15" i="18"/>
  <c r="CL15" i="18"/>
  <c r="CK15" i="18"/>
  <c r="CE15" i="18"/>
  <c r="BP15" i="18"/>
  <c r="CZ14" i="18"/>
  <c r="CK14" i="18"/>
  <c r="CE14" i="18"/>
  <c r="CL14" i="18" s="1"/>
  <c r="BP14" i="18"/>
  <c r="CZ13" i="18"/>
  <c r="CL13" i="18"/>
  <c r="CK13" i="18"/>
  <c r="CE13" i="18"/>
  <c r="U20" i="18"/>
  <c r="Q13" i="18"/>
  <c r="G19" i="20" s="1"/>
  <c r="I13" i="18"/>
  <c r="O24" i="18" s="1"/>
  <c r="CZ12" i="18"/>
  <c r="CL12" i="18"/>
  <c r="CK12" i="18"/>
  <c r="CJ12" i="18"/>
  <c r="BP12" i="18"/>
  <c r="Q12" i="18"/>
  <c r="G18" i="20" s="1"/>
  <c r="I12" i="18"/>
  <c r="O23" i="18" s="1"/>
  <c r="CZ11" i="18"/>
  <c r="CK11" i="18"/>
  <c r="CE11" i="18"/>
  <c r="CL11" i="18" s="1"/>
  <c r="BP11" i="18"/>
  <c r="CK10" i="18" s="1"/>
  <c r="Q11" i="18"/>
  <c r="G17" i="20" s="1"/>
  <c r="I11" i="18"/>
  <c r="O22" i="18" s="1"/>
  <c r="E89" i="20" s="1"/>
  <c r="CZ10" i="18"/>
  <c r="CE10" i="18"/>
  <c r="CL10" i="18" s="1"/>
  <c r="BP10" i="18"/>
  <c r="CK9" i="18" s="1"/>
  <c r="Q10" i="18"/>
  <c r="I10" i="18"/>
  <c r="O21" i="18" s="1"/>
  <c r="E88" i="20" s="1"/>
  <c r="CZ9" i="18"/>
  <c r="CE9" i="18"/>
  <c r="CL9" i="18" s="1"/>
  <c r="BP9" i="18"/>
  <c r="O9" i="18"/>
  <c r="I9" i="18"/>
  <c r="O13" i="18" s="1"/>
  <c r="CZ8" i="18"/>
  <c r="CL8" i="18"/>
  <c r="CK8" i="18"/>
  <c r="CE8" i="18"/>
  <c r="I8" i="18"/>
  <c r="O12" i="18" s="1"/>
  <c r="CZ7" i="18"/>
  <c r="BP7" i="18"/>
  <c r="CK6" i="18" s="1"/>
  <c r="O7" i="18"/>
  <c r="E13" i="20" s="1"/>
  <c r="I7" i="18"/>
  <c r="O11" i="18" s="1"/>
  <c r="C7" i="18"/>
  <c r="B66" i="20" s="1"/>
  <c r="B68" i="20" s="1"/>
  <c r="B67" i="20" s="1"/>
  <c r="CZ6" i="18"/>
  <c r="CE6" i="18"/>
  <c r="CL6" i="18" s="1"/>
  <c r="BP6" i="18"/>
  <c r="I6" i="18"/>
  <c r="H4" i="18" s="1"/>
  <c r="C6" i="18"/>
  <c r="CZ5" i="18"/>
  <c r="CL5" i="18"/>
  <c r="CK5" i="18"/>
  <c r="CE5" i="18"/>
  <c r="BP5" i="18"/>
  <c r="CK4" i="18" s="1"/>
  <c r="CE4" i="18"/>
  <c r="CL4" i="18" s="1"/>
  <c r="BP4" i="18"/>
  <c r="C4" i="18"/>
  <c r="O42" i="18" s="1"/>
  <c r="CL3" i="18"/>
  <c r="CK3" i="18"/>
  <c r="CE3" i="18"/>
  <c r="AE11" i="17"/>
  <c r="AD11" i="17"/>
  <c r="AE10" i="17"/>
  <c r="AD10" i="17"/>
  <c r="AE9" i="17"/>
  <c r="AD9" i="17"/>
  <c r="AE8" i="17"/>
  <c r="AA8" i="17"/>
  <c r="AE7" i="17"/>
  <c r="AD7" i="17"/>
  <c r="AA5" i="17" s="1"/>
  <c r="AG5" i="17"/>
  <c r="U15" i="17" s="1"/>
  <c r="AE5" i="17"/>
  <c r="AD36" i="17"/>
  <c r="AE35" i="17"/>
  <c r="CZ79" i="17"/>
  <c r="CZ78" i="17"/>
  <c r="CZ77" i="17"/>
  <c r="CZ76" i="17"/>
  <c r="CZ75" i="17"/>
  <c r="CZ73" i="17"/>
  <c r="CZ72" i="17"/>
  <c r="CZ71" i="17"/>
  <c r="CZ70" i="17"/>
  <c r="CZ68" i="17"/>
  <c r="CZ67" i="17"/>
  <c r="CZ66" i="17"/>
  <c r="CZ65" i="17"/>
  <c r="CZ63" i="17"/>
  <c r="CZ62" i="17"/>
  <c r="CZ61" i="17"/>
  <c r="CZ59" i="17"/>
  <c r="CZ58" i="17"/>
  <c r="AE58" i="17"/>
  <c r="AD58" i="17"/>
  <c r="CZ57" i="17"/>
  <c r="AE57" i="17"/>
  <c r="AD57" i="17"/>
  <c r="CZ56" i="17"/>
  <c r="AE56" i="17"/>
  <c r="AE54" i="17" s="1"/>
  <c r="AD56" i="17"/>
  <c r="CZ55" i="17"/>
  <c r="CZ54" i="17"/>
  <c r="AG54" i="17"/>
  <c r="CZ53" i="17"/>
  <c r="CZ52" i="17"/>
  <c r="CZ51" i="17"/>
  <c r="AD51" i="17"/>
  <c r="CZ50" i="17"/>
  <c r="BP50" i="17"/>
  <c r="CZ49" i="17"/>
  <c r="CK49" i="17"/>
  <c r="CE49" i="17"/>
  <c r="CL49" i="17" s="1"/>
  <c r="BP49" i="17"/>
  <c r="AG49" i="17"/>
  <c r="AE49" i="17"/>
  <c r="CZ48" i="17"/>
  <c r="CL48" i="17"/>
  <c r="CK48" i="17"/>
  <c r="CE48" i="17"/>
  <c r="BP48" i="17"/>
  <c r="CZ47" i="17"/>
  <c r="CK47" i="17"/>
  <c r="CE47" i="17"/>
  <c r="CL47" i="17" s="1"/>
  <c r="BP47" i="17"/>
  <c r="CZ46" i="17"/>
  <c r="CL46" i="17"/>
  <c r="CK46" i="17"/>
  <c r="CE46" i="17"/>
  <c r="BP46" i="17"/>
  <c r="AE46" i="17"/>
  <c r="AD46" i="17"/>
  <c r="CZ45" i="17"/>
  <c r="CK45" i="17"/>
  <c r="CE45" i="17"/>
  <c r="CL45" i="17" s="1"/>
  <c r="BP45" i="17"/>
  <c r="AE45" i="17"/>
  <c r="AD45" i="17"/>
  <c r="CZ44" i="17"/>
  <c r="CK44" i="17"/>
  <c r="CE44" i="17"/>
  <c r="CL44" i="17" s="1"/>
  <c r="BP44" i="17"/>
  <c r="AE44" i="17"/>
  <c r="AD44" i="17"/>
  <c r="CK43" i="17"/>
  <c r="CE43" i="17"/>
  <c r="CL43" i="17" s="1"/>
  <c r="BP43" i="17"/>
  <c r="CK42" i="17" s="1"/>
  <c r="AE43" i="17"/>
  <c r="AE40" i="17" s="1"/>
  <c r="AD43" i="17"/>
  <c r="CZ42" i="17"/>
  <c r="CL42" i="17"/>
  <c r="CE42" i="17"/>
  <c r="BP42" i="17"/>
  <c r="AE42" i="17"/>
  <c r="AD42" i="17"/>
  <c r="CZ41" i="17"/>
  <c r="CK41" i="17"/>
  <c r="CE41" i="17"/>
  <c r="CL41" i="17" s="1"/>
  <c r="CZ40" i="17"/>
  <c r="BP40" i="17"/>
  <c r="AR40" i="17"/>
  <c r="AG40" i="17"/>
  <c r="O40" i="17"/>
  <c r="CZ39" i="17"/>
  <c r="CK39" i="17"/>
  <c r="CE39" i="17"/>
  <c r="CL39" i="17" s="1"/>
  <c r="BP39" i="17"/>
  <c r="CZ38" i="17"/>
  <c r="CK38" i="17"/>
  <c r="CE38" i="17"/>
  <c r="CL38" i="17" s="1"/>
  <c r="BP38" i="17"/>
  <c r="CZ37" i="17"/>
  <c r="CK37" i="17"/>
  <c r="CE37" i="17"/>
  <c r="CL37" i="17" s="1"/>
  <c r="BP37" i="17"/>
  <c r="CZ36" i="17"/>
  <c r="CL36" i="17"/>
  <c r="CK36" i="17"/>
  <c r="CE36" i="17"/>
  <c r="H36" i="17"/>
  <c r="C36" i="17" s="1"/>
  <c r="CZ35" i="17"/>
  <c r="BP35" i="17"/>
  <c r="CK34" i="17" s="1"/>
  <c r="AG35" i="17"/>
  <c r="CZ34" i="17"/>
  <c r="CL34" i="17"/>
  <c r="CE34" i="17"/>
  <c r="BP34" i="17"/>
  <c r="CK33" i="17" s="1"/>
  <c r="CZ33" i="17"/>
  <c r="CL33" i="17"/>
  <c r="CE33" i="17"/>
  <c r="BP33" i="17"/>
  <c r="CK32" i="17" s="1"/>
  <c r="CZ32" i="17"/>
  <c r="CE32" i="17"/>
  <c r="CL32" i="17" s="1"/>
  <c r="BP32" i="17"/>
  <c r="AE32" i="17"/>
  <c r="AD32" i="17"/>
  <c r="CL31" i="17"/>
  <c r="CK31" i="17"/>
  <c r="CE31" i="17"/>
  <c r="BP31" i="17"/>
  <c r="AE31" i="17"/>
  <c r="AD31" i="17"/>
  <c r="Q31" i="17"/>
  <c r="CZ30" i="17"/>
  <c r="CL30" i="17"/>
  <c r="CK30" i="17"/>
  <c r="CE30" i="17"/>
  <c r="BP30" i="17"/>
  <c r="AE30" i="17"/>
  <c r="Q30" i="17"/>
  <c r="CZ29" i="17"/>
  <c r="CL29" i="17"/>
  <c r="CK29" i="17"/>
  <c r="CE29" i="17"/>
  <c r="AE29" i="17"/>
  <c r="AD29" i="17"/>
  <c r="CZ28" i="17"/>
  <c r="BP28" i="17"/>
  <c r="CZ27" i="17"/>
  <c r="CL27" i="17"/>
  <c r="CK27" i="17"/>
  <c r="CE27" i="17"/>
  <c r="BP27" i="17"/>
  <c r="CK26" i="17" s="1"/>
  <c r="AG27" i="17"/>
  <c r="AE27" i="17"/>
  <c r="CE26" i="17"/>
  <c r="CL26" i="17" s="1"/>
  <c r="BP26" i="17"/>
  <c r="C26" i="17"/>
  <c r="CL25" i="17"/>
  <c r="CK25" i="17"/>
  <c r="CE25" i="17"/>
  <c r="AE25" i="17"/>
  <c r="AD25" i="17"/>
  <c r="O25" i="17"/>
  <c r="CZ24" i="17"/>
  <c r="CL24" i="17"/>
  <c r="CK24" i="17"/>
  <c r="CJ24" i="17"/>
  <c r="BP24" i="17"/>
  <c r="AE24" i="17"/>
  <c r="AD24" i="17"/>
  <c r="Q24" i="17"/>
  <c r="G91" i="19" s="1"/>
  <c r="CZ23" i="17"/>
  <c r="CL23" i="17"/>
  <c r="CK23" i="17"/>
  <c r="CE23" i="17"/>
  <c r="BP23" i="17"/>
  <c r="AR23" i="17"/>
  <c r="AE23" i="17"/>
  <c r="AE21" i="17" s="1"/>
  <c r="AD23" i="17"/>
  <c r="Q23" i="17"/>
  <c r="G90" i="19" s="1"/>
  <c r="CZ22" i="17"/>
  <c r="CK22" i="17"/>
  <c r="CE22" i="17"/>
  <c r="CL22" i="17" s="1"/>
  <c r="BP22" i="17"/>
  <c r="Q22" i="17"/>
  <c r="G89" i="19" s="1"/>
  <c r="CZ21" i="17"/>
  <c r="CK21" i="17"/>
  <c r="CE21" i="17"/>
  <c r="CL21" i="17" s="1"/>
  <c r="BP21" i="17"/>
  <c r="AG21" i="17"/>
  <c r="Q21" i="17"/>
  <c r="G88" i="19" s="1"/>
  <c r="CZ20" i="17"/>
  <c r="CK20" i="17"/>
  <c r="CE20" i="17"/>
  <c r="CL20" i="17" s="1"/>
  <c r="BP20" i="17"/>
  <c r="CK19" i="17" s="1"/>
  <c r="O20" i="17"/>
  <c r="CZ19" i="17"/>
  <c r="CE19" i="17"/>
  <c r="CL19" i="17" s="1"/>
  <c r="BP19" i="17"/>
  <c r="AE19" i="17"/>
  <c r="AD19" i="17"/>
  <c r="C19" i="17"/>
  <c r="CZ18" i="17"/>
  <c r="CL18" i="17"/>
  <c r="CK18" i="17"/>
  <c r="CE18" i="17"/>
  <c r="AE18" i="17"/>
  <c r="AD18" i="17"/>
  <c r="AA13" i="17" s="1"/>
  <c r="O18" i="17"/>
  <c r="CZ17" i="17"/>
  <c r="BP17" i="17"/>
  <c r="AE17" i="17"/>
  <c r="AE13" i="17" s="1"/>
  <c r="S18" i="17" s="1"/>
  <c r="T18" i="17" s="1"/>
  <c r="AD17" i="17"/>
  <c r="CZ16" i="17"/>
  <c r="CL16" i="17"/>
  <c r="CK16" i="17"/>
  <c r="CE16" i="17"/>
  <c r="BP16" i="17"/>
  <c r="Q16" i="17"/>
  <c r="O16" i="17"/>
  <c r="U16" i="17" s="1"/>
  <c r="CZ15" i="17"/>
  <c r="CK15" i="17"/>
  <c r="CE15" i="17"/>
  <c r="CL15" i="17" s="1"/>
  <c r="BP15" i="17"/>
  <c r="CZ14" i="17"/>
  <c r="CK14" i="17"/>
  <c r="CE14" i="17"/>
  <c r="CL14" i="17" s="1"/>
  <c r="BP14" i="17"/>
  <c r="Q14" i="17"/>
  <c r="F28" i="19" s="1"/>
  <c r="M28" i="19" s="1"/>
  <c r="N28" i="19" s="1"/>
  <c r="H28" i="19" s="1"/>
  <c r="CZ13" i="17"/>
  <c r="CK13" i="17"/>
  <c r="CE13" i="17"/>
  <c r="CL13" i="17" s="1"/>
  <c r="AG13" i="17"/>
  <c r="Q13" i="17"/>
  <c r="G19" i="19" s="1"/>
  <c r="I13" i="17"/>
  <c r="O24" i="17" s="1"/>
  <c r="CZ12" i="17"/>
  <c r="CL12" i="17"/>
  <c r="CK12" i="17"/>
  <c r="CJ12" i="17"/>
  <c r="BP12" i="17"/>
  <c r="Q12" i="17"/>
  <c r="G18" i="19" s="1"/>
  <c r="I12" i="17"/>
  <c r="O23" i="17" s="1"/>
  <c r="CZ11" i="17"/>
  <c r="CK11" i="17"/>
  <c r="CE11" i="17"/>
  <c r="CL11" i="17" s="1"/>
  <c r="BP11" i="17"/>
  <c r="U11" i="17"/>
  <c r="Q11" i="17"/>
  <c r="I11" i="17"/>
  <c r="O22" i="17" s="1"/>
  <c r="CZ10" i="17"/>
  <c r="CL10" i="17"/>
  <c r="CK10" i="17"/>
  <c r="CE10" i="17"/>
  <c r="BP10" i="17"/>
  <c r="CK9" i="17" s="1"/>
  <c r="Q10" i="17"/>
  <c r="G16" i="19" s="1"/>
  <c r="I10" i="17"/>
  <c r="O21" i="17" s="1"/>
  <c r="CZ9" i="17"/>
  <c r="CE9" i="17"/>
  <c r="CL9" i="17" s="1"/>
  <c r="BP9" i="17"/>
  <c r="S9" i="17"/>
  <c r="T9" i="17" s="1"/>
  <c r="O9" i="17"/>
  <c r="U9" i="17" s="1"/>
  <c r="I9" i="17"/>
  <c r="O13" i="17" s="1"/>
  <c r="CZ8" i="17"/>
  <c r="CK8" i="17"/>
  <c r="CE8" i="17"/>
  <c r="CL8" i="17" s="1"/>
  <c r="I8" i="17"/>
  <c r="O12" i="17" s="1"/>
  <c r="CZ7" i="17"/>
  <c r="BP7" i="17"/>
  <c r="CK6" i="17" s="1"/>
  <c r="O7" i="17"/>
  <c r="U7" i="17" s="1"/>
  <c r="I7" i="17"/>
  <c r="O11" i="17" s="1"/>
  <c r="C7" i="17"/>
  <c r="CZ6" i="17"/>
  <c r="CL6" i="17"/>
  <c r="CE6" i="17"/>
  <c r="BP6" i="17"/>
  <c r="CK5" i="17" s="1"/>
  <c r="I6" i="17"/>
  <c r="O10" i="17" s="1"/>
  <c r="C6" i="17"/>
  <c r="CZ5" i="17"/>
  <c r="CL5" i="17"/>
  <c r="CE5" i="17"/>
  <c r="BP5" i="17"/>
  <c r="CK4" i="17" s="1"/>
  <c r="CL4" i="17"/>
  <c r="CE4" i="17"/>
  <c r="BP4" i="17"/>
  <c r="CK3" i="17" s="1"/>
  <c r="C4" i="17"/>
  <c r="G16" i="17" s="1"/>
  <c r="CE3" i="17"/>
  <c r="CL3" i="17" s="1"/>
  <c r="AP48" i="6"/>
  <c r="DG77" i="6" s="1"/>
  <c r="DG73" i="6"/>
  <c r="AP38" i="6"/>
  <c r="DG71" i="6" s="1"/>
  <c r="DG70" i="6"/>
  <c r="DG36" i="6"/>
  <c r="AP20" i="6"/>
  <c r="DG32" i="6"/>
  <c r="AP21" i="6"/>
  <c r="DG34" i="6" s="1"/>
  <c r="DG76" i="6"/>
  <c r="DG75" i="6"/>
  <c r="DG68" i="6"/>
  <c r="DG66" i="6"/>
  <c r="DG67" i="6"/>
  <c r="DG65" i="6"/>
  <c r="DG62" i="6"/>
  <c r="DG63" i="6"/>
  <c r="DG61" i="6"/>
  <c r="DG42" i="6"/>
  <c r="DG39" i="6"/>
  <c r="DG40" i="6"/>
  <c r="DG41" i="6"/>
  <c r="DG38" i="6"/>
  <c r="DG33" i="6"/>
  <c r="DG37" i="6"/>
  <c r="DG30" i="6"/>
  <c r="DG29" i="6"/>
  <c r="DG27" i="6"/>
  <c r="DG28" i="6"/>
  <c r="DG59" i="6"/>
  <c r="DG58" i="6"/>
  <c r="DG57" i="6"/>
  <c r="DG56" i="6"/>
  <c r="DG55" i="6"/>
  <c r="DG54" i="6"/>
  <c r="DG53" i="6"/>
  <c r="DG52" i="6"/>
  <c r="DG51" i="6"/>
  <c r="DG50" i="6"/>
  <c r="DG49" i="6"/>
  <c r="DG48" i="6"/>
  <c r="DG47" i="6"/>
  <c r="DG46" i="6"/>
  <c r="DG45" i="6"/>
  <c r="DG44" i="6"/>
  <c r="DG24" i="6"/>
  <c r="DG23" i="6"/>
  <c r="DG22" i="6"/>
  <c r="DG21" i="6"/>
  <c r="DG20" i="6"/>
  <c r="DG19" i="6"/>
  <c r="DG18" i="6"/>
  <c r="DG17" i="6"/>
  <c r="DG16" i="6"/>
  <c r="DG15" i="6"/>
  <c r="DG14" i="6"/>
  <c r="DG13" i="6"/>
  <c r="DG12" i="6"/>
  <c r="DG11" i="6"/>
  <c r="DG10" i="6"/>
  <c r="DG9" i="6"/>
  <c r="DG8" i="6"/>
  <c r="DG7" i="6"/>
  <c r="DG6" i="6"/>
  <c r="DG5" i="6"/>
  <c r="AP27" i="6"/>
  <c r="AP43" i="6"/>
  <c r="AP28" i="6"/>
  <c r="AP26" i="6"/>
  <c r="AP32" i="6"/>
  <c r="AP11" i="6"/>
  <c r="AP42" i="6"/>
  <c r="AP7" i="6"/>
  <c r="AP6" i="6"/>
  <c r="AP4" i="6"/>
  <c r="AP5" i="6"/>
  <c r="AG54" i="6"/>
  <c r="S23" i="18" l="1"/>
  <c r="T23" i="18" s="1"/>
  <c r="E90" i="20"/>
  <c r="R25" i="18"/>
  <c r="H92" i="20" s="1"/>
  <c r="G92" i="20"/>
  <c r="E17" i="20"/>
  <c r="E18" i="20"/>
  <c r="O10" i="18"/>
  <c r="R10" i="18" s="1"/>
  <c r="E92" i="20"/>
  <c r="AA14" i="18"/>
  <c r="Q19" i="18" s="1"/>
  <c r="G86" i="20" s="1"/>
  <c r="AE28" i="18"/>
  <c r="U9" i="18"/>
  <c r="E15" i="20"/>
  <c r="R22" i="18"/>
  <c r="H89" i="20" s="1"/>
  <c r="G89" i="20"/>
  <c r="C8" i="18"/>
  <c r="H35" i="18" s="1"/>
  <c r="B133" i="20" s="1"/>
  <c r="B145" i="20" s="1"/>
  <c r="B147" i="20" s="1"/>
  <c r="B146" i="20" s="1"/>
  <c r="E19" i="20"/>
  <c r="G16" i="20"/>
  <c r="S24" i="18"/>
  <c r="T24" i="18" s="1"/>
  <c r="E91" i="20"/>
  <c r="AE22" i="18"/>
  <c r="AG41" i="18"/>
  <c r="AE54" i="18"/>
  <c r="R11" i="17"/>
  <c r="H17" i="19" s="1"/>
  <c r="G17" i="19"/>
  <c r="R16" i="17"/>
  <c r="H22" i="19" s="1"/>
  <c r="G22" i="19"/>
  <c r="Q6" i="18"/>
  <c r="G12" i="20" s="1"/>
  <c r="AE41" i="18"/>
  <c r="U7" i="18"/>
  <c r="S22" i="18"/>
  <c r="T22" i="18" s="1"/>
  <c r="S9" i="18"/>
  <c r="T9" i="18" s="1"/>
  <c r="U15" i="18"/>
  <c r="S7" i="18"/>
  <c r="T7" i="18" s="1"/>
  <c r="S16" i="18"/>
  <c r="T16" i="18" s="1"/>
  <c r="S13" i="18"/>
  <c r="T13" i="18" s="1"/>
  <c r="U13" i="18"/>
  <c r="R13" i="18"/>
  <c r="H19" i="20" s="1"/>
  <c r="R11" i="18"/>
  <c r="H17" i="20" s="1"/>
  <c r="S12" i="18"/>
  <c r="T12" i="18" s="1"/>
  <c r="U12" i="18"/>
  <c r="R12" i="18"/>
  <c r="H18" i="20" s="1"/>
  <c r="G24" i="18"/>
  <c r="S11" i="18"/>
  <c r="T11" i="18" s="1"/>
  <c r="U11" i="18"/>
  <c r="S25" i="18"/>
  <c r="T25" i="18" s="1"/>
  <c r="S15" i="18"/>
  <c r="T15" i="18" s="1"/>
  <c r="R35" i="18"/>
  <c r="G22" i="18"/>
  <c r="G21" i="18"/>
  <c r="G13" i="18"/>
  <c r="U16" i="18"/>
  <c r="Q20" i="18"/>
  <c r="U21" i="18"/>
  <c r="S21" i="18"/>
  <c r="T21" i="18" s="1"/>
  <c r="Q28" i="18"/>
  <c r="I109" i="20" s="1"/>
  <c r="Q27" i="18"/>
  <c r="I34" i="20" s="1"/>
  <c r="G6" i="18"/>
  <c r="H34" i="18"/>
  <c r="B54" i="20" s="1"/>
  <c r="D43" i="18"/>
  <c r="G7" i="18"/>
  <c r="G8" i="18"/>
  <c r="G9" i="18"/>
  <c r="G16" i="18"/>
  <c r="S20" i="18"/>
  <c r="T20" i="18" s="1"/>
  <c r="U23" i="18"/>
  <c r="U24" i="18"/>
  <c r="Q26" i="18"/>
  <c r="C34" i="18"/>
  <c r="C23" i="18"/>
  <c r="G20" i="18" s="1"/>
  <c r="G18" i="18"/>
  <c r="G12" i="18"/>
  <c r="Q15" i="18"/>
  <c r="G11" i="18"/>
  <c r="O14" i="18"/>
  <c r="R16" i="18"/>
  <c r="U18" i="18"/>
  <c r="R21" i="18"/>
  <c r="U22" i="18"/>
  <c r="Q8" i="18"/>
  <c r="G14" i="20" s="1"/>
  <c r="G10" i="18"/>
  <c r="R23" i="18"/>
  <c r="H90" i="20" s="1"/>
  <c r="R24" i="18"/>
  <c r="H91" i="20" s="1"/>
  <c r="Q31" i="18"/>
  <c r="Q30" i="18"/>
  <c r="R10" i="17"/>
  <c r="R12" i="17"/>
  <c r="H18" i="19" s="1"/>
  <c r="S10" i="17"/>
  <c r="T10" i="17" s="1"/>
  <c r="U10" i="17"/>
  <c r="Q25" i="17"/>
  <c r="Q15" i="17"/>
  <c r="S12" i="17"/>
  <c r="T12" i="17" s="1"/>
  <c r="U12" i="17"/>
  <c r="Q20" i="17"/>
  <c r="Q18" i="17"/>
  <c r="Q19" i="17"/>
  <c r="G86" i="19" s="1"/>
  <c r="Q17" i="17"/>
  <c r="G84" i="19" s="1"/>
  <c r="Q9" i="17"/>
  <c r="Q8" i="17"/>
  <c r="G14" i="19" s="1"/>
  <c r="Q7" i="17"/>
  <c r="Q6" i="17"/>
  <c r="G12" i="19" s="1"/>
  <c r="S13" i="17"/>
  <c r="T13" i="17" s="1"/>
  <c r="U13" i="17"/>
  <c r="R13" i="17"/>
  <c r="H19" i="19" s="1"/>
  <c r="S7" i="17"/>
  <c r="T7" i="17" s="1"/>
  <c r="S20" i="17"/>
  <c r="T20" i="17" s="1"/>
  <c r="R24" i="17"/>
  <c r="H91" i="19" s="1"/>
  <c r="U24" i="17"/>
  <c r="S24" i="17"/>
  <c r="T24" i="17" s="1"/>
  <c r="U21" i="17"/>
  <c r="S21" i="17"/>
  <c r="T21" i="17" s="1"/>
  <c r="R23" i="17"/>
  <c r="H90" i="19" s="1"/>
  <c r="U23" i="17"/>
  <c r="S23" i="17"/>
  <c r="T23" i="17" s="1"/>
  <c r="R21" i="17"/>
  <c r="Q28" i="17"/>
  <c r="I109" i="19" s="1"/>
  <c r="Q27" i="17"/>
  <c r="I34" i="19" s="1"/>
  <c r="O42" i="17"/>
  <c r="R22" i="17"/>
  <c r="H89" i="19" s="1"/>
  <c r="U22" i="17"/>
  <c r="S22" i="17"/>
  <c r="T22" i="17" s="1"/>
  <c r="Q26" i="17"/>
  <c r="Q29" i="17"/>
  <c r="H4" i="17"/>
  <c r="G11" i="17" s="1"/>
  <c r="C23" i="17"/>
  <c r="G18" i="17"/>
  <c r="H34" i="17"/>
  <c r="C34" i="17"/>
  <c r="O14" i="17"/>
  <c r="D43" i="17"/>
  <c r="C8" i="17"/>
  <c r="S11" i="17"/>
  <c r="T11" i="17" s="1"/>
  <c r="U20" i="17"/>
  <c r="U18" i="17"/>
  <c r="S16" i="17"/>
  <c r="T16" i="17" s="1"/>
  <c r="U25" i="17"/>
  <c r="CZ78" i="6"/>
  <c r="CZ79" i="6"/>
  <c r="CZ77" i="6"/>
  <c r="AP39" i="18" l="1"/>
  <c r="H16" i="20"/>
  <c r="AP22" i="18"/>
  <c r="AZ22" i="18" s="1"/>
  <c r="CJ21" i="18" s="1"/>
  <c r="Q17" i="18"/>
  <c r="G84" i="20" s="1"/>
  <c r="S10" i="18"/>
  <c r="T10" i="18" s="1"/>
  <c r="B51" i="20"/>
  <c r="B58" i="20" s="1"/>
  <c r="DG28" i="18"/>
  <c r="O29" i="18"/>
  <c r="Q29" i="18"/>
  <c r="R20" i="18"/>
  <c r="H87" i="20" s="1"/>
  <c r="G87" i="20"/>
  <c r="E16" i="20"/>
  <c r="Q7" i="18"/>
  <c r="U10" i="18"/>
  <c r="H22" i="20"/>
  <c r="R15" i="18"/>
  <c r="H21" i="20" s="1"/>
  <c r="G21" i="20"/>
  <c r="C35" i="18"/>
  <c r="Q9" i="18"/>
  <c r="H88" i="20"/>
  <c r="I28" i="20"/>
  <c r="J28" i="20" s="1"/>
  <c r="L28" i="20" s="1"/>
  <c r="N28" i="20" s="1"/>
  <c r="H28" i="20" s="1"/>
  <c r="E28" i="20"/>
  <c r="I108" i="20"/>
  <c r="I33" i="20"/>
  <c r="Q18" i="18"/>
  <c r="I33" i="19"/>
  <c r="I108" i="19"/>
  <c r="R9" i="17"/>
  <c r="H15" i="19" s="1"/>
  <c r="G15" i="19"/>
  <c r="R7" i="17"/>
  <c r="H13" i="19" s="1"/>
  <c r="G13" i="19"/>
  <c r="R20" i="17"/>
  <c r="H87" i="19" s="1"/>
  <c r="G87" i="19"/>
  <c r="R25" i="17"/>
  <c r="H92" i="19" s="1"/>
  <c r="G92" i="19"/>
  <c r="AP22" i="17"/>
  <c r="H16" i="19"/>
  <c r="DG72" i="17"/>
  <c r="H88" i="19"/>
  <c r="R18" i="17"/>
  <c r="H85" i="19" s="1"/>
  <c r="G85" i="19"/>
  <c r="R15" i="17"/>
  <c r="H21" i="19" s="1"/>
  <c r="G21" i="19"/>
  <c r="O39" i="18"/>
  <c r="O19" i="18"/>
  <c r="E86" i="20" s="1"/>
  <c r="O31" i="18"/>
  <c r="O30" i="18"/>
  <c r="O17" i="18"/>
  <c r="O6" i="18"/>
  <c r="DG72" i="18"/>
  <c r="AZ39" i="18"/>
  <c r="CJ38" i="18" s="1"/>
  <c r="DG35" i="18"/>
  <c r="U14" i="18"/>
  <c r="AP12" i="18" s="1"/>
  <c r="O26" i="18"/>
  <c r="S14" i="18"/>
  <c r="R30" i="18"/>
  <c r="C24" i="18"/>
  <c r="G17" i="18"/>
  <c r="S29" i="18"/>
  <c r="T29" i="18" s="1"/>
  <c r="U29" i="18"/>
  <c r="R14" i="18"/>
  <c r="G28" i="20" s="1"/>
  <c r="O31" i="17"/>
  <c r="O30" i="17"/>
  <c r="O19" i="17"/>
  <c r="O17" i="17"/>
  <c r="O6" i="17"/>
  <c r="S25" i="17"/>
  <c r="T25" i="17" s="1"/>
  <c r="S15" i="17"/>
  <c r="T15" i="17" s="1"/>
  <c r="O26" i="17"/>
  <c r="U14" i="17"/>
  <c r="AP12" i="17" s="1"/>
  <c r="S14" i="17"/>
  <c r="R26" i="17"/>
  <c r="R6" i="17"/>
  <c r="H12" i="19" s="1"/>
  <c r="R17" i="17"/>
  <c r="H84" i="19" s="1"/>
  <c r="DG28" i="17"/>
  <c r="AZ9" i="17"/>
  <c r="CJ8" i="17" s="1"/>
  <c r="C24" i="17"/>
  <c r="G17" i="17"/>
  <c r="C35" i="17"/>
  <c r="R19" i="17"/>
  <c r="H86" i="19" s="1"/>
  <c r="R14" i="17"/>
  <c r="G28" i="19" s="1"/>
  <c r="G21" i="17"/>
  <c r="G20" i="17"/>
  <c r="R35" i="17"/>
  <c r="G22" i="17"/>
  <c r="G13" i="17"/>
  <c r="G7" i="17"/>
  <c r="G6" i="17"/>
  <c r="G9" i="17"/>
  <c r="G8" i="17"/>
  <c r="G12" i="17"/>
  <c r="G10" i="17"/>
  <c r="H35" i="17"/>
  <c r="O29" i="17"/>
  <c r="G24" i="17"/>
  <c r="R29" i="17"/>
  <c r="O39" i="17"/>
  <c r="B127" i="16"/>
  <c r="B48" i="16"/>
  <c r="B127" i="15"/>
  <c r="B48" i="15"/>
  <c r="F33" i="3"/>
  <c r="E33" i="3"/>
  <c r="B133" i="16"/>
  <c r="B130" i="16"/>
  <c r="B137" i="16" s="1"/>
  <c r="J109" i="16"/>
  <c r="I109" i="16"/>
  <c r="F109" i="16"/>
  <c r="E109" i="16"/>
  <c r="D109" i="16"/>
  <c r="H109" i="16" s="1"/>
  <c r="C109" i="16"/>
  <c r="G109" i="16" s="1"/>
  <c r="K109" i="16" s="1"/>
  <c r="J108" i="16"/>
  <c r="I108" i="16"/>
  <c r="F108" i="16"/>
  <c r="E108" i="16"/>
  <c r="D108" i="16"/>
  <c r="H108" i="16" s="1"/>
  <c r="C108" i="16"/>
  <c r="G108" i="16" s="1"/>
  <c r="H92" i="16"/>
  <c r="G92" i="16"/>
  <c r="F92" i="16"/>
  <c r="E92" i="16"/>
  <c r="D92" i="16"/>
  <c r="C92" i="16"/>
  <c r="H91" i="16"/>
  <c r="G91" i="16"/>
  <c r="F91" i="16"/>
  <c r="E91" i="16"/>
  <c r="D91" i="16"/>
  <c r="C91" i="16"/>
  <c r="H90" i="16"/>
  <c r="G90" i="16"/>
  <c r="F90" i="16"/>
  <c r="E90" i="16"/>
  <c r="D90" i="16"/>
  <c r="C90" i="16"/>
  <c r="H89" i="16"/>
  <c r="G89" i="16"/>
  <c r="F89" i="16"/>
  <c r="E89" i="16"/>
  <c r="D89" i="16"/>
  <c r="C89" i="16"/>
  <c r="H88" i="16"/>
  <c r="G88" i="16"/>
  <c r="F88" i="16"/>
  <c r="E88" i="16"/>
  <c r="D88" i="16"/>
  <c r="C88" i="16"/>
  <c r="H87" i="16"/>
  <c r="G87" i="16"/>
  <c r="F87" i="16"/>
  <c r="E87" i="16"/>
  <c r="D87" i="16"/>
  <c r="C87" i="16"/>
  <c r="H86" i="16"/>
  <c r="G86" i="16"/>
  <c r="F86" i="16"/>
  <c r="E86" i="16"/>
  <c r="D86" i="16"/>
  <c r="C86" i="16"/>
  <c r="H85" i="16"/>
  <c r="G85" i="16"/>
  <c r="F85" i="16"/>
  <c r="E85" i="16"/>
  <c r="D85" i="16"/>
  <c r="C85" i="16"/>
  <c r="H84" i="16"/>
  <c r="G84" i="16"/>
  <c r="F84" i="16"/>
  <c r="E84" i="16"/>
  <c r="D84" i="16"/>
  <c r="C84" i="16"/>
  <c r="B66" i="16"/>
  <c r="B54" i="16"/>
  <c r="B51" i="16"/>
  <c r="B58" i="16" s="1"/>
  <c r="G58" i="16" s="1"/>
  <c r="J34" i="16"/>
  <c r="I34" i="16"/>
  <c r="F34" i="16"/>
  <c r="E34" i="16"/>
  <c r="D34" i="16"/>
  <c r="H34" i="16" s="1"/>
  <c r="C34" i="16"/>
  <c r="G34" i="16" s="1"/>
  <c r="J33" i="16"/>
  <c r="I33" i="16"/>
  <c r="F33" i="16"/>
  <c r="E33" i="16"/>
  <c r="D33" i="16"/>
  <c r="H33" i="16" s="1"/>
  <c r="C33" i="16"/>
  <c r="G33" i="16" s="1"/>
  <c r="K28" i="16"/>
  <c r="I28" i="16"/>
  <c r="G28" i="16"/>
  <c r="F28" i="16"/>
  <c r="M28" i="16" s="1"/>
  <c r="E28" i="16"/>
  <c r="D28" i="16"/>
  <c r="C28" i="16"/>
  <c r="H22" i="16"/>
  <c r="G22" i="16"/>
  <c r="F22" i="16"/>
  <c r="E22" i="16"/>
  <c r="D22" i="16"/>
  <c r="C22" i="16"/>
  <c r="H21" i="16"/>
  <c r="G21" i="16"/>
  <c r="F21" i="16"/>
  <c r="E21" i="16"/>
  <c r="D21" i="16"/>
  <c r="C21" i="16"/>
  <c r="H19" i="16"/>
  <c r="E19" i="16"/>
  <c r="D19" i="16"/>
  <c r="B19" i="16"/>
  <c r="F19" i="16" s="1"/>
  <c r="H18" i="16"/>
  <c r="G18" i="16"/>
  <c r="E18" i="16"/>
  <c r="D18" i="16"/>
  <c r="C18" i="16"/>
  <c r="B18" i="16"/>
  <c r="F18" i="16" s="1"/>
  <c r="B17" i="16"/>
  <c r="H17" i="16" s="1"/>
  <c r="E16" i="16"/>
  <c r="B16" i="16"/>
  <c r="G16" i="16" s="1"/>
  <c r="H15" i="16"/>
  <c r="E15" i="16"/>
  <c r="D15" i="16"/>
  <c r="B15" i="16"/>
  <c r="F15" i="16" s="1"/>
  <c r="H14" i="16"/>
  <c r="G14" i="16"/>
  <c r="E14" i="16"/>
  <c r="D14" i="16"/>
  <c r="C14" i="16"/>
  <c r="B14" i="16"/>
  <c r="F14" i="16" s="1"/>
  <c r="B13" i="16"/>
  <c r="H13" i="16" s="1"/>
  <c r="E12" i="16"/>
  <c r="B12" i="16"/>
  <c r="G12" i="16" s="1"/>
  <c r="B133" i="15"/>
  <c r="B130" i="15"/>
  <c r="J109" i="15"/>
  <c r="I109" i="15"/>
  <c r="F109" i="15"/>
  <c r="E109" i="15"/>
  <c r="D109" i="15"/>
  <c r="H109" i="15" s="1"/>
  <c r="C109" i="15"/>
  <c r="G109" i="15" s="1"/>
  <c r="K109" i="15" s="1"/>
  <c r="J108" i="15"/>
  <c r="I108" i="15"/>
  <c r="F108" i="15"/>
  <c r="E108" i="15"/>
  <c r="D108" i="15"/>
  <c r="H108" i="15" s="1"/>
  <c r="C108" i="15"/>
  <c r="G108" i="15" s="1"/>
  <c r="H92" i="15"/>
  <c r="G92" i="15"/>
  <c r="F92" i="15"/>
  <c r="E92" i="15"/>
  <c r="D92" i="15"/>
  <c r="C92" i="15"/>
  <c r="H91" i="15"/>
  <c r="G91" i="15"/>
  <c r="F91" i="15"/>
  <c r="E91" i="15"/>
  <c r="D91" i="15"/>
  <c r="C91" i="15"/>
  <c r="H90" i="15"/>
  <c r="G90" i="15"/>
  <c r="F90" i="15"/>
  <c r="E90" i="15"/>
  <c r="D90" i="15"/>
  <c r="C90" i="15"/>
  <c r="H89" i="15"/>
  <c r="G89" i="15"/>
  <c r="F89" i="15"/>
  <c r="E89" i="15"/>
  <c r="D89" i="15"/>
  <c r="C89" i="15"/>
  <c r="H88" i="15"/>
  <c r="G88" i="15"/>
  <c r="F88" i="15"/>
  <c r="E88" i="15"/>
  <c r="D88" i="15"/>
  <c r="C88" i="15"/>
  <c r="H87" i="15"/>
  <c r="G87" i="15"/>
  <c r="F87" i="15"/>
  <c r="E87" i="15"/>
  <c r="D87" i="15"/>
  <c r="C87" i="15"/>
  <c r="H86" i="15"/>
  <c r="G86" i="15"/>
  <c r="F86" i="15"/>
  <c r="E86" i="15"/>
  <c r="D86" i="15"/>
  <c r="C86" i="15"/>
  <c r="H85" i="15"/>
  <c r="G85" i="15"/>
  <c r="F85" i="15"/>
  <c r="E85" i="15"/>
  <c r="D85" i="15"/>
  <c r="C85" i="15"/>
  <c r="H84" i="15"/>
  <c r="G84" i="15"/>
  <c r="F84" i="15"/>
  <c r="E84" i="15"/>
  <c r="D84" i="15"/>
  <c r="C84" i="15"/>
  <c r="B66" i="15"/>
  <c r="B54" i="15"/>
  <c r="B51" i="15"/>
  <c r="B58" i="15" s="1"/>
  <c r="G58" i="15" s="1"/>
  <c r="J34" i="15"/>
  <c r="I34" i="15"/>
  <c r="F34" i="15"/>
  <c r="E34" i="15"/>
  <c r="D34" i="15"/>
  <c r="H34" i="15" s="1"/>
  <c r="C34" i="15"/>
  <c r="G34" i="15" s="1"/>
  <c r="J33" i="15"/>
  <c r="I33" i="15"/>
  <c r="F33" i="15"/>
  <c r="E33" i="15"/>
  <c r="D33" i="15"/>
  <c r="H33" i="15" s="1"/>
  <c r="C33" i="15"/>
  <c r="G33" i="15" s="1"/>
  <c r="K28" i="15"/>
  <c r="I28" i="15"/>
  <c r="G28" i="15"/>
  <c r="F28" i="15"/>
  <c r="M28" i="15" s="1"/>
  <c r="E28" i="15"/>
  <c r="D28" i="15"/>
  <c r="C28" i="15"/>
  <c r="H22" i="15"/>
  <c r="G22" i="15"/>
  <c r="F22" i="15"/>
  <c r="E22" i="15"/>
  <c r="D22" i="15"/>
  <c r="C22" i="15"/>
  <c r="H21" i="15"/>
  <c r="G21" i="15"/>
  <c r="F21" i="15"/>
  <c r="E21" i="15"/>
  <c r="D21" i="15"/>
  <c r="C21" i="15"/>
  <c r="H19" i="15"/>
  <c r="E19" i="15"/>
  <c r="D19" i="15"/>
  <c r="B19" i="15"/>
  <c r="F19" i="15" s="1"/>
  <c r="H18" i="15"/>
  <c r="G18" i="15"/>
  <c r="E18" i="15"/>
  <c r="D18" i="15"/>
  <c r="C18" i="15"/>
  <c r="B18" i="15"/>
  <c r="F18" i="15" s="1"/>
  <c r="B17" i="15"/>
  <c r="H17" i="15" s="1"/>
  <c r="E16" i="15"/>
  <c r="B16" i="15"/>
  <c r="G16" i="15" s="1"/>
  <c r="H15" i="15"/>
  <c r="E15" i="15"/>
  <c r="D15" i="15"/>
  <c r="B15" i="15"/>
  <c r="F15" i="15" s="1"/>
  <c r="H14" i="15"/>
  <c r="G14" i="15"/>
  <c r="E14" i="15"/>
  <c r="D14" i="15"/>
  <c r="C14" i="15"/>
  <c r="B14" i="15"/>
  <c r="F14" i="15" s="1"/>
  <c r="B13" i="15"/>
  <c r="H13" i="15" s="1"/>
  <c r="E12" i="15"/>
  <c r="B12" i="15"/>
  <c r="G12" i="15" s="1"/>
  <c r="B777" i="16"/>
  <c r="B776" i="16"/>
  <c r="B778" i="16" s="1"/>
  <c r="G768" i="16"/>
  <c r="B768" i="16"/>
  <c r="B770" i="16" s="1"/>
  <c r="B771" i="16" s="1"/>
  <c r="B764" i="16"/>
  <c r="B761" i="16"/>
  <c r="J750" i="16"/>
  <c r="I750" i="16"/>
  <c r="F750" i="16"/>
  <c r="E750" i="16"/>
  <c r="D750" i="16"/>
  <c r="H750" i="16" s="1"/>
  <c r="C750" i="16"/>
  <c r="G750" i="16" s="1"/>
  <c r="J749" i="16"/>
  <c r="I749" i="16"/>
  <c r="F749" i="16"/>
  <c r="E749" i="16"/>
  <c r="D749" i="16"/>
  <c r="H749" i="16" s="1"/>
  <c r="C749" i="16"/>
  <c r="G749" i="16" s="1"/>
  <c r="K749" i="16" s="1"/>
  <c r="J748" i="16"/>
  <c r="I748" i="16"/>
  <c r="F748" i="16"/>
  <c r="E748" i="16"/>
  <c r="D748" i="16"/>
  <c r="H748" i="16" s="1"/>
  <c r="C748" i="16"/>
  <c r="G748" i="16" s="1"/>
  <c r="K748" i="16" s="1"/>
  <c r="J747" i="16"/>
  <c r="I747" i="16"/>
  <c r="F747" i="16"/>
  <c r="E747" i="16"/>
  <c r="D747" i="16"/>
  <c r="H747" i="16" s="1"/>
  <c r="C747" i="16"/>
  <c r="G747" i="16" s="1"/>
  <c r="J746" i="16"/>
  <c r="I746" i="16"/>
  <c r="F746" i="16"/>
  <c r="E746" i="16"/>
  <c r="D746" i="16"/>
  <c r="H746" i="16" s="1"/>
  <c r="C746" i="16"/>
  <c r="G746" i="16" s="1"/>
  <c r="K746" i="16" s="1"/>
  <c r="J745" i="16"/>
  <c r="I745" i="16"/>
  <c r="F745" i="16"/>
  <c r="E745" i="16"/>
  <c r="D745" i="16"/>
  <c r="H745" i="16" s="1"/>
  <c r="C745" i="16"/>
  <c r="G745" i="16" s="1"/>
  <c r="J744" i="16"/>
  <c r="I744" i="16"/>
  <c r="F744" i="16"/>
  <c r="E744" i="16"/>
  <c r="D744" i="16"/>
  <c r="H744" i="16" s="1"/>
  <c r="C744" i="16"/>
  <c r="G744" i="16" s="1"/>
  <c r="K744" i="16" s="1"/>
  <c r="J743" i="16"/>
  <c r="I743" i="16"/>
  <c r="F743" i="16"/>
  <c r="E743" i="16"/>
  <c r="D743" i="16"/>
  <c r="H743" i="16" s="1"/>
  <c r="C743" i="16"/>
  <c r="G743" i="16" s="1"/>
  <c r="J742" i="16"/>
  <c r="I742" i="16"/>
  <c r="F742" i="16"/>
  <c r="E742" i="16"/>
  <c r="D742" i="16"/>
  <c r="H742" i="16" s="1"/>
  <c r="C742" i="16"/>
  <c r="G742" i="16" s="1"/>
  <c r="K742" i="16" s="1"/>
  <c r="J741" i="16"/>
  <c r="I741" i="16"/>
  <c r="F741" i="16"/>
  <c r="E741" i="16"/>
  <c r="D741" i="16"/>
  <c r="H741" i="16" s="1"/>
  <c r="C741" i="16"/>
  <c r="G741" i="16" s="1"/>
  <c r="J740" i="16"/>
  <c r="I740" i="16"/>
  <c r="F740" i="16"/>
  <c r="E740" i="16"/>
  <c r="D740" i="16"/>
  <c r="H740" i="16" s="1"/>
  <c r="C740" i="16"/>
  <c r="G740" i="16" s="1"/>
  <c r="K740" i="16" s="1"/>
  <c r="J739" i="16"/>
  <c r="I739" i="16"/>
  <c r="H739" i="16"/>
  <c r="F739" i="16"/>
  <c r="E739" i="16"/>
  <c r="D739" i="16"/>
  <c r="C739" i="16"/>
  <c r="G739" i="16" s="1"/>
  <c r="K739" i="16" s="1"/>
  <c r="L731" i="16"/>
  <c r="G731" i="16"/>
  <c r="F731" i="16"/>
  <c r="M731" i="16" s="1"/>
  <c r="E731" i="16"/>
  <c r="D731" i="16"/>
  <c r="C731" i="16"/>
  <c r="I731" i="16" s="1"/>
  <c r="H717" i="16"/>
  <c r="G717" i="16"/>
  <c r="F717" i="16"/>
  <c r="E717" i="16"/>
  <c r="D717" i="16"/>
  <c r="C717" i="16"/>
  <c r="H716" i="16"/>
  <c r="G716" i="16"/>
  <c r="F716" i="16"/>
  <c r="E716" i="16"/>
  <c r="D716" i="16"/>
  <c r="C716" i="16"/>
  <c r="H715" i="16"/>
  <c r="G715" i="16"/>
  <c r="F715" i="16"/>
  <c r="E715" i="16"/>
  <c r="D715" i="16"/>
  <c r="C715" i="16"/>
  <c r="B699" i="16"/>
  <c r="B698" i="16" s="1"/>
  <c r="B697" i="16"/>
  <c r="B685" i="16"/>
  <c r="B682" i="16"/>
  <c r="B689" i="16" s="1"/>
  <c r="G689" i="16" s="1"/>
  <c r="J661" i="16"/>
  <c r="I661" i="16"/>
  <c r="F661" i="16"/>
  <c r="E661" i="16"/>
  <c r="D661" i="16"/>
  <c r="H661" i="16" s="1"/>
  <c r="C661" i="16"/>
  <c r="G661" i="16" s="1"/>
  <c r="K661" i="16" s="1"/>
  <c r="J660" i="16"/>
  <c r="I660" i="16"/>
  <c r="F660" i="16"/>
  <c r="E660" i="16"/>
  <c r="D660" i="16"/>
  <c r="H660" i="16" s="1"/>
  <c r="C660" i="16"/>
  <c r="G660" i="16" s="1"/>
  <c r="K660" i="16" s="1"/>
  <c r="M652" i="16"/>
  <c r="N652" i="16" s="1"/>
  <c r="H652" i="16" s="1"/>
  <c r="I652" i="16"/>
  <c r="L652" i="16" s="1"/>
  <c r="G652" i="16"/>
  <c r="B673" i="16" s="1"/>
  <c r="F652" i="16"/>
  <c r="E652" i="16"/>
  <c r="D652" i="16"/>
  <c r="C652" i="16"/>
  <c r="H637" i="16"/>
  <c r="G637" i="16"/>
  <c r="F637" i="16"/>
  <c r="E637" i="16"/>
  <c r="D637" i="16"/>
  <c r="C637" i="16"/>
  <c r="H636" i="16"/>
  <c r="G636" i="16"/>
  <c r="F636" i="16"/>
  <c r="E636" i="16"/>
  <c r="D636" i="16"/>
  <c r="C636" i="16"/>
  <c r="B618" i="16"/>
  <c r="B620" i="16" s="1"/>
  <c r="B619" i="16" s="1"/>
  <c r="B607" i="16"/>
  <c r="B606" i="16"/>
  <c r="B603" i="16"/>
  <c r="B610" i="16" s="1"/>
  <c r="B594" i="16"/>
  <c r="B624" i="16" s="1"/>
  <c r="J583" i="16"/>
  <c r="I583" i="16"/>
  <c r="H583" i="16"/>
  <c r="F583" i="16"/>
  <c r="E583" i="16"/>
  <c r="D583" i="16"/>
  <c r="C583" i="16"/>
  <c r="G583" i="16" s="1"/>
  <c r="K583" i="16" s="1"/>
  <c r="J582" i="16"/>
  <c r="I582" i="16"/>
  <c r="F582" i="16"/>
  <c r="E582" i="16"/>
  <c r="D582" i="16"/>
  <c r="H582" i="16" s="1"/>
  <c r="C582" i="16"/>
  <c r="G582" i="16" s="1"/>
  <c r="J581" i="16"/>
  <c r="I581" i="16"/>
  <c r="F581" i="16"/>
  <c r="E581" i="16"/>
  <c r="D581" i="16"/>
  <c r="H581" i="16" s="1"/>
  <c r="C581" i="16"/>
  <c r="G581" i="16" s="1"/>
  <c r="K581" i="16" s="1"/>
  <c r="N573" i="16"/>
  <c r="L573" i="16"/>
  <c r="I573" i="16"/>
  <c r="H573" i="16"/>
  <c r="G573" i="16"/>
  <c r="F573" i="16"/>
  <c r="M573" i="16" s="1"/>
  <c r="E573" i="16"/>
  <c r="D573" i="16"/>
  <c r="C573" i="16"/>
  <c r="H559" i="16"/>
  <c r="G559" i="16"/>
  <c r="F559" i="16"/>
  <c r="E559" i="16"/>
  <c r="D559" i="16"/>
  <c r="C559" i="16"/>
  <c r="H558" i="16"/>
  <c r="G558" i="16"/>
  <c r="F558" i="16"/>
  <c r="E558" i="16"/>
  <c r="D558" i="16"/>
  <c r="C558" i="16"/>
  <c r="H557" i="16"/>
  <c r="G557" i="16"/>
  <c r="F557" i="16"/>
  <c r="E557" i="16"/>
  <c r="D557" i="16"/>
  <c r="C557" i="16"/>
  <c r="B539" i="16"/>
  <c r="B541" i="16" s="1"/>
  <c r="B540" i="16" s="1"/>
  <c r="B531" i="16"/>
  <c r="B527" i="16"/>
  <c r="B528" i="16" s="1"/>
  <c r="B524" i="16"/>
  <c r="J504" i="16"/>
  <c r="I504" i="16"/>
  <c r="F504" i="16"/>
  <c r="E504" i="16"/>
  <c r="D504" i="16"/>
  <c r="H504" i="16" s="1"/>
  <c r="C504" i="16"/>
  <c r="G504" i="16" s="1"/>
  <c r="K504" i="16" s="1"/>
  <c r="J503" i="16"/>
  <c r="I503" i="16"/>
  <c r="F503" i="16"/>
  <c r="E503" i="16"/>
  <c r="D503" i="16"/>
  <c r="H503" i="16" s="1"/>
  <c r="C503" i="16"/>
  <c r="G503" i="16" s="1"/>
  <c r="J502" i="16"/>
  <c r="I502" i="16"/>
  <c r="F502" i="16"/>
  <c r="E502" i="16"/>
  <c r="D502" i="16"/>
  <c r="H502" i="16" s="1"/>
  <c r="C502" i="16"/>
  <c r="G502" i="16" s="1"/>
  <c r="K502" i="16" s="1"/>
  <c r="H483" i="16"/>
  <c r="G483" i="16"/>
  <c r="F483" i="16"/>
  <c r="E483" i="16"/>
  <c r="D483" i="16"/>
  <c r="C483" i="16"/>
  <c r="H482" i="16"/>
  <c r="G482" i="16"/>
  <c r="F482" i="16"/>
  <c r="E482" i="16"/>
  <c r="D482" i="16"/>
  <c r="C482" i="16"/>
  <c r="H481" i="16"/>
  <c r="G481" i="16"/>
  <c r="F481" i="16"/>
  <c r="E481" i="16"/>
  <c r="D481" i="16"/>
  <c r="C481" i="16"/>
  <c r="H480" i="16"/>
  <c r="G480" i="16"/>
  <c r="F480" i="16"/>
  <c r="E480" i="16"/>
  <c r="D480" i="16"/>
  <c r="C480" i="16"/>
  <c r="H479" i="16"/>
  <c r="G479" i="16"/>
  <c r="F479" i="16"/>
  <c r="E479" i="16"/>
  <c r="D479" i="16"/>
  <c r="C479" i="16"/>
  <c r="H478" i="16"/>
  <c r="B515" i="16" s="1"/>
  <c r="B545" i="16" s="1"/>
  <c r="G478" i="16"/>
  <c r="F478" i="16"/>
  <c r="E478" i="16"/>
  <c r="D478" i="16"/>
  <c r="C478" i="16"/>
  <c r="B463" i="16"/>
  <c r="B462" i="16"/>
  <c r="B461" i="16"/>
  <c r="B450" i="16"/>
  <c r="B449" i="16"/>
  <c r="B446" i="16"/>
  <c r="B453" i="16" s="1"/>
  <c r="B455" i="16" s="1"/>
  <c r="B456" i="16" s="1"/>
  <c r="J428" i="16"/>
  <c r="I428" i="16"/>
  <c r="F428" i="16"/>
  <c r="E428" i="16"/>
  <c r="D428" i="16"/>
  <c r="H428" i="16" s="1"/>
  <c r="C428" i="16"/>
  <c r="G428" i="16" s="1"/>
  <c r="J427" i="16"/>
  <c r="I427" i="16"/>
  <c r="F427" i="16"/>
  <c r="E427" i="16"/>
  <c r="D427" i="16"/>
  <c r="H427" i="16" s="1"/>
  <c r="C427" i="16"/>
  <c r="G427" i="16" s="1"/>
  <c r="K427" i="16" s="1"/>
  <c r="J426" i="16"/>
  <c r="I426" i="16"/>
  <c r="F426" i="16"/>
  <c r="E426" i="16"/>
  <c r="D426" i="16"/>
  <c r="H426" i="16" s="1"/>
  <c r="C426" i="16"/>
  <c r="G426" i="16" s="1"/>
  <c r="J425" i="16"/>
  <c r="I425" i="16"/>
  <c r="F425" i="16"/>
  <c r="E425" i="16"/>
  <c r="D425" i="16"/>
  <c r="H425" i="16" s="1"/>
  <c r="C425" i="16"/>
  <c r="G425" i="16" s="1"/>
  <c r="J424" i="16"/>
  <c r="I424" i="16"/>
  <c r="F424" i="16"/>
  <c r="E424" i="16"/>
  <c r="D424" i="16"/>
  <c r="H424" i="16" s="1"/>
  <c r="C424" i="16"/>
  <c r="G424" i="16" s="1"/>
  <c r="H402" i="16"/>
  <c r="G402" i="16"/>
  <c r="F402" i="16"/>
  <c r="E402" i="16"/>
  <c r="D402" i="16"/>
  <c r="C402" i="16"/>
  <c r="H401" i="16"/>
  <c r="G401" i="16"/>
  <c r="F401" i="16"/>
  <c r="E401" i="16"/>
  <c r="D401" i="16"/>
  <c r="C401" i="16"/>
  <c r="H400" i="16"/>
  <c r="G400" i="16"/>
  <c r="F400" i="16"/>
  <c r="E400" i="16"/>
  <c r="D400" i="16"/>
  <c r="C400" i="16"/>
  <c r="B385" i="16"/>
  <c r="B384" i="16" s="1"/>
  <c r="B383" i="16"/>
  <c r="B377" i="16"/>
  <c r="B378" i="16" s="1"/>
  <c r="B375" i="16"/>
  <c r="G375" i="16" s="1"/>
  <c r="B371" i="16"/>
  <c r="B372" i="16" s="1"/>
  <c r="B368" i="16"/>
  <c r="J350" i="16"/>
  <c r="I350" i="16"/>
  <c r="F350" i="16"/>
  <c r="E350" i="16"/>
  <c r="D350" i="16"/>
  <c r="H350" i="16" s="1"/>
  <c r="C350" i="16"/>
  <c r="G350" i="16" s="1"/>
  <c r="K350" i="16" s="1"/>
  <c r="J349" i="16"/>
  <c r="I349" i="16"/>
  <c r="H349" i="16"/>
  <c r="F349" i="16"/>
  <c r="E349" i="16"/>
  <c r="D349" i="16"/>
  <c r="C349" i="16"/>
  <c r="G349" i="16" s="1"/>
  <c r="K349" i="16" s="1"/>
  <c r="J348" i="16"/>
  <c r="I348" i="16"/>
  <c r="F348" i="16"/>
  <c r="E348" i="16"/>
  <c r="D348" i="16"/>
  <c r="H348" i="16" s="1"/>
  <c r="C348" i="16"/>
  <c r="G348" i="16" s="1"/>
  <c r="J347" i="16"/>
  <c r="I347" i="16"/>
  <c r="F347" i="16"/>
  <c r="E347" i="16"/>
  <c r="D347" i="16"/>
  <c r="H347" i="16" s="1"/>
  <c r="C347" i="16"/>
  <c r="G347" i="16" s="1"/>
  <c r="K347" i="16" s="1"/>
  <c r="J346" i="16"/>
  <c r="I346" i="16"/>
  <c r="F346" i="16"/>
  <c r="E346" i="16"/>
  <c r="D346" i="16"/>
  <c r="H346" i="16" s="1"/>
  <c r="C346" i="16"/>
  <c r="G346" i="16" s="1"/>
  <c r="K346" i="16" s="1"/>
  <c r="H325" i="16"/>
  <c r="G325" i="16"/>
  <c r="F325" i="16"/>
  <c r="E325" i="16"/>
  <c r="D325" i="16"/>
  <c r="C325" i="16"/>
  <c r="H324" i="16"/>
  <c r="G324" i="16"/>
  <c r="F324" i="16"/>
  <c r="E324" i="16"/>
  <c r="D324" i="16"/>
  <c r="C324" i="16"/>
  <c r="H323" i="16"/>
  <c r="G323" i="16"/>
  <c r="F323" i="16"/>
  <c r="E323" i="16"/>
  <c r="D323" i="16"/>
  <c r="C323" i="16"/>
  <c r="H322" i="16"/>
  <c r="B359" i="16" s="1"/>
  <c r="G322" i="16"/>
  <c r="F322" i="16"/>
  <c r="E322" i="16"/>
  <c r="D322" i="16"/>
  <c r="C322" i="16"/>
  <c r="B306" i="16"/>
  <c r="B305" i="16"/>
  <c r="B304" i="16"/>
  <c r="G296" i="16"/>
  <c r="B292" i="16"/>
  <c r="B289" i="16"/>
  <c r="B296" i="16" s="1"/>
  <c r="B298" i="16" s="1"/>
  <c r="B299" i="16" s="1"/>
  <c r="J270" i="16"/>
  <c r="I270" i="16"/>
  <c r="F270" i="16"/>
  <c r="E270" i="16"/>
  <c r="D270" i="16"/>
  <c r="H270" i="16" s="1"/>
  <c r="C270" i="16"/>
  <c r="G270" i="16" s="1"/>
  <c r="J269" i="16"/>
  <c r="I269" i="16"/>
  <c r="F269" i="16"/>
  <c r="E269" i="16"/>
  <c r="D269" i="16"/>
  <c r="H269" i="16" s="1"/>
  <c r="C269" i="16"/>
  <c r="G269" i="16" s="1"/>
  <c r="J268" i="16"/>
  <c r="I268" i="16"/>
  <c r="F268" i="16"/>
  <c r="E268" i="16"/>
  <c r="D268" i="16"/>
  <c r="H268" i="16" s="1"/>
  <c r="C268" i="16"/>
  <c r="G268" i="16" s="1"/>
  <c r="K268" i="16" s="1"/>
  <c r="J267" i="16"/>
  <c r="I267" i="16"/>
  <c r="F267" i="16"/>
  <c r="E267" i="16"/>
  <c r="D267" i="16"/>
  <c r="H267" i="16" s="1"/>
  <c r="C267" i="16"/>
  <c r="G267" i="16" s="1"/>
  <c r="H246" i="16"/>
  <c r="G246" i="16"/>
  <c r="F246" i="16"/>
  <c r="E246" i="16"/>
  <c r="D246" i="16"/>
  <c r="C246" i="16"/>
  <c r="H245" i="16"/>
  <c r="G245" i="16"/>
  <c r="F245" i="16"/>
  <c r="E245" i="16"/>
  <c r="D245" i="16"/>
  <c r="C245" i="16"/>
  <c r="H244" i="16"/>
  <c r="G244" i="16"/>
  <c r="F244" i="16"/>
  <c r="E244" i="16"/>
  <c r="D244" i="16"/>
  <c r="C244" i="16"/>
  <c r="H243" i="16"/>
  <c r="B280" i="16" s="1"/>
  <c r="B310" i="16" s="1"/>
  <c r="G243" i="16"/>
  <c r="F243" i="16"/>
  <c r="E243" i="16"/>
  <c r="D243" i="16"/>
  <c r="C243" i="16"/>
  <c r="B227" i="16"/>
  <c r="B226" i="16" s="1"/>
  <c r="B225" i="16"/>
  <c r="B213" i="16"/>
  <c r="B210" i="16"/>
  <c r="B217" i="16" s="1"/>
  <c r="G217" i="16" s="1"/>
  <c r="J190" i="16"/>
  <c r="I190" i="16"/>
  <c r="F190" i="16"/>
  <c r="E190" i="16"/>
  <c r="D190" i="16"/>
  <c r="H190" i="16" s="1"/>
  <c r="C190" i="16"/>
  <c r="G190" i="16" s="1"/>
  <c r="K190" i="16" s="1"/>
  <c r="J189" i="16"/>
  <c r="I189" i="16"/>
  <c r="F189" i="16"/>
  <c r="E189" i="16"/>
  <c r="D189" i="16"/>
  <c r="H189" i="16" s="1"/>
  <c r="C189" i="16"/>
  <c r="G189" i="16" s="1"/>
  <c r="J188" i="16"/>
  <c r="I188" i="16"/>
  <c r="F188" i="16"/>
  <c r="E188" i="16"/>
  <c r="D188" i="16"/>
  <c r="H188" i="16" s="1"/>
  <c r="C188" i="16"/>
  <c r="G188" i="16" s="1"/>
  <c r="G180" i="16"/>
  <c r="F180" i="16"/>
  <c r="M180" i="16" s="1"/>
  <c r="E180" i="16"/>
  <c r="D180" i="16"/>
  <c r="C180" i="16"/>
  <c r="I180" i="16" s="1"/>
  <c r="L180" i="16" s="1"/>
  <c r="H165" i="16"/>
  <c r="G165" i="16"/>
  <c r="F165" i="16"/>
  <c r="E165" i="16"/>
  <c r="D165" i="16"/>
  <c r="C165" i="16"/>
  <c r="H164" i="16"/>
  <c r="G164" i="16"/>
  <c r="F164" i="16"/>
  <c r="E164" i="16"/>
  <c r="D164" i="16"/>
  <c r="C164" i="16"/>
  <c r="B145" i="16"/>
  <c r="B147" i="16" s="1"/>
  <c r="B146" i="16" s="1"/>
  <c r="B68" i="16"/>
  <c r="B67" i="16" s="1"/>
  <c r="B22" i="16"/>
  <c r="B21" i="16"/>
  <c r="V12" i="16"/>
  <c r="V11" i="16"/>
  <c r="V10" i="16"/>
  <c r="V9" i="16"/>
  <c r="V8" i="16"/>
  <c r="V7" i="16"/>
  <c r="B778" i="15"/>
  <c r="B777" i="15" s="1"/>
  <c r="B776" i="15"/>
  <c r="B770" i="15"/>
  <c r="B771" i="15" s="1"/>
  <c r="B764" i="15"/>
  <c r="B761" i="15"/>
  <c r="B768" i="15" s="1"/>
  <c r="G768" i="15" s="1"/>
  <c r="J750" i="15"/>
  <c r="I750" i="15"/>
  <c r="F750" i="15"/>
  <c r="E750" i="15"/>
  <c r="D750" i="15"/>
  <c r="H750" i="15" s="1"/>
  <c r="C750" i="15"/>
  <c r="G750" i="15" s="1"/>
  <c r="K750" i="15" s="1"/>
  <c r="J749" i="15"/>
  <c r="I749" i="15"/>
  <c r="F749" i="15"/>
  <c r="E749" i="15"/>
  <c r="D749" i="15"/>
  <c r="H749" i="15" s="1"/>
  <c r="C749" i="15"/>
  <c r="G749" i="15" s="1"/>
  <c r="K749" i="15" s="1"/>
  <c r="J748" i="15"/>
  <c r="I748" i="15"/>
  <c r="F748" i="15"/>
  <c r="E748" i="15"/>
  <c r="D748" i="15"/>
  <c r="H748" i="15" s="1"/>
  <c r="C748" i="15"/>
  <c r="G748" i="15" s="1"/>
  <c r="J747" i="15"/>
  <c r="I747" i="15"/>
  <c r="F747" i="15"/>
  <c r="E747" i="15"/>
  <c r="D747" i="15"/>
  <c r="H747" i="15" s="1"/>
  <c r="C747" i="15"/>
  <c r="G747" i="15" s="1"/>
  <c r="J746" i="15"/>
  <c r="I746" i="15"/>
  <c r="F746" i="15"/>
  <c r="E746" i="15"/>
  <c r="D746" i="15"/>
  <c r="H746" i="15" s="1"/>
  <c r="C746" i="15"/>
  <c r="G746" i="15" s="1"/>
  <c r="K746" i="15" s="1"/>
  <c r="J745" i="15"/>
  <c r="I745" i="15"/>
  <c r="F745" i="15"/>
  <c r="E745" i="15"/>
  <c r="D745" i="15"/>
  <c r="H745" i="15" s="1"/>
  <c r="C745" i="15"/>
  <c r="G745" i="15" s="1"/>
  <c r="K745" i="15" s="1"/>
  <c r="J744" i="15"/>
  <c r="I744" i="15"/>
  <c r="F744" i="15"/>
  <c r="E744" i="15"/>
  <c r="D744" i="15"/>
  <c r="H744" i="15" s="1"/>
  <c r="C744" i="15"/>
  <c r="G744" i="15" s="1"/>
  <c r="J743" i="15"/>
  <c r="I743" i="15"/>
  <c r="F743" i="15"/>
  <c r="E743" i="15"/>
  <c r="D743" i="15"/>
  <c r="H743" i="15" s="1"/>
  <c r="C743" i="15"/>
  <c r="G743" i="15" s="1"/>
  <c r="K743" i="15" s="1"/>
  <c r="J742" i="15"/>
  <c r="I742" i="15"/>
  <c r="F742" i="15"/>
  <c r="E742" i="15"/>
  <c r="D742" i="15"/>
  <c r="H742" i="15" s="1"/>
  <c r="C742" i="15"/>
  <c r="G742" i="15" s="1"/>
  <c r="J741" i="15"/>
  <c r="I741" i="15"/>
  <c r="F741" i="15"/>
  <c r="E741" i="15"/>
  <c r="D741" i="15"/>
  <c r="H741" i="15" s="1"/>
  <c r="C741" i="15"/>
  <c r="G741" i="15" s="1"/>
  <c r="K741" i="15" s="1"/>
  <c r="J740" i="15"/>
  <c r="I740" i="15"/>
  <c r="F740" i="15"/>
  <c r="E740" i="15"/>
  <c r="D740" i="15"/>
  <c r="H740" i="15" s="1"/>
  <c r="C740" i="15"/>
  <c r="G740" i="15" s="1"/>
  <c r="J739" i="15"/>
  <c r="I739" i="15"/>
  <c r="F739" i="15"/>
  <c r="E739" i="15"/>
  <c r="D739" i="15"/>
  <c r="H739" i="15" s="1"/>
  <c r="C739" i="15"/>
  <c r="G739" i="15" s="1"/>
  <c r="K739" i="15" s="1"/>
  <c r="M731" i="15"/>
  <c r="N731" i="15" s="1"/>
  <c r="H731" i="15" s="1"/>
  <c r="G731" i="15"/>
  <c r="F731" i="15"/>
  <c r="E731" i="15"/>
  <c r="D731" i="15"/>
  <c r="C731" i="15"/>
  <c r="I731" i="15" s="1"/>
  <c r="L731" i="15" s="1"/>
  <c r="H717" i="15"/>
  <c r="G717" i="15"/>
  <c r="F717" i="15"/>
  <c r="E717" i="15"/>
  <c r="D717" i="15"/>
  <c r="C717" i="15"/>
  <c r="H716" i="15"/>
  <c r="G716" i="15"/>
  <c r="F716" i="15"/>
  <c r="E716" i="15"/>
  <c r="D716" i="15"/>
  <c r="C716" i="15"/>
  <c r="H715" i="15"/>
  <c r="G715" i="15"/>
  <c r="F715" i="15"/>
  <c r="E715" i="15"/>
  <c r="D715" i="15"/>
  <c r="C715" i="15"/>
  <c r="B703" i="15"/>
  <c r="B699" i="15"/>
  <c r="B698" i="15" s="1"/>
  <c r="B697" i="15"/>
  <c r="B685" i="15"/>
  <c r="B682" i="15"/>
  <c r="B689" i="15" s="1"/>
  <c r="J661" i="15"/>
  <c r="I661" i="15"/>
  <c r="F661" i="15"/>
  <c r="E661" i="15"/>
  <c r="D661" i="15"/>
  <c r="H661" i="15" s="1"/>
  <c r="C661" i="15"/>
  <c r="G661" i="15" s="1"/>
  <c r="K661" i="15" s="1"/>
  <c r="J660" i="15"/>
  <c r="I660" i="15"/>
  <c r="H660" i="15"/>
  <c r="F660" i="15"/>
  <c r="E660" i="15"/>
  <c r="D660" i="15"/>
  <c r="C660" i="15"/>
  <c r="G660" i="15" s="1"/>
  <c r="K660" i="15" s="1"/>
  <c r="L652" i="15"/>
  <c r="G652" i="15"/>
  <c r="B673" i="15" s="1"/>
  <c r="F652" i="15"/>
  <c r="M652" i="15" s="1"/>
  <c r="E652" i="15"/>
  <c r="D652" i="15"/>
  <c r="C652" i="15"/>
  <c r="I652" i="15" s="1"/>
  <c r="H637" i="15"/>
  <c r="G637" i="15"/>
  <c r="F637" i="15"/>
  <c r="E637" i="15"/>
  <c r="D637" i="15"/>
  <c r="C637" i="15"/>
  <c r="H636" i="15"/>
  <c r="G636" i="15"/>
  <c r="F636" i="15"/>
  <c r="E636" i="15"/>
  <c r="D636" i="15"/>
  <c r="C636" i="15"/>
  <c r="B618" i="15"/>
  <c r="B620" i="15" s="1"/>
  <c r="B619" i="15" s="1"/>
  <c r="B610" i="15"/>
  <c r="B607" i="15"/>
  <c r="B606" i="15"/>
  <c r="B603" i="15"/>
  <c r="J583" i="15"/>
  <c r="I583" i="15"/>
  <c r="F583" i="15"/>
  <c r="E583" i="15"/>
  <c r="D583" i="15"/>
  <c r="H583" i="15" s="1"/>
  <c r="C583" i="15"/>
  <c r="G583" i="15" s="1"/>
  <c r="K583" i="15" s="1"/>
  <c r="J582" i="15"/>
  <c r="I582" i="15"/>
  <c r="F582" i="15"/>
  <c r="E582" i="15"/>
  <c r="D582" i="15"/>
  <c r="H582" i="15" s="1"/>
  <c r="C582" i="15"/>
  <c r="G582" i="15" s="1"/>
  <c r="J581" i="15"/>
  <c r="I581" i="15"/>
  <c r="F581" i="15"/>
  <c r="E581" i="15"/>
  <c r="D581" i="15"/>
  <c r="H581" i="15" s="1"/>
  <c r="C581" i="15"/>
  <c r="G581" i="15" s="1"/>
  <c r="K581" i="15" s="1"/>
  <c r="I573" i="15"/>
  <c r="L573" i="15" s="1"/>
  <c r="G573" i="15"/>
  <c r="F573" i="15"/>
  <c r="M573" i="15" s="1"/>
  <c r="N573" i="15" s="1"/>
  <c r="H573" i="15" s="1"/>
  <c r="E573" i="15"/>
  <c r="D573" i="15"/>
  <c r="C573" i="15"/>
  <c r="H559" i="15"/>
  <c r="G559" i="15"/>
  <c r="F559" i="15"/>
  <c r="E559" i="15"/>
  <c r="D559" i="15"/>
  <c r="C559" i="15"/>
  <c r="H558" i="15"/>
  <c r="G558" i="15"/>
  <c r="F558" i="15"/>
  <c r="E558" i="15"/>
  <c r="D558" i="15"/>
  <c r="C558" i="15"/>
  <c r="H557" i="15"/>
  <c r="B594" i="15" s="1"/>
  <c r="B624" i="15" s="1"/>
  <c r="G557" i="15"/>
  <c r="F557" i="15"/>
  <c r="E557" i="15"/>
  <c r="D557" i="15"/>
  <c r="C557" i="15"/>
  <c r="B541" i="15"/>
  <c r="B540" i="15"/>
  <c r="B539" i="15"/>
  <c r="G531" i="15"/>
  <c r="B527" i="15"/>
  <c r="B528" i="15" s="1"/>
  <c r="B524" i="15"/>
  <c r="B531" i="15" s="1"/>
  <c r="B533" i="15" s="1"/>
  <c r="B534" i="15" s="1"/>
  <c r="J504" i="15"/>
  <c r="I504" i="15"/>
  <c r="F504" i="15"/>
  <c r="E504" i="15"/>
  <c r="D504" i="15"/>
  <c r="H504" i="15" s="1"/>
  <c r="C504" i="15"/>
  <c r="G504" i="15" s="1"/>
  <c r="J503" i="15"/>
  <c r="I503" i="15"/>
  <c r="F503" i="15"/>
  <c r="E503" i="15"/>
  <c r="D503" i="15"/>
  <c r="H503" i="15" s="1"/>
  <c r="C503" i="15"/>
  <c r="G503" i="15" s="1"/>
  <c r="K503" i="15" s="1"/>
  <c r="J502" i="15"/>
  <c r="I502" i="15"/>
  <c r="H502" i="15"/>
  <c r="F502" i="15"/>
  <c r="E502" i="15"/>
  <c r="D502" i="15"/>
  <c r="C502" i="15"/>
  <c r="G502" i="15" s="1"/>
  <c r="H483" i="15"/>
  <c r="G483" i="15"/>
  <c r="F483" i="15"/>
  <c r="E483" i="15"/>
  <c r="D483" i="15"/>
  <c r="C483" i="15"/>
  <c r="H482" i="15"/>
  <c r="G482" i="15"/>
  <c r="F482" i="15"/>
  <c r="E482" i="15"/>
  <c r="D482" i="15"/>
  <c r="C482" i="15"/>
  <c r="H481" i="15"/>
  <c r="G481" i="15"/>
  <c r="F481" i="15"/>
  <c r="E481" i="15"/>
  <c r="D481" i="15"/>
  <c r="C481" i="15"/>
  <c r="H480" i="15"/>
  <c r="G480" i="15"/>
  <c r="F480" i="15"/>
  <c r="E480" i="15"/>
  <c r="D480" i="15"/>
  <c r="C480" i="15"/>
  <c r="H479" i="15"/>
  <c r="G479" i="15"/>
  <c r="F479" i="15"/>
  <c r="E479" i="15"/>
  <c r="D479" i="15"/>
  <c r="C479" i="15"/>
  <c r="H478" i="15"/>
  <c r="B515" i="15" s="1"/>
  <c r="G478" i="15"/>
  <c r="F478" i="15"/>
  <c r="E478" i="15"/>
  <c r="D478" i="15"/>
  <c r="C478" i="15"/>
  <c r="B463" i="15"/>
  <c r="B462" i="15" s="1"/>
  <c r="B461" i="15"/>
  <c r="B455" i="15"/>
  <c r="B456" i="15" s="1"/>
  <c r="B449" i="15"/>
  <c r="B450" i="15" s="1"/>
  <c r="B446" i="15"/>
  <c r="B453" i="15" s="1"/>
  <c r="G453" i="15" s="1"/>
  <c r="J428" i="15"/>
  <c r="I428" i="15"/>
  <c r="F428" i="15"/>
  <c r="E428" i="15"/>
  <c r="D428" i="15"/>
  <c r="H428" i="15" s="1"/>
  <c r="C428" i="15"/>
  <c r="G428" i="15" s="1"/>
  <c r="K428" i="15" s="1"/>
  <c r="J427" i="15"/>
  <c r="I427" i="15"/>
  <c r="H427" i="15"/>
  <c r="F427" i="15"/>
  <c r="E427" i="15"/>
  <c r="D427" i="15"/>
  <c r="C427" i="15"/>
  <c r="G427" i="15" s="1"/>
  <c r="K427" i="15" s="1"/>
  <c r="J426" i="15"/>
  <c r="I426" i="15"/>
  <c r="F426" i="15"/>
  <c r="E426" i="15"/>
  <c r="D426" i="15"/>
  <c r="H426" i="15" s="1"/>
  <c r="C426" i="15"/>
  <c r="G426" i="15" s="1"/>
  <c r="J425" i="15"/>
  <c r="I425" i="15"/>
  <c r="F425" i="15"/>
  <c r="E425" i="15"/>
  <c r="D425" i="15"/>
  <c r="H425" i="15" s="1"/>
  <c r="C425" i="15"/>
  <c r="G425" i="15" s="1"/>
  <c r="K425" i="15" s="1"/>
  <c r="J424" i="15"/>
  <c r="I424" i="15"/>
  <c r="F424" i="15"/>
  <c r="E424" i="15"/>
  <c r="D424" i="15"/>
  <c r="H424" i="15" s="1"/>
  <c r="C424" i="15"/>
  <c r="G424" i="15" s="1"/>
  <c r="K424" i="15" s="1"/>
  <c r="H402" i="15"/>
  <c r="G402" i="15"/>
  <c r="F402" i="15"/>
  <c r="E402" i="15"/>
  <c r="D402" i="15"/>
  <c r="C402" i="15"/>
  <c r="H401" i="15"/>
  <c r="G401" i="15"/>
  <c r="F401" i="15"/>
  <c r="E401" i="15"/>
  <c r="D401" i="15"/>
  <c r="C401" i="15"/>
  <c r="H400" i="15"/>
  <c r="B437" i="15" s="1"/>
  <c r="G400" i="15"/>
  <c r="F400" i="15"/>
  <c r="E400" i="15"/>
  <c r="D400" i="15"/>
  <c r="C400" i="15"/>
  <c r="B383" i="15"/>
  <c r="B385" i="15" s="1"/>
  <c r="B384" i="15" s="1"/>
  <c r="B375" i="15"/>
  <c r="G375" i="15" s="1"/>
  <c r="B372" i="15"/>
  <c r="B371" i="15"/>
  <c r="B368" i="15"/>
  <c r="J350" i="15"/>
  <c r="I350" i="15"/>
  <c r="F350" i="15"/>
  <c r="E350" i="15"/>
  <c r="D350" i="15"/>
  <c r="H350" i="15" s="1"/>
  <c r="C350" i="15"/>
  <c r="G350" i="15" s="1"/>
  <c r="J349" i="15"/>
  <c r="I349" i="15"/>
  <c r="F349" i="15"/>
  <c r="E349" i="15"/>
  <c r="D349" i="15"/>
  <c r="H349" i="15" s="1"/>
  <c r="C349" i="15"/>
  <c r="G349" i="15" s="1"/>
  <c r="K349" i="15" s="1"/>
  <c r="J348" i="15"/>
  <c r="I348" i="15"/>
  <c r="F348" i="15"/>
  <c r="E348" i="15"/>
  <c r="D348" i="15"/>
  <c r="H348" i="15" s="1"/>
  <c r="C348" i="15"/>
  <c r="G348" i="15" s="1"/>
  <c r="J347" i="15"/>
  <c r="I347" i="15"/>
  <c r="F347" i="15"/>
  <c r="E347" i="15"/>
  <c r="D347" i="15"/>
  <c r="H347" i="15" s="1"/>
  <c r="C347" i="15"/>
  <c r="G347" i="15" s="1"/>
  <c r="K347" i="15" s="1"/>
  <c r="J346" i="15"/>
  <c r="I346" i="15"/>
  <c r="H346" i="15"/>
  <c r="F346" i="15"/>
  <c r="E346" i="15"/>
  <c r="D346" i="15"/>
  <c r="C346" i="15"/>
  <c r="G346" i="15" s="1"/>
  <c r="K346" i="15" s="1"/>
  <c r="H325" i="15"/>
  <c r="G325" i="15"/>
  <c r="F325" i="15"/>
  <c r="E325" i="15"/>
  <c r="D325" i="15"/>
  <c r="C325" i="15"/>
  <c r="H324" i="15"/>
  <c r="G324" i="15"/>
  <c r="F324" i="15"/>
  <c r="E324" i="15"/>
  <c r="D324" i="15"/>
  <c r="C324" i="15"/>
  <c r="H323" i="15"/>
  <c r="G323" i="15"/>
  <c r="F323" i="15"/>
  <c r="E323" i="15"/>
  <c r="D323" i="15"/>
  <c r="C323" i="15"/>
  <c r="H322" i="15"/>
  <c r="B359" i="15" s="1"/>
  <c r="G322" i="15"/>
  <c r="F322" i="15"/>
  <c r="E322" i="15"/>
  <c r="D322" i="15"/>
  <c r="C322" i="15"/>
  <c r="B306" i="15"/>
  <c r="B305" i="15" s="1"/>
  <c r="B304" i="15"/>
  <c r="B298" i="15"/>
  <c r="B299" i="15" s="1"/>
  <c r="B292" i="15"/>
  <c r="B289" i="15"/>
  <c r="B296" i="15" s="1"/>
  <c r="G296" i="15" s="1"/>
  <c r="J270" i="15"/>
  <c r="I270" i="15"/>
  <c r="F270" i="15"/>
  <c r="E270" i="15"/>
  <c r="D270" i="15"/>
  <c r="H270" i="15" s="1"/>
  <c r="C270" i="15"/>
  <c r="G270" i="15" s="1"/>
  <c r="K270" i="15" s="1"/>
  <c r="J269" i="15"/>
  <c r="I269" i="15"/>
  <c r="F269" i="15"/>
  <c r="E269" i="15"/>
  <c r="D269" i="15"/>
  <c r="H269" i="15" s="1"/>
  <c r="C269" i="15"/>
  <c r="G269" i="15" s="1"/>
  <c r="K269" i="15" s="1"/>
  <c r="J268" i="15"/>
  <c r="I268" i="15"/>
  <c r="F268" i="15"/>
  <c r="E268" i="15"/>
  <c r="D268" i="15"/>
  <c r="H268" i="15" s="1"/>
  <c r="C268" i="15"/>
  <c r="G268" i="15" s="1"/>
  <c r="K268" i="15" s="1"/>
  <c r="J267" i="15"/>
  <c r="I267" i="15"/>
  <c r="H267" i="15"/>
  <c r="F267" i="15"/>
  <c r="E267" i="15"/>
  <c r="D267" i="15"/>
  <c r="C267" i="15"/>
  <c r="G267" i="15" s="1"/>
  <c r="K267" i="15" s="1"/>
  <c r="H246" i="15"/>
  <c r="G246" i="15"/>
  <c r="F246" i="15"/>
  <c r="E246" i="15"/>
  <c r="D246" i="15"/>
  <c r="C246" i="15"/>
  <c r="H245" i="15"/>
  <c r="G245" i="15"/>
  <c r="F245" i="15"/>
  <c r="E245" i="15"/>
  <c r="D245" i="15"/>
  <c r="C245" i="15"/>
  <c r="H244" i="15"/>
  <c r="G244" i="15"/>
  <c r="F244" i="15"/>
  <c r="E244" i="15"/>
  <c r="D244" i="15"/>
  <c r="C244" i="15"/>
  <c r="H243" i="15"/>
  <c r="B280" i="15" s="1"/>
  <c r="G243" i="15"/>
  <c r="F243" i="15"/>
  <c r="E243" i="15"/>
  <c r="D243" i="15"/>
  <c r="C243" i="15"/>
  <c r="B227" i="15"/>
  <c r="B226" i="15" s="1"/>
  <c r="B225" i="15"/>
  <c r="B219" i="15"/>
  <c r="B220" i="15" s="1"/>
  <c r="B213" i="15"/>
  <c r="B210" i="15"/>
  <c r="B217" i="15" s="1"/>
  <c r="G217" i="15" s="1"/>
  <c r="J190" i="15"/>
  <c r="I190" i="15"/>
  <c r="F190" i="15"/>
  <c r="E190" i="15"/>
  <c r="D190" i="15"/>
  <c r="H190" i="15" s="1"/>
  <c r="C190" i="15"/>
  <c r="G190" i="15" s="1"/>
  <c r="K190" i="15" s="1"/>
  <c r="J189" i="15"/>
  <c r="I189" i="15"/>
  <c r="F189" i="15"/>
  <c r="E189" i="15"/>
  <c r="D189" i="15"/>
  <c r="H189" i="15" s="1"/>
  <c r="C189" i="15"/>
  <c r="G189" i="15" s="1"/>
  <c r="K189" i="15" s="1"/>
  <c r="J188" i="15"/>
  <c r="I188" i="15"/>
  <c r="F188" i="15"/>
  <c r="E188" i="15"/>
  <c r="D188" i="15"/>
  <c r="H188" i="15" s="1"/>
  <c r="C188" i="15"/>
  <c r="G188" i="15" s="1"/>
  <c r="L180" i="15"/>
  <c r="G180" i="15"/>
  <c r="F180" i="15"/>
  <c r="M180" i="15" s="1"/>
  <c r="N180" i="15" s="1"/>
  <c r="H180" i="15" s="1"/>
  <c r="E180" i="15"/>
  <c r="D180" i="15"/>
  <c r="C180" i="15"/>
  <c r="I180" i="15" s="1"/>
  <c r="H165" i="15"/>
  <c r="G165" i="15"/>
  <c r="F165" i="15"/>
  <c r="E165" i="15"/>
  <c r="D165" i="15"/>
  <c r="C165" i="15"/>
  <c r="H164" i="15"/>
  <c r="G164" i="15"/>
  <c r="F164" i="15"/>
  <c r="E164" i="15"/>
  <c r="D164" i="15"/>
  <c r="C164" i="15"/>
  <c r="B145" i="15"/>
  <c r="B147" i="15" s="1"/>
  <c r="B146" i="15" s="1"/>
  <c r="B137" i="15"/>
  <c r="B68" i="15"/>
  <c r="B67" i="15" s="1"/>
  <c r="B22" i="15"/>
  <c r="B21" i="15"/>
  <c r="V12" i="15"/>
  <c r="V11" i="15"/>
  <c r="V10" i="15"/>
  <c r="V9" i="15"/>
  <c r="V8" i="15"/>
  <c r="V7" i="15"/>
  <c r="AD52" i="14"/>
  <c r="AG50" i="14"/>
  <c r="U16" i="14" s="1"/>
  <c r="AE50" i="14"/>
  <c r="S16" i="14" s="1"/>
  <c r="T16" i="14" s="1"/>
  <c r="AE47" i="14"/>
  <c r="AD47" i="14"/>
  <c r="AE46" i="14"/>
  <c r="AD46" i="14"/>
  <c r="AE45" i="14"/>
  <c r="AD45" i="14"/>
  <c r="AE44" i="14"/>
  <c r="AD44" i="14"/>
  <c r="AA41" i="14" s="1"/>
  <c r="Q14" i="14" s="1"/>
  <c r="AE43" i="14"/>
  <c r="AD43" i="14"/>
  <c r="AG41" i="14"/>
  <c r="AE41" i="14"/>
  <c r="AD37" i="14"/>
  <c r="AG36" i="14"/>
  <c r="AE36" i="14"/>
  <c r="AE33" i="14"/>
  <c r="AD33" i="14"/>
  <c r="AE32" i="14"/>
  <c r="AE28" i="14" s="1"/>
  <c r="AD32" i="14"/>
  <c r="AE31" i="14"/>
  <c r="AE30" i="14"/>
  <c r="AD30" i="14"/>
  <c r="AA28" i="14" s="1"/>
  <c r="AG28" i="14"/>
  <c r="AE26" i="14"/>
  <c r="AD26" i="14"/>
  <c r="AE25" i="14"/>
  <c r="AD25" i="14"/>
  <c r="AE24" i="14"/>
  <c r="AE22" i="14" s="1"/>
  <c r="AD24" i="14"/>
  <c r="AA22" i="14" s="1"/>
  <c r="AE20" i="14"/>
  <c r="AD20" i="14"/>
  <c r="AE19" i="14"/>
  <c r="AD19" i="14"/>
  <c r="AE18" i="14"/>
  <c r="AE14" i="14" s="1"/>
  <c r="AD18" i="14"/>
  <c r="AE17" i="14"/>
  <c r="AD17" i="14"/>
  <c r="AA14" i="14" s="1"/>
  <c r="AG14" i="14"/>
  <c r="U18" i="14" s="1"/>
  <c r="AE11" i="14"/>
  <c r="AG5" i="14" s="1"/>
  <c r="U15" i="14" s="1"/>
  <c r="AD11" i="14"/>
  <c r="AE10" i="14"/>
  <c r="AD10" i="14"/>
  <c r="AE9" i="14"/>
  <c r="AD9" i="14"/>
  <c r="AE8" i="14"/>
  <c r="AA8" i="14"/>
  <c r="AE7" i="14"/>
  <c r="AE5" i="14" s="1"/>
  <c r="S15" i="14" s="1"/>
  <c r="T15" i="14" s="1"/>
  <c r="AD7" i="14"/>
  <c r="AA5" i="14" s="1"/>
  <c r="CZ79" i="14"/>
  <c r="CZ78" i="14"/>
  <c r="CZ77" i="14"/>
  <c r="CZ76" i="14"/>
  <c r="CZ75" i="14"/>
  <c r="CZ73" i="14"/>
  <c r="CZ72" i="14"/>
  <c r="CZ71" i="14"/>
  <c r="CZ70" i="14"/>
  <c r="CZ68" i="14"/>
  <c r="CZ67" i="14"/>
  <c r="CZ66" i="14"/>
  <c r="CZ65" i="14"/>
  <c r="CZ63" i="14"/>
  <c r="CZ62" i="14"/>
  <c r="CZ61" i="14"/>
  <c r="CZ59" i="14"/>
  <c r="CZ58" i="14"/>
  <c r="AE58" i="14"/>
  <c r="AD58" i="14"/>
  <c r="CZ57" i="14"/>
  <c r="AE57" i="14"/>
  <c r="AD57" i="14"/>
  <c r="CZ56" i="14"/>
  <c r="AE56" i="14"/>
  <c r="AD56" i="14"/>
  <c r="CZ55" i="14"/>
  <c r="CZ54" i="14"/>
  <c r="AE54" i="14"/>
  <c r="CZ53" i="14"/>
  <c r="CZ52" i="14"/>
  <c r="CZ51" i="14"/>
  <c r="CZ50" i="14"/>
  <c r="BP50" i="14"/>
  <c r="CK49" i="14" s="1"/>
  <c r="CZ49" i="14"/>
  <c r="CL49" i="14"/>
  <c r="CE49" i="14"/>
  <c r="BP49" i="14"/>
  <c r="CK48" i="14" s="1"/>
  <c r="CZ48" i="14"/>
  <c r="CL48" i="14"/>
  <c r="CE48" i="14"/>
  <c r="BP48" i="14"/>
  <c r="CK47" i="14" s="1"/>
  <c r="CZ47" i="14"/>
  <c r="CL47" i="14"/>
  <c r="CE47" i="14"/>
  <c r="BP47" i="14"/>
  <c r="CK46" i="14" s="1"/>
  <c r="CZ46" i="14"/>
  <c r="CL46" i="14"/>
  <c r="CE46" i="14"/>
  <c r="BP46" i="14"/>
  <c r="CK45" i="14" s="1"/>
  <c r="CZ45" i="14"/>
  <c r="CL45" i="14"/>
  <c r="CE45" i="14"/>
  <c r="BP45" i="14"/>
  <c r="CZ44" i="14"/>
  <c r="CK44" i="14"/>
  <c r="CE44" i="14"/>
  <c r="CL44" i="14" s="1"/>
  <c r="BP44" i="14"/>
  <c r="CK43" i="14"/>
  <c r="CE43" i="14"/>
  <c r="CL43" i="14" s="1"/>
  <c r="BP43" i="14"/>
  <c r="CZ42" i="14"/>
  <c r="CK42" i="14"/>
  <c r="CE42" i="14"/>
  <c r="CL42" i="14" s="1"/>
  <c r="BP42" i="14"/>
  <c r="CZ41" i="14"/>
  <c r="CK41" i="14"/>
  <c r="CE41" i="14"/>
  <c r="CL41" i="14" s="1"/>
  <c r="CZ40" i="14"/>
  <c r="BP40" i="14"/>
  <c r="AR40" i="14"/>
  <c r="O40" i="14"/>
  <c r="CZ39" i="14"/>
  <c r="CK39" i="14"/>
  <c r="CE39" i="14"/>
  <c r="CL39" i="14" s="1"/>
  <c r="BP39" i="14"/>
  <c r="CZ38" i="14"/>
  <c r="CL38" i="14"/>
  <c r="CK38" i="14"/>
  <c r="CE38" i="14"/>
  <c r="BP38" i="14"/>
  <c r="CZ37" i="14"/>
  <c r="CL37" i="14"/>
  <c r="CK37" i="14"/>
  <c r="CE37" i="14"/>
  <c r="BP37" i="14"/>
  <c r="CK36" i="14" s="1"/>
  <c r="CZ36" i="14"/>
  <c r="CL36" i="14"/>
  <c r="CE36" i="14"/>
  <c r="H36" i="14"/>
  <c r="C36" i="14"/>
  <c r="CZ35" i="14"/>
  <c r="BP35" i="14"/>
  <c r="CZ34" i="14"/>
  <c r="CL34" i="14"/>
  <c r="CK34" i="14"/>
  <c r="CE34" i="14"/>
  <c r="BP34" i="14"/>
  <c r="CZ33" i="14"/>
  <c r="CK33" i="14"/>
  <c r="CE33" i="14"/>
  <c r="CL33" i="14" s="1"/>
  <c r="BP33" i="14"/>
  <c r="CZ32" i="14"/>
  <c r="CK32" i="14"/>
  <c r="CE32" i="14"/>
  <c r="CL32" i="14" s="1"/>
  <c r="BP32" i="14"/>
  <c r="CK31" i="14" s="1"/>
  <c r="CE31" i="14"/>
  <c r="CL31" i="14" s="1"/>
  <c r="BP31" i="14"/>
  <c r="CZ30" i="14"/>
  <c r="CK30" i="14"/>
  <c r="CE30" i="14"/>
  <c r="CL30" i="14" s="1"/>
  <c r="BP30" i="14"/>
  <c r="CZ29" i="14"/>
  <c r="CK29" i="14"/>
  <c r="CE29" i="14"/>
  <c r="CL29" i="14" s="1"/>
  <c r="CZ28" i="14"/>
  <c r="BP28" i="14"/>
  <c r="CK27" i="14" s="1"/>
  <c r="CZ27" i="14"/>
  <c r="CE27" i="14"/>
  <c r="CL27" i="14" s="1"/>
  <c r="BP27" i="14"/>
  <c r="CK26" i="14"/>
  <c r="CE26" i="14"/>
  <c r="CL26" i="14" s="1"/>
  <c r="BP26" i="14"/>
  <c r="C26" i="14"/>
  <c r="CK25" i="14"/>
  <c r="CE25" i="14"/>
  <c r="CL25" i="14" s="1"/>
  <c r="O25" i="14"/>
  <c r="CZ24" i="14"/>
  <c r="CL24" i="14"/>
  <c r="CK24" i="14"/>
  <c r="CJ24" i="14"/>
  <c r="BP24" i="14"/>
  <c r="Q24" i="14"/>
  <c r="CZ23" i="14"/>
  <c r="CK23" i="14"/>
  <c r="CE23" i="14"/>
  <c r="CL23" i="14" s="1"/>
  <c r="BP23" i="14"/>
  <c r="AR23" i="14"/>
  <c r="Q23" i="14"/>
  <c r="CZ22" i="14"/>
  <c r="CK22" i="14"/>
  <c r="CE22" i="14"/>
  <c r="CL22" i="14" s="1"/>
  <c r="BP22" i="14"/>
  <c r="Q22" i="14"/>
  <c r="O22" i="14"/>
  <c r="CZ21" i="14"/>
  <c r="CK21" i="14"/>
  <c r="CE21" i="14"/>
  <c r="CL21" i="14" s="1"/>
  <c r="BP21" i="14"/>
  <c r="Q21" i="14"/>
  <c r="CZ20" i="14"/>
  <c r="CL20" i="14"/>
  <c r="CK20" i="14"/>
  <c r="CE20" i="14"/>
  <c r="BP20" i="14"/>
  <c r="O20" i="14"/>
  <c r="CZ19" i="14"/>
  <c r="CK19" i="14"/>
  <c r="CE19" i="14"/>
  <c r="CL19" i="14" s="1"/>
  <c r="BP19" i="14"/>
  <c r="C19" i="14"/>
  <c r="CZ18" i="14"/>
  <c r="CL18" i="14"/>
  <c r="CK18" i="14"/>
  <c r="CE18" i="14"/>
  <c r="O18" i="14"/>
  <c r="CZ17" i="14"/>
  <c r="BP17" i="14"/>
  <c r="CZ16" i="14"/>
  <c r="CK16" i="14"/>
  <c r="CE16" i="14"/>
  <c r="CL16" i="14" s="1"/>
  <c r="BP16" i="14"/>
  <c r="Q16" i="14"/>
  <c r="R16" i="14" s="1"/>
  <c r="O16" i="14"/>
  <c r="CZ15" i="14"/>
  <c r="CL15" i="14"/>
  <c r="CK15" i="14"/>
  <c r="CE15" i="14"/>
  <c r="BP15" i="14"/>
  <c r="CZ14" i="14"/>
  <c r="CK14" i="14"/>
  <c r="CE14" i="14"/>
  <c r="CL14" i="14" s="1"/>
  <c r="BP14" i="14"/>
  <c r="CZ13" i="14"/>
  <c r="CL13" i="14"/>
  <c r="CK13" i="14"/>
  <c r="CE13" i="14"/>
  <c r="S13" i="14"/>
  <c r="T13" i="14" s="1"/>
  <c r="Q13" i="14"/>
  <c r="R13" i="14" s="1"/>
  <c r="I13" i="14"/>
  <c r="CZ12" i="14"/>
  <c r="CL12" i="14"/>
  <c r="CK12" i="14"/>
  <c r="CJ12" i="14"/>
  <c r="BP12" i="14"/>
  <c r="CK11" i="14" s="1"/>
  <c r="Q12" i="14"/>
  <c r="I12" i="14"/>
  <c r="O23" i="14" s="1"/>
  <c r="CZ11" i="14"/>
  <c r="CL11" i="14"/>
  <c r="CE11" i="14"/>
  <c r="BP11" i="14"/>
  <c r="CK10" i="14" s="1"/>
  <c r="Q11" i="14"/>
  <c r="I11" i="14"/>
  <c r="CZ10" i="14"/>
  <c r="CL10" i="14"/>
  <c r="CE10" i="14"/>
  <c r="BP10" i="14"/>
  <c r="CK9" i="14" s="1"/>
  <c r="Q10" i="14"/>
  <c r="I10" i="14"/>
  <c r="O21" i="14" s="1"/>
  <c r="CZ9" i="14"/>
  <c r="CL9" i="14"/>
  <c r="CE9" i="14"/>
  <c r="BP9" i="14"/>
  <c r="O9" i="14"/>
  <c r="I9" i="14"/>
  <c r="O13" i="14" s="1"/>
  <c r="U13" i="14" s="1"/>
  <c r="CZ8" i="14"/>
  <c r="CL8" i="14"/>
  <c r="CK8" i="14"/>
  <c r="CE8" i="14"/>
  <c r="I8" i="14"/>
  <c r="O12" i="14" s="1"/>
  <c r="CZ7" i="14"/>
  <c r="BP7" i="14"/>
  <c r="O7" i="14"/>
  <c r="I7" i="14"/>
  <c r="O11" i="14" s="1"/>
  <c r="C7" i="14"/>
  <c r="CZ6" i="14"/>
  <c r="CK6" i="14"/>
  <c r="CE6" i="14"/>
  <c r="CL6" i="14" s="1"/>
  <c r="BP6" i="14"/>
  <c r="I6" i="14"/>
  <c r="O10" i="14" s="1"/>
  <c r="C6" i="14"/>
  <c r="C23" i="14" s="1"/>
  <c r="CZ5" i="14"/>
  <c r="CL5" i="14"/>
  <c r="CK5" i="14"/>
  <c r="CE5" i="14"/>
  <c r="BP5" i="14"/>
  <c r="CK4" i="14" s="1"/>
  <c r="CE4" i="14"/>
  <c r="CL4" i="14" s="1"/>
  <c r="BP4" i="14"/>
  <c r="H4" i="14"/>
  <c r="C4" i="14"/>
  <c r="CK3" i="14"/>
  <c r="CE3" i="14"/>
  <c r="CL3" i="14" s="1"/>
  <c r="AD52" i="13"/>
  <c r="AG50" i="13"/>
  <c r="AE50" i="13"/>
  <c r="AE47" i="13"/>
  <c r="AD47" i="13"/>
  <c r="AE46" i="13"/>
  <c r="AD46" i="13"/>
  <c r="AE45" i="13"/>
  <c r="AD45" i="13"/>
  <c r="AE44" i="13"/>
  <c r="AD44" i="13"/>
  <c r="AE43" i="13"/>
  <c r="AG41" i="13" s="1"/>
  <c r="AD43" i="13"/>
  <c r="AA41" i="13"/>
  <c r="AD37" i="13"/>
  <c r="AG36" i="13"/>
  <c r="AE36" i="13"/>
  <c r="AE33" i="13"/>
  <c r="AD33" i="13"/>
  <c r="AE32" i="13"/>
  <c r="AD32" i="13"/>
  <c r="AE31" i="13"/>
  <c r="AG28" i="13" s="1"/>
  <c r="AE30" i="13"/>
  <c r="AD30" i="13"/>
  <c r="AA28" i="13" s="1"/>
  <c r="AE26" i="13"/>
  <c r="AD26" i="13"/>
  <c r="AE25" i="13"/>
  <c r="AD25" i="13"/>
  <c r="AE24" i="13"/>
  <c r="AE22" i="13" s="1"/>
  <c r="AD24" i="13"/>
  <c r="AA22" i="13" s="1"/>
  <c r="AG22" i="13"/>
  <c r="AE20" i="13"/>
  <c r="AD20" i="13"/>
  <c r="AE19" i="13"/>
  <c r="AD19" i="13"/>
  <c r="AE18" i="13"/>
  <c r="AD18" i="13"/>
  <c r="AE17" i="13"/>
  <c r="AD17" i="13"/>
  <c r="AA14" i="13" s="1"/>
  <c r="AG14" i="13"/>
  <c r="U20" i="13" s="1"/>
  <c r="AE14" i="13"/>
  <c r="S7" i="13" s="1"/>
  <c r="T7" i="13" s="1"/>
  <c r="AE11" i="13"/>
  <c r="AD11" i="13"/>
  <c r="AE10" i="13"/>
  <c r="AD10" i="13"/>
  <c r="AE9" i="13"/>
  <c r="AD9" i="13"/>
  <c r="AE8" i="13"/>
  <c r="AA8" i="13"/>
  <c r="AE7" i="13"/>
  <c r="AE5" i="13" s="1"/>
  <c r="AD7" i="13"/>
  <c r="AA5" i="13" s="1"/>
  <c r="AG5" i="13"/>
  <c r="U15" i="13" s="1"/>
  <c r="CZ79" i="13"/>
  <c r="CZ78" i="13"/>
  <c r="CZ77" i="13"/>
  <c r="CZ76" i="13"/>
  <c r="CZ75" i="13"/>
  <c r="CZ73" i="13"/>
  <c r="CZ72" i="13"/>
  <c r="CZ71" i="13"/>
  <c r="CZ70" i="13"/>
  <c r="CZ68" i="13"/>
  <c r="CZ67" i="13"/>
  <c r="CZ66" i="13"/>
  <c r="CZ65" i="13"/>
  <c r="CZ63" i="13"/>
  <c r="CZ62" i="13"/>
  <c r="CZ61" i="13"/>
  <c r="CZ59" i="13"/>
  <c r="CZ58" i="13"/>
  <c r="AE58" i="13"/>
  <c r="AD58" i="13"/>
  <c r="CZ57" i="13"/>
  <c r="AE57" i="13"/>
  <c r="AD57" i="13"/>
  <c r="CZ56" i="13"/>
  <c r="AE56" i="13"/>
  <c r="AE54" i="13" s="1"/>
  <c r="AD56" i="13"/>
  <c r="CZ55" i="13"/>
  <c r="CZ54" i="13"/>
  <c r="CZ53" i="13"/>
  <c r="CZ52" i="13"/>
  <c r="CZ51" i="13"/>
  <c r="CZ50" i="13"/>
  <c r="BP50" i="13"/>
  <c r="CK49" i="13" s="1"/>
  <c r="CZ49" i="13"/>
  <c r="CL49" i="13"/>
  <c r="CE49" i="13"/>
  <c r="BP49" i="13"/>
  <c r="CK48" i="13" s="1"/>
  <c r="CZ48" i="13"/>
  <c r="CL48" i="13"/>
  <c r="CE48" i="13"/>
  <c r="BP48" i="13"/>
  <c r="CK47" i="13" s="1"/>
  <c r="CZ47" i="13"/>
  <c r="CL47" i="13"/>
  <c r="CE47" i="13"/>
  <c r="BP47" i="13"/>
  <c r="CK46" i="13" s="1"/>
  <c r="CZ46" i="13"/>
  <c r="CL46" i="13"/>
  <c r="CE46" i="13"/>
  <c r="BP46" i="13"/>
  <c r="CK45" i="13" s="1"/>
  <c r="CZ45" i="13"/>
  <c r="CL45" i="13"/>
  <c r="CE45" i="13"/>
  <c r="BP45" i="13"/>
  <c r="Q14" i="13"/>
  <c r="CZ44" i="13"/>
  <c r="CK44" i="13"/>
  <c r="CE44" i="13"/>
  <c r="CL44" i="13" s="1"/>
  <c r="BP44" i="13"/>
  <c r="CK43" i="13"/>
  <c r="CE43" i="13"/>
  <c r="CL43" i="13" s="1"/>
  <c r="BP43" i="13"/>
  <c r="CZ42" i="13"/>
  <c r="CK42" i="13"/>
  <c r="CE42" i="13"/>
  <c r="CL42" i="13" s="1"/>
  <c r="BP42" i="13"/>
  <c r="CZ41" i="13"/>
  <c r="CK41" i="13"/>
  <c r="CE41" i="13"/>
  <c r="CL41" i="13" s="1"/>
  <c r="CZ40" i="13"/>
  <c r="BP40" i="13"/>
  <c r="AR40" i="13"/>
  <c r="O40" i="13"/>
  <c r="CZ39" i="13"/>
  <c r="CK39" i="13"/>
  <c r="CE39" i="13"/>
  <c r="CL39" i="13" s="1"/>
  <c r="BP39" i="13"/>
  <c r="CZ38" i="13"/>
  <c r="CL38" i="13"/>
  <c r="CK38" i="13"/>
  <c r="CE38" i="13"/>
  <c r="BP38" i="13"/>
  <c r="CZ37" i="13"/>
  <c r="CK37" i="13"/>
  <c r="CE37" i="13"/>
  <c r="CL37" i="13" s="1"/>
  <c r="BP37" i="13"/>
  <c r="CZ36" i="13"/>
  <c r="CK36" i="13"/>
  <c r="CE36" i="13"/>
  <c r="CL36" i="13" s="1"/>
  <c r="H36" i="13"/>
  <c r="C36" i="13"/>
  <c r="CZ35" i="13"/>
  <c r="BP35" i="13"/>
  <c r="CZ34" i="13"/>
  <c r="CK34" i="13"/>
  <c r="CE34" i="13"/>
  <c r="CL34" i="13" s="1"/>
  <c r="BP34" i="13"/>
  <c r="CZ33" i="13"/>
  <c r="CL33" i="13"/>
  <c r="CK33" i="13"/>
  <c r="CE33" i="13"/>
  <c r="BP33" i="13"/>
  <c r="CZ32" i="13"/>
  <c r="CL32" i="13"/>
  <c r="CK32" i="13"/>
  <c r="CE32" i="13"/>
  <c r="BP32" i="13"/>
  <c r="CL31" i="13"/>
  <c r="CK31" i="13"/>
  <c r="CE31" i="13"/>
  <c r="BP31" i="13"/>
  <c r="CZ30" i="13"/>
  <c r="CL30" i="13"/>
  <c r="CK30" i="13"/>
  <c r="CE30" i="13"/>
  <c r="BP30" i="13"/>
  <c r="CZ29" i="13"/>
  <c r="CL29" i="13"/>
  <c r="CK29" i="13"/>
  <c r="CE29" i="13"/>
  <c r="CZ28" i="13"/>
  <c r="BP28" i="13"/>
  <c r="CK27" i="13" s="1"/>
  <c r="CZ27" i="13"/>
  <c r="CE27" i="13"/>
  <c r="CL27" i="13" s="1"/>
  <c r="BP27" i="13"/>
  <c r="CL26" i="13"/>
  <c r="CK26" i="13"/>
  <c r="CE26" i="13"/>
  <c r="BP26" i="13"/>
  <c r="CK25" i="13" s="1"/>
  <c r="C26" i="13"/>
  <c r="CL25" i="13"/>
  <c r="CE25" i="13"/>
  <c r="O25" i="13"/>
  <c r="CZ24" i="13"/>
  <c r="CL24" i="13"/>
  <c r="CK24" i="13"/>
  <c r="CJ24" i="13"/>
  <c r="BP24" i="13"/>
  <c r="CK23" i="13" s="1"/>
  <c r="Q24" i="13"/>
  <c r="CZ23" i="13"/>
  <c r="CE23" i="13"/>
  <c r="CL23" i="13" s="1"/>
  <c r="BP23" i="13"/>
  <c r="AR23" i="13"/>
  <c r="U23" i="13"/>
  <c r="Q23" i="13"/>
  <c r="CZ22" i="13"/>
  <c r="CL22" i="13"/>
  <c r="CK22" i="13"/>
  <c r="CE22" i="13"/>
  <c r="BP22" i="13"/>
  <c r="Q22" i="13"/>
  <c r="R22" i="13" s="1"/>
  <c r="O22" i="13"/>
  <c r="CZ21" i="13"/>
  <c r="CL21" i="13"/>
  <c r="CK21" i="13"/>
  <c r="CE21" i="13"/>
  <c r="BP21" i="13"/>
  <c r="CK20" i="13" s="1"/>
  <c r="Q21" i="13"/>
  <c r="CZ20" i="13"/>
  <c r="CE20" i="13"/>
  <c r="CL20" i="13" s="1"/>
  <c r="BP20" i="13"/>
  <c r="O20" i="13"/>
  <c r="CZ19" i="13"/>
  <c r="CL19" i="13"/>
  <c r="CK19" i="13"/>
  <c r="CE19" i="13"/>
  <c r="BP19" i="13"/>
  <c r="CK18" i="13" s="1"/>
  <c r="C19" i="13"/>
  <c r="CZ18" i="13"/>
  <c r="CE18" i="13"/>
  <c r="CL18" i="13" s="1"/>
  <c r="O18" i="13"/>
  <c r="CZ17" i="13"/>
  <c r="BP17" i="13"/>
  <c r="CZ16" i="13"/>
  <c r="CL16" i="13"/>
  <c r="CK16" i="13"/>
  <c r="CE16" i="13"/>
  <c r="BP16" i="13"/>
  <c r="CK15" i="13" s="1"/>
  <c r="Q16" i="13"/>
  <c r="R16" i="13" s="1"/>
  <c r="O16" i="13"/>
  <c r="CZ15" i="13"/>
  <c r="CL15" i="13"/>
  <c r="CE15" i="13"/>
  <c r="BP15" i="13"/>
  <c r="CZ14" i="13"/>
  <c r="CL14" i="13"/>
  <c r="CK14" i="13"/>
  <c r="CE14" i="13"/>
  <c r="BP14" i="13"/>
  <c r="CK13" i="13" s="1"/>
  <c r="O14" i="13"/>
  <c r="CZ13" i="13"/>
  <c r="CE13" i="13"/>
  <c r="CL13" i="13" s="1"/>
  <c r="Q13" i="13"/>
  <c r="I13" i="13"/>
  <c r="O24" i="13" s="1"/>
  <c r="CZ12" i="13"/>
  <c r="CL12" i="13"/>
  <c r="CK12" i="13"/>
  <c r="CJ12" i="13"/>
  <c r="BP12" i="13"/>
  <c r="CK11" i="13" s="1"/>
  <c r="U12" i="13"/>
  <c r="Q12" i="13"/>
  <c r="I12" i="13"/>
  <c r="O23" i="13" s="1"/>
  <c r="CZ11" i="13"/>
  <c r="CE11" i="13"/>
  <c r="CL11" i="13" s="1"/>
  <c r="BP11" i="13"/>
  <c r="CK10" i="13" s="1"/>
  <c r="Q11" i="13"/>
  <c r="I11" i="13"/>
  <c r="CZ10" i="13"/>
  <c r="CE10" i="13"/>
  <c r="CL10" i="13" s="1"/>
  <c r="BP10" i="13"/>
  <c r="Q10" i="13"/>
  <c r="I10" i="13"/>
  <c r="CZ9" i="13"/>
  <c r="CK9" i="13"/>
  <c r="CE9" i="13"/>
  <c r="CL9" i="13" s="1"/>
  <c r="BP9" i="13"/>
  <c r="O9" i="13"/>
  <c r="I9" i="13"/>
  <c r="CZ8" i="13"/>
  <c r="CK8" i="13"/>
  <c r="CE8" i="13"/>
  <c r="CL8" i="13" s="1"/>
  <c r="I8" i="13"/>
  <c r="O12" i="13" s="1"/>
  <c r="CZ7" i="13"/>
  <c r="BP7" i="13"/>
  <c r="CK6" i="13" s="1"/>
  <c r="U7" i="13"/>
  <c r="O7" i="13"/>
  <c r="I7" i="13"/>
  <c r="O11" i="13" s="1"/>
  <c r="S11" i="13" s="1"/>
  <c r="T11" i="13" s="1"/>
  <c r="C7" i="13"/>
  <c r="CZ6" i="13"/>
  <c r="CL6" i="13"/>
  <c r="CE6" i="13"/>
  <c r="BP6" i="13"/>
  <c r="I6" i="13"/>
  <c r="O10" i="13" s="1"/>
  <c r="U10" i="13" s="1"/>
  <c r="C6" i="13"/>
  <c r="G18" i="13" s="1"/>
  <c r="CZ5" i="13"/>
  <c r="CL5" i="13"/>
  <c r="CK5" i="13"/>
  <c r="CE5" i="13"/>
  <c r="BP5" i="13"/>
  <c r="CK4" i="13" s="1"/>
  <c r="CE4" i="13"/>
  <c r="CL4" i="13" s="1"/>
  <c r="BP4" i="13"/>
  <c r="CK3" i="13" s="1"/>
  <c r="H4" i="13"/>
  <c r="C4" i="13"/>
  <c r="CE3" i="13"/>
  <c r="CL3" i="13" s="1"/>
  <c r="E84" i="20" l="1"/>
  <c r="B60" i="20"/>
  <c r="B61" i="20" s="1"/>
  <c r="G58" i="20"/>
  <c r="AZ9" i="18"/>
  <c r="CJ8" i="18" s="1"/>
  <c r="F33" i="20"/>
  <c r="F108" i="20"/>
  <c r="R18" i="18"/>
  <c r="H85" i="20" s="1"/>
  <c r="G85" i="20"/>
  <c r="E12" i="20"/>
  <c r="R9" i="18"/>
  <c r="H15" i="20" s="1"/>
  <c r="G15" i="20"/>
  <c r="B130" i="20"/>
  <c r="B137" i="20" s="1"/>
  <c r="R7" i="18"/>
  <c r="H13" i="20" s="1"/>
  <c r="G13" i="20"/>
  <c r="R29" i="18"/>
  <c r="AZ39" i="17"/>
  <c r="CJ38" i="17" s="1"/>
  <c r="J108" i="19"/>
  <c r="J33" i="19"/>
  <c r="Q42" i="18"/>
  <c r="U19" i="18"/>
  <c r="S19" i="18"/>
  <c r="T19" i="18" s="1"/>
  <c r="R19" i="18"/>
  <c r="H86" i="20" s="1"/>
  <c r="U26" i="18"/>
  <c r="S26" i="18"/>
  <c r="U31" i="18"/>
  <c r="S31" i="18"/>
  <c r="T31" i="18" s="1"/>
  <c r="O28" i="18"/>
  <c r="O45" i="18"/>
  <c r="T14" i="18"/>
  <c r="DG36" i="18"/>
  <c r="AZ24" i="18"/>
  <c r="CJ23" i="18" s="1"/>
  <c r="U17" i="18"/>
  <c r="AP31" i="18" s="1"/>
  <c r="S17" i="18"/>
  <c r="T17" i="18" s="1"/>
  <c r="R26" i="18"/>
  <c r="R31" i="18"/>
  <c r="U6" i="18"/>
  <c r="O8" i="18"/>
  <c r="E14" i="20" s="1"/>
  <c r="S6" i="18"/>
  <c r="R6" i="18"/>
  <c r="H12" i="20" s="1"/>
  <c r="DG33" i="18"/>
  <c r="AZ20" i="18"/>
  <c r="CJ19" i="18" s="1"/>
  <c r="U30" i="18"/>
  <c r="S30" i="18"/>
  <c r="T30" i="18" s="1"/>
  <c r="R17" i="18"/>
  <c r="H84" i="20" s="1"/>
  <c r="Q42" i="17"/>
  <c r="U26" i="17"/>
  <c r="S26" i="17"/>
  <c r="S17" i="17"/>
  <c r="T17" i="17" s="1"/>
  <c r="U17" i="17"/>
  <c r="U19" i="17"/>
  <c r="S19" i="17"/>
  <c r="T19" i="17" s="1"/>
  <c r="DG35" i="17"/>
  <c r="AZ22" i="17"/>
  <c r="CJ21" i="17" s="1"/>
  <c r="AZ30" i="17"/>
  <c r="CJ29" i="17" s="1"/>
  <c r="DG61" i="17"/>
  <c r="DG33" i="17"/>
  <c r="AZ20" i="17"/>
  <c r="CJ19" i="17" s="1"/>
  <c r="S30" i="17"/>
  <c r="T30" i="17" s="1"/>
  <c r="U30" i="17"/>
  <c r="R30" i="17"/>
  <c r="U29" i="17"/>
  <c r="S29" i="17"/>
  <c r="T29" i="17" s="1"/>
  <c r="O45" i="17"/>
  <c r="T14" i="17"/>
  <c r="DG36" i="17"/>
  <c r="AZ24" i="17"/>
  <c r="CJ23" i="17" s="1"/>
  <c r="S6" i="17"/>
  <c r="O8" i="17"/>
  <c r="U6" i="17"/>
  <c r="S31" i="17"/>
  <c r="T31" i="17" s="1"/>
  <c r="O28" i="17"/>
  <c r="U31" i="17"/>
  <c r="R31" i="17"/>
  <c r="B139" i="16"/>
  <c r="G137" i="16"/>
  <c r="K34" i="16"/>
  <c r="F16" i="16"/>
  <c r="C17" i="16"/>
  <c r="G17" i="16"/>
  <c r="D12" i="16"/>
  <c r="H12" i="16"/>
  <c r="E13" i="16"/>
  <c r="C15" i="16"/>
  <c r="G15" i="16"/>
  <c r="D16" i="16"/>
  <c r="H16" i="16"/>
  <c r="E17" i="16"/>
  <c r="C19" i="16"/>
  <c r="G19" i="16"/>
  <c r="F13" i="16"/>
  <c r="F17" i="16"/>
  <c r="F12" i="16"/>
  <c r="C13" i="16"/>
  <c r="G13" i="16"/>
  <c r="C12" i="16"/>
  <c r="D13" i="16"/>
  <c r="C16" i="16"/>
  <c r="D17" i="16"/>
  <c r="F13" i="15"/>
  <c r="F16" i="15"/>
  <c r="C17" i="15"/>
  <c r="G17" i="15"/>
  <c r="D12" i="15"/>
  <c r="H12" i="15"/>
  <c r="E13" i="15"/>
  <c r="C15" i="15"/>
  <c r="G15" i="15"/>
  <c r="D16" i="15"/>
  <c r="H16" i="15"/>
  <c r="E17" i="15"/>
  <c r="C19" i="15"/>
  <c r="G19" i="15"/>
  <c r="F17" i="15"/>
  <c r="F12" i="15"/>
  <c r="C13" i="15"/>
  <c r="G13" i="15"/>
  <c r="C12" i="15"/>
  <c r="D13" i="15"/>
  <c r="C16" i="15"/>
  <c r="D17" i="15"/>
  <c r="N180" i="16"/>
  <c r="H180" i="16" s="1"/>
  <c r="K189" i="16"/>
  <c r="K108" i="16"/>
  <c r="B121" i="16" s="1"/>
  <c r="B60" i="16"/>
  <c r="B61" i="16" s="1"/>
  <c r="B612" i="16"/>
  <c r="B613" i="16" s="1"/>
  <c r="G610" i="16"/>
  <c r="J28" i="16"/>
  <c r="L28" i="16" s="1"/>
  <c r="N28" i="16" s="1"/>
  <c r="H28" i="16" s="1"/>
  <c r="B42" i="16" s="1"/>
  <c r="B201" i="16"/>
  <c r="B219" i="16"/>
  <c r="B220" i="16" s="1"/>
  <c r="K269" i="16"/>
  <c r="B281" i="16"/>
  <c r="B311" i="16" s="1"/>
  <c r="B360" i="16"/>
  <c r="B390" i="16" s="1"/>
  <c r="B389" i="16"/>
  <c r="K425" i="16"/>
  <c r="B691" i="16"/>
  <c r="B692" i="16" s="1"/>
  <c r="N731" i="16"/>
  <c r="H731" i="16" s="1"/>
  <c r="K33" i="16"/>
  <c r="K267" i="16"/>
  <c r="K348" i="16"/>
  <c r="B437" i="16"/>
  <c r="K428" i="16"/>
  <c r="B533" i="16"/>
  <c r="B534" i="16" s="1"/>
  <c r="G531" i="16"/>
  <c r="K582" i="16"/>
  <c r="B674" i="16"/>
  <c r="B704" i="16" s="1"/>
  <c r="B703" i="16"/>
  <c r="B752" i="16"/>
  <c r="K745" i="16"/>
  <c r="K747" i="16"/>
  <c r="B140" i="16"/>
  <c r="K188" i="16"/>
  <c r="K270" i="16"/>
  <c r="K424" i="16"/>
  <c r="K426" i="16"/>
  <c r="G453" i="16"/>
  <c r="K503" i="16"/>
  <c r="B516" i="16"/>
  <c r="B546" i="16" s="1"/>
  <c r="B595" i="16"/>
  <c r="B625" i="16" s="1"/>
  <c r="K741" i="16"/>
  <c r="K743" i="16"/>
  <c r="K750" i="16"/>
  <c r="K108" i="15"/>
  <c r="B121" i="15" s="1"/>
  <c r="B140" i="15"/>
  <c r="G137" i="15"/>
  <c r="B360" i="15"/>
  <c r="B390" i="15" s="1"/>
  <c r="B389" i="15"/>
  <c r="K34" i="15"/>
  <c r="K33" i="15"/>
  <c r="K348" i="15"/>
  <c r="K350" i="15"/>
  <c r="B438" i="15"/>
  <c r="B468" i="15" s="1"/>
  <c r="B467" i="15"/>
  <c r="K504" i="15"/>
  <c r="K582" i="15"/>
  <c r="B595" i="15"/>
  <c r="B625" i="15" s="1"/>
  <c r="B612" i="15"/>
  <c r="B613" i="15" s="1"/>
  <c r="G610" i="15"/>
  <c r="G689" i="15"/>
  <c r="B691" i="15"/>
  <c r="B692" i="15" s="1"/>
  <c r="K740" i="15"/>
  <c r="K747" i="15"/>
  <c r="B545" i="15"/>
  <c r="B516" i="15"/>
  <c r="B546" i="15" s="1"/>
  <c r="N652" i="15"/>
  <c r="H652" i="15" s="1"/>
  <c r="K748" i="15"/>
  <c r="K502" i="15"/>
  <c r="B60" i="15"/>
  <c r="B61" i="15" s="1"/>
  <c r="J28" i="15"/>
  <c r="L28" i="15" s="1"/>
  <c r="N28" i="15" s="1"/>
  <c r="H28" i="15" s="1"/>
  <c r="B42" i="15" s="1"/>
  <c r="B201" i="15"/>
  <c r="K188" i="15"/>
  <c r="B310" i="15"/>
  <c r="B281" i="15"/>
  <c r="B311" i="15" s="1"/>
  <c r="K426" i="15"/>
  <c r="B674" i="15"/>
  <c r="B704" i="15" s="1"/>
  <c r="B752" i="15"/>
  <c r="K742" i="15"/>
  <c r="K744" i="15"/>
  <c r="B377" i="15"/>
  <c r="B378" i="15" s="1"/>
  <c r="Q7" i="14"/>
  <c r="R7" i="14" s="1"/>
  <c r="Q6" i="14"/>
  <c r="Q8" i="14"/>
  <c r="Q27" i="14"/>
  <c r="Q28" i="14"/>
  <c r="S18" i="14"/>
  <c r="T18" i="14" s="1"/>
  <c r="S9" i="14"/>
  <c r="T9" i="14" s="1"/>
  <c r="Q29" i="14"/>
  <c r="Q26" i="14"/>
  <c r="S7" i="14"/>
  <c r="T7" i="14" s="1"/>
  <c r="U7" i="14"/>
  <c r="S21" i="14"/>
  <c r="T21" i="14" s="1"/>
  <c r="AG22" i="14"/>
  <c r="U11" i="14"/>
  <c r="S11" i="14"/>
  <c r="T11" i="14" s="1"/>
  <c r="R11" i="14"/>
  <c r="S12" i="14"/>
  <c r="T12" i="14" s="1"/>
  <c r="U12" i="14"/>
  <c r="R12" i="14"/>
  <c r="S10" i="14"/>
  <c r="T10" i="14" s="1"/>
  <c r="U10" i="14"/>
  <c r="R10" i="14"/>
  <c r="G22" i="14"/>
  <c r="G20" i="14"/>
  <c r="D43" i="14"/>
  <c r="C34" i="14"/>
  <c r="AP9" i="14" s="1"/>
  <c r="AZ9" i="14" s="1"/>
  <c r="CJ8" i="14" s="1"/>
  <c r="O14" i="14"/>
  <c r="O42" i="14"/>
  <c r="G17" i="14"/>
  <c r="C24" i="14"/>
  <c r="C8" i="14"/>
  <c r="U9" i="14"/>
  <c r="G10" i="14"/>
  <c r="G12" i="14"/>
  <c r="O24" i="14"/>
  <c r="G13" i="14"/>
  <c r="Q9" i="14"/>
  <c r="R9" i="14" s="1"/>
  <c r="Q18" i="14"/>
  <c r="R18" i="14" s="1"/>
  <c r="Q20" i="14"/>
  <c r="R20" i="14" s="1"/>
  <c r="Q17" i="14"/>
  <c r="G18" i="14"/>
  <c r="G8" i="14"/>
  <c r="U21" i="14"/>
  <c r="U23" i="14"/>
  <c r="S23" i="14"/>
  <c r="T23" i="14" s="1"/>
  <c r="G7" i="14"/>
  <c r="G9" i="14"/>
  <c r="G11" i="14"/>
  <c r="Q19" i="14"/>
  <c r="G21" i="14"/>
  <c r="S22" i="14"/>
  <c r="T22" i="14" s="1"/>
  <c r="R22" i="14"/>
  <c r="U22" i="14"/>
  <c r="R24" i="14"/>
  <c r="AA54" i="14"/>
  <c r="Q25" i="14"/>
  <c r="R25" i="14" s="1"/>
  <c r="Q15" i="14"/>
  <c r="R15" i="14" s="1"/>
  <c r="G6" i="14"/>
  <c r="R35" i="14"/>
  <c r="G16" i="14"/>
  <c r="S20" i="14"/>
  <c r="T20" i="14" s="1"/>
  <c r="U20" i="14"/>
  <c r="R21" i="14"/>
  <c r="R23" i="14"/>
  <c r="H34" i="14"/>
  <c r="S25" i="14"/>
  <c r="T25" i="14" s="1"/>
  <c r="U25" i="14"/>
  <c r="Q29" i="13"/>
  <c r="Q26" i="13"/>
  <c r="AE28" i="13"/>
  <c r="S9" i="13"/>
  <c r="T9" i="13" s="1"/>
  <c r="AE41" i="13"/>
  <c r="U9" i="13"/>
  <c r="S23" i="13"/>
  <c r="T23" i="13" s="1"/>
  <c r="S20" i="13"/>
  <c r="T20" i="13" s="1"/>
  <c r="S12" i="13"/>
  <c r="T12" i="13" s="1"/>
  <c r="Q19" i="13"/>
  <c r="Q18" i="13"/>
  <c r="R18" i="13" s="1"/>
  <c r="Q8" i="13"/>
  <c r="Q6" i="13"/>
  <c r="Q17" i="13"/>
  <c r="Q9" i="13"/>
  <c r="R9" i="13" s="1"/>
  <c r="Q7" i="13"/>
  <c r="R7" i="13" s="1"/>
  <c r="Q20" i="13"/>
  <c r="R20" i="13" s="1"/>
  <c r="G22" i="13"/>
  <c r="R35" i="13"/>
  <c r="G21" i="13"/>
  <c r="Q28" i="13"/>
  <c r="Q27" i="13"/>
  <c r="C35" i="13"/>
  <c r="AP30" i="13" s="1"/>
  <c r="AZ30" i="13" s="1"/>
  <c r="CJ29" i="13" s="1"/>
  <c r="G16" i="13"/>
  <c r="O42" i="13"/>
  <c r="G6" i="13"/>
  <c r="R12" i="13"/>
  <c r="U24" i="13"/>
  <c r="S24" i="13"/>
  <c r="T24" i="13" s="1"/>
  <c r="S22" i="13"/>
  <c r="T22" i="13" s="1"/>
  <c r="U22" i="13"/>
  <c r="R23" i="13"/>
  <c r="G11" i="13"/>
  <c r="R14" i="13"/>
  <c r="D43" i="13"/>
  <c r="H34" i="13"/>
  <c r="R10" i="13"/>
  <c r="R11" i="13"/>
  <c r="S18" i="13"/>
  <c r="T18" i="13" s="1"/>
  <c r="U18" i="13"/>
  <c r="AA54" i="13"/>
  <c r="Q25" i="13"/>
  <c r="R25" i="13" s="1"/>
  <c r="Q15" i="13"/>
  <c r="R15" i="13" s="1"/>
  <c r="O13" i="13"/>
  <c r="G9" i="13"/>
  <c r="G10" i="13"/>
  <c r="O21" i="13"/>
  <c r="S14" i="13"/>
  <c r="O26" i="13"/>
  <c r="AP24" i="13"/>
  <c r="AZ24" i="13" s="1"/>
  <c r="CJ23" i="13" s="1"/>
  <c r="AP20" i="13"/>
  <c r="AZ20" i="13" s="1"/>
  <c r="CJ19" i="13" s="1"/>
  <c r="G7" i="13"/>
  <c r="G8" i="13"/>
  <c r="S10" i="13"/>
  <c r="T10" i="13" s="1"/>
  <c r="U11" i="13"/>
  <c r="G13" i="13"/>
  <c r="S16" i="13"/>
  <c r="T16" i="13" s="1"/>
  <c r="U16" i="13"/>
  <c r="R24" i="13"/>
  <c r="C34" i="13"/>
  <c r="AP9" i="13" s="1"/>
  <c r="AZ9" i="13" s="1"/>
  <c r="CJ8" i="13" s="1"/>
  <c r="U14" i="13"/>
  <c r="C8" i="13"/>
  <c r="G12" i="13"/>
  <c r="C23" i="13"/>
  <c r="G20" i="13" s="1"/>
  <c r="U25" i="13"/>
  <c r="R35" i="6"/>
  <c r="AP45" i="18" l="1"/>
  <c r="AP44" i="18"/>
  <c r="J108" i="20"/>
  <c r="J33" i="20"/>
  <c r="DG61" i="18"/>
  <c r="AZ30" i="18"/>
  <c r="CJ29" i="18" s="1"/>
  <c r="B139" i="20"/>
  <c r="B140" i="20" s="1"/>
  <c r="G137" i="20"/>
  <c r="F109" i="20"/>
  <c r="AP45" i="17"/>
  <c r="AP44" i="17"/>
  <c r="AP10" i="17"/>
  <c r="AP31" i="17"/>
  <c r="U8" i="18"/>
  <c r="Q40" i="18" s="1"/>
  <c r="S8" i="18"/>
  <c r="T8" i="18" s="1"/>
  <c r="R8" i="18"/>
  <c r="AZ40" i="18"/>
  <c r="CJ39" i="18" s="1"/>
  <c r="DG73" i="18"/>
  <c r="U28" i="18"/>
  <c r="AP32" i="18" s="1"/>
  <c r="S28" i="18"/>
  <c r="T28" i="18" s="1"/>
  <c r="R28" i="18"/>
  <c r="J109" i="20" s="1"/>
  <c r="T26" i="18"/>
  <c r="T6" i="18"/>
  <c r="AZ23" i="18"/>
  <c r="CJ22" i="18" s="1"/>
  <c r="DG37" i="18"/>
  <c r="DG27" i="18"/>
  <c r="AZ12" i="18"/>
  <c r="CJ11" i="18" s="1"/>
  <c r="O27" i="18"/>
  <c r="C27" i="18"/>
  <c r="DG70" i="18"/>
  <c r="AZ37" i="18"/>
  <c r="CJ36" i="18" s="1"/>
  <c r="DG77" i="18"/>
  <c r="AZ48" i="18"/>
  <c r="CJ47" i="18" s="1"/>
  <c r="U28" i="17"/>
  <c r="AP32" i="17" s="1"/>
  <c r="S28" i="17"/>
  <c r="T28" i="17" s="1"/>
  <c r="R28" i="17"/>
  <c r="J109" i="19" s="1"/>
  <c r="B121" i="19" s="1"/>
  <c r="AZ23" i="17"/>
  <c r="CJ22" i="17" s="1"/>
  <c r="DG37" i="17"/>
  <c r="U8" i="17"/>
  <c r="Q40" i="17" s="1"/>
  <c r="S8" i="17"/>
  <c r="T8" i="17" s="1"/>
  <c r="R8" i="17"/>
  <c r="H14" i="19" s="1"/>
  <c r="C27" i="17"/>
  <c r="O27" i="17"/>
  <c r="DG70" i="17"/>
  <c r="AZ37" i="17"/>
  <c r="CJ36" i="17" s="1"/>
  <c r="DG77" i="17"/>
  <c r="AZ48" i="17"/>
  <c r="CJ47" i="17" s="1"/>
  <c r="DG27" i="17"/>
  <c r="AZ12" i="17"/>
  <c r="CJ11" i="17" s="1"/>
  <c r="T6" i="17"/>
  <c r="DG73" i="17"/>
  <c r="AZ40" i="17"/>
  <c r="CJ39" i="17" s="1"/>
  <c r="T26" i="17"/>
  <c r="AZ19" i="17"/>
  <c r="CJ18" i="17" s="1"/>
  <c r="DG32" i="17"/>
  <c r="B72" i="16"/>
  <c r="B43" i="16"/>
  <c r="B73" i="16" s="1"/>
  <c r="W7" i="16" s="1"/>
  <c r="B151" i="16"/>
  <c r="B122" i="16"/>
  <c r="B152" i="16" s="1"/>
  <c r="W8" i="16" s="1"/>
  <c r="B202" i="16"/>
  <c r="B232" i="16" s="1"/>
  <c r="B231" i="16"/>
  <c r="B438" i="16"/>
  <c r="B468" i="16" s="1"/>
  <c r="B467" i="16"/>
  <c r="B782" i="16"/>
  <c r="B753" i="16"/>
  <c r="B783" i="16" s="1"/>
  <c r="B72" i="15"/>
  <c r="B43" i="15"/>
  <c r="B73" i="15" s="1"/>
  <c r="W7" i="15" s="1"/>
  <c r="B202" i="15"/>
  <c r="B232" i="15" s="1"/>
  <c r="B231" i="15"/>
  <c r="B782" i="15"/>
  <c r="B753" i="15"/>
  <c r="B783" i="15" s="1"/>
  <c r="B151" i="15"/>
  <c r="B122" i="15"/>
  <c r="B152" i="15" s="1"/>
  <c r="W8" i="15" s="1"/>
  <c r="O26" i="14"/>
  <c r="AP24" i="14"/>
  <c r="AZ24" i="14" s="1"/>
  <c r="CJ23" i="14" s="1"/>
  <c r="U14" i="14"/>
  <c r="S14" i="14"/>
  <c r="AP20" i="14"/>
  <c r="AZ20" i="14" s="1"/>
  <c r="CJ19" i="14" s="1"/>
  <c r="R14" i="14"/>
  <c r="O19" i="14"/>
  <c r="O31" i="14"/>
  <c r="O30" i="14"/>
  <c r="O6" i="14"/>
  <c r="O17" i="14"/>
  <c r="Q31" i="14"/>
  <c r="Q30" i="14"/>
  <c r="R19" i="14"/>
  <c r="S24" i="14"/>
  <c r="T24" i="14" s="1"/>
  <c r="U24" i="14"/>
  <c r="H35" i="14"/>
  <c r="O29" i="14"/>
  <c r="G24" i="14"/>
  <c r="C35" i="14"/>
  <c r="AP30" i="14" s="1"/>
  <c r="AZ30" i="14" s="1"/>
  <c r="CJ29" i="14" s="1"/>
  <c r="O39" i="14"/>
  <c r="Q42" i="13"/>
  <c r="AP12" i="13"/>
  <c r="AZ12" i="13" s="1"/>
  <c r="CJ11" i="13" s="1"/>
  <c r="R6" i="13"/>
  <c r="U26" i="13"/>
  <c r="S26" i="13"/>
  <c r="AP48" i="13"/>
  <c r="R26" i="13"/>
  <c r="Q30" i="13"/>
  <c r="R30" i="13" s="1"/>
  <c r="Q31" i="13"/>
  <c r="R31" i="13" s="1"/>
  <c r="O31" i="13"/>
  <c r="O17" i="13"/>
  <c r="O19" i="13"/>
  <c r="O6" i="13"/>
  <c r="O30" i="13"/>
  <c r="O45" i="13"/>
  <c r="T14" i="13"/>
  <c r="U13" i="13"/>
  <c r="S13" i="13"/>
  <c r="T13" i="13" s="1"/>
  <c r="R13" i="13"/>
  <c r="O29" i="13"/>
  <c r="G24" i="13"/>
  <c r="H35" i="13"/>
  <c r="G17" i="13"/>
  <c r="C24" i="13"/>
  <c r="U21" i="13"/>
  <c r="S21" i="13"/>
  <c r="T21" i="13" s="1"/>
  <c r="R21" i="13"/>
  <c r="S25" i="13"/>
  <c r="T25" i="13" s="1"/>
  <c r="S15" i="13"/>
  <c r="T15" i="13" s="1"/>
  <c r="R17" i="13"/>
  <c r="B33" i="3"/>
  <c r="B121" i="20" l="1"/>
  <c r="B151" i="20" s="1"/>
  <c r="AP10" i="18"/>
  <c r="AZ10" i="18" s="1"/>
  <c r="CJ9" i="18" s="1"/>
  <c r="F34" i="20"/>
  <c r="DG47" i="18"/>
  <c r="DG44" i="18"/>
  <c r="DG46" i="18"/>
  <c r="DG45" i="18"/>
  <c r="B122" i="20"/>
  <c r="B152" i="20" s="1"/>
  <c r="W8" i="20" s="1"/>
  <c r="DG48" i="18"/>
  <c r="DG50" i="18"/>
  <c r="DG51" i="18"/>
  <c r="DG49" i="18"/>
  <c r="O38" i="18"/>
  <c r="H14" i="20"/>
  <c r="DG52" i="18"/>
  <c r="DG55" i="18"/>
  <c r="DG54" i="18"/>
  <c r="DG53" i="18"/>
  <c r="DG59" i="18"/>
  <c r="DG58" i="18"/>
  <c r="DG56" i="18"/>
  <c r="DG57" i="18"/>
  <c r="B122" i="19"/>
  <c r="B152" i="19" s="1"/>
  <c r="W8" i="19" s="1"/>
  <c r="B151" i="19"/>
  <c r="O43" i="17"/>
  <c r="O43" i="18"/>
  <c r="AZ7" i="18"/>
  <c r="AZ26" i="18"/>
  <c r="CJ25" i="18" s="1"/>
  <c r="DG79" i="18"/>
  <c r="AZ50" i="18"/>
  <c r="CJ49" i="18" s="1"/>
  <c r="DG62" i="18"/>
  <c r="AZ31" i="18"/>
  <c r="CJ30" i="18" s="1"/>
  <c r="AZ28" i="18"/>
  <c r="CJ27" i="18" s="1"/>
  <c r="DG75" i="18"/>
  <c r="AZ44" i="18"/>
  <c r="CJ43" i="18" s="1"/>
  <c r="AZ43" i="18"/>
  <c r="CJ42" i="18" s="1"/>
  <c r="AP55" i="18"/>
  <c r="AZ45" i="18"/>
  <c r="CJ44" i="18" s="1"/>
  <c r="DG76" i="18"/>
  <c r="AZ27" i="18"/>
  <c r="CJ26" i="18" s="1"/>
  <c r="DG32" i="18"/>
  <c r="AZ19" i="18"/>
  <c r="CJ18" i="18" s="1"/>
  <c r="S27" i="18"/>
  <c r="U27" i="18"/>
  <c r="AP11" i="18" s="1"/>
  <c r="R27" i="18"/>
  <c r="J34" i="20" s="1"/>
  <c r="R34" i="18"/>
  <c r="AZ38" i="18"/>
  <c r="CJ37" i="18" s="1"/>
  <c r="DG71" i="18"/>
  <c r="AZ32" i="18"/>
  <c r="CJ31" i="18" s="1"/>
  <c r="DG63" i="18"/>
  <c r="AZ45" i="17"/>
  <c r="CJ44" i="17" s="1"/>
  <c r="DG76" i="17"/>
  <c r="AZ7" i="17"/>
  <c r="DG41" i="17"/>
  <c r="DG19" i="17"/>
  <c r="DG18" i="17"/>
  <c r="DG20" i="17"/>
  <c r="DG17" i="17"/>
  <c r="AZ28" i="17"/>
  <c r="CJ27" i="17" s="1"/>
  <c r="DG53" i="17"/>
  <c r="DG52" i="17"/>
  <c r="DG55" i="17"/>
  <c r="DG54" i="17"/>
  <c r="DG63" i="17"/>
  <c r="AZ32" i="17"/>
  <c r="CJ31" i="17" s="1"/>
  <c r="DG62" i="17"/>
  <c r="AZ31" i="17"/>
  <c r="CJ30" i="17" s="1"/>
  <c r="DG79" i="17"/>
  <c r="AZ50" i="17"/>
  <c r="CJ49" i="17" s="1"/>
  <c r="S27" i="17"/>
  <c r="U27" i="17"/>
  <c r="AP11" i="17" s="1"/>
  <c r="R27" i="17"/>
  <c r="J34" i="19" s="1"/>
  <c r="B42" i="19" s="1"/>
  <c r="AP55" i="17"/>
  <c r="AZ43" i="17"/>
  <c r="CJ42" i="17" s="1"/>
  <c r="DG57" i="17"/>
  <c r="DG59" i="17"/>
  <c r="DG58" i="17"/>
  <c r="DG56" i="17"/>
  <c r="AZ38" i="17"/>
  <c r="CJ37" i="17" s="1"/>
  <c r="DG71" i="17"/>
  <c r="AZ27" i="17"/>
  <c r="CJ26" i="17" s="1"/>
  <c r="DG48" i="17"/>
  <c r="DG49" i="17"/>
  <c r="DG50" i="17"/>
  <c r="DG51" i="17"/>
  <c r="DG75" i="17"/>
  <c r="AZ44" i="17"/>
  <c r="CJ43" i="17" s="1"/>
  <c r="O38" i="17"/>
  <c r="R34" i="17"/>
  <c r="AZ26" i="17"/>
  <c r="CJ25" i="17" s="1"/>
  <c r="DG46" i="17"/>
  <c r="DG45" i="17"/>
  <c r="DG44" i="17"/>
  <c r="DG47" i="17"/>
  <c r="W18" i="16"/>
  <c r="V31" i="16" s="1"/>
  <c r="W21" i="16"/>
  <c r="W18" i="15"/>
  <c r="V31" i="15" s="1"/>
  <c r="W21" i="15"/>
  <c r="R31" i="14"/>
  <c r="U30" i="14"/>
  <c r="S30" i="14"/>
  <c r="T30" i="14" s="1"/>
  <c r="O45" i="14"/>
  <c r="T14" i="14"/>
  <c r="Q42" i="14"/>
  <c r="AP12" i="14"/>
  <c r="AZ12" i="14" s="1"/>
  <c r="CJ11" i="14" s="1"/>
  <c r="U29" i="14"/>
  <c r="S29" i="14"/>
  <c r="T29" i="14" s="1"/>
  <c r="R29" i="14"/>
  <c r="AP26" i="14"/>
  <c r="S17" i="14"/>
  <c r="T17" i="14" s="1"/>
  <c r="U17" i="14"/>
  <c r="AP40" i="14"/>
  <c r="AZ40" i="14" s="1"/>
  <c r="CJ39" i="14" s="1"/>
  <c r="AP37" i="14"/>
  <c r="AZ37" i="14" s="1"/>
  <c r="CJ36" i="14" s="1"/>
  <c r="S19" i="14"/>
  <c r="T19" i="14" s="1"/>
  <c r="U19" i="14"/>
  <c r="U31" i="14"/>
  <c r="O28" i="14"/>
  <c r="AP28" i="14" s="1"/>
  <c r="S31" i="14"/>
  <c r="T31" i="14" s="1"/>
  <c r="R30" i="14"/>
  <c r="AP19" i="14"/>
  <c r="AZ19" i="14" s="1"/>
  <c r="CJ18" i="14" s="1"/>
  <c r="O8" i="14"/>
  <c r="C27" i="14"/>
  <c r="R6" i="14"/>
  <c r="S6" i="14"/>
  <c r="AP23" i="14"/>
  <c r="AZ23" i="14" s="1"/>
  <c r="CJ22" i="14" s="1"/>
  <c r="U6" i="14"/>
  <c r="R17" i="14"/>
  <c r="AP43" i="14"/>
  <c r="S26" i="14"/>
  <c r="AP48" i="14"/>
  <c r="U26" i="14"/>
  <c r="R26" i="14"/>
  <c r="S29" i="13"/>
  <c r="T29" i="13" s="1"/>
  <c r="U29" i="13"/>
  <c r="R29" i="13"/>
  <c r="U6" i="13"/>
  <c r="O8" i="13"/>
  <c r="AP19" i="13" s="1"/>
  <c r="AZ19" i="13" s="1"/>
  <c r="CJ18" i="13" s="1"/>
  <c r="S6" i="13"/>
  <c r="T26" i="13"/>
  <c r="U19" i="13"/>
  <c r="S19" i="13"/>
  <c r="T19" i="13" s="1"/>
  <c r="S17" i="13"/>
  <c r="T17" i="13" s="1"/>
  <c r="U17" i="13"/>
  <c r="AP37" i="13"/>
  <c r="AZ37" i="13" s="1"/>
  <c r="CJ36" i="13" s="1"/>
  <c r="AP40" i="13"/>
  <c r="AZ40" i="13" s="1"/>
  <c r="CJ39" i="13" s="1"/>
  <c r="R19" i="13"/>
  <c r="O39" i="13"/>
  <c r="S30" i="13"/>
  <c r="T30" i="13" s="1"/>
  <c r="U30" i="13"/>
  <c r="O27" i="13"/>
  <c r="AP7" i="13" s="1"/>
  <c r="S31" i="13"/>
  <c r="T31" i="13" s="1"/>
  <c r="O28" i="13"/>
  <c r="AP26" i="13" s="1"/>
  <c r="U31" i="13"/>
  <c r="AP50" i="13"/>
  <c r="AZ48" i="13"/>
  <c r="CJ47" i="13" s="1"/>
  <c r="AP44" i="13"/>
  <c r="AZ44" i="13" s="1"/>
  <c r="CJ43" i="13" s="1"/>
  <c r="AP45" i="13"/>
  <c r="AZ45" i="13" s="1"/>
  <c r="CJ44" i="13" s="1"/>
  <c r="AE58" i="6"/>
  <c r="AD58" i="6"/>
  <c r="AE57" i="6"/>
  <c r="AD57" i="6"/>
  <c r="AE56" i="6"/>
  <c r="AD56" i="6"/>
  <c r="AE54" i="6"/>
  <c r="AA54" i="6"/>
  <c r="Q30" i="6" s="1"/>
  <c r="B16" i="3"/>
  <c r="E5" i="3"/>
  <c r="DG29" i="18" l="1"/>
  <c r="B42" i="20"/>
  <c r="DG8" i="18"/>
  <c r="DG7" i="18"/>
  <c r="DG5" i="18"/>
  <c r="DG6" i="18"/>
  <c r="AZ46" i="18"/>
  <c r="CJ45" i="18" s="1"/>
  <c r="DG23" i="18"/>
  <c r="DG24" i="18"/>
  <c r="DG21" i="18"/>
  <c r="DG22" i="18"/>
  <c r="AZ42" i="18"/>
  <c r="CJ41" i="18" s="1"/>
  <c r="DG41" i="18"/>
  <c r="DG20" i="18"/>
  <c r="DG17" i="18"/>
  <c r="DG19" i="18"/>
  <c r="DG18" i="18"/>
  <c r="DG15" i="18"/>
  <c r="DG13" i="18"/>
  <c r="DG16" i="18"/>
  <c r="DG14" i="18"/>
  <c r="DG39" i="18"/>
  <c r="DG9" i="18"/>
  <c r="DG11" i="18"/>
  <c r="DG12" i="18"/>
  <c r="DG10" i="18"/>
  <c r="B72" i="19"/>
  <c r="B43" i="19"/>
  <c r="B73" i="19" s="1"/>
  <c r="W7" i="19" s="1"/>
  <c r="DG38" i="18"/>
  <c r="AZ4" i="18"/>
  <c r="DG65" i="18"/>
  <c r="AZ33" i="18"/>
  <c r="CJ32" i="18" s="1"/>
  <c r="AZ5" i="18"/>
  <c r="AZ49" i="18"/>
  <c r="CJ48" i="18" s="1"/>
  <c r="DG78" i="18"/>
  <c r="T27" i="18"/>
  <c r="O44" i="18"/>
  <c r="DG66" i="18"/>
  <c r="AZ34" i="18"/>
  <c r="CJ33" i="18" s="1"/>
  <c r="AP57" i="18"/>
  <c r="AZ47" i="18"/>
  <c r="CJ46" i="18" s="1"/>
  <c r="DG68" i="18"/>
  <c r="AZ21" i="18"/>
  <c r="CJ20" i="18" s="1"/>
  <c r="DG34" i="18"/>
  <c r="DG42" i="18"/>
  <c r="AP56" i="18"/>
  <c r="DG67" i="18"/>
  <c r="AZ35" i="18"/>
  <c r="CJ34" i="18" s="1"/>
  <c r="AZ17" i="18"/>
  <c r="CJ16" i="18" s="1"/>
  <c r="CJ6" i="18"/>
  <c r="DG40" i="18"/>
  <c r="AZ6" i="18"/>
  <c r="Q41" i="18"/>
  <c r="AP54" i="18"/>
  <c r="AP54" i="17"/>
  <c r="AZ42" i="17"/>
  <c r="CJ41" i="17" s="1"/>
  <c r="DG21" i="17"/>
  <c r="DG23" i="17"/>
  <c r="DG24" i="17"/>
  <c r="DG22" i="17"/>
  <c r="AZ34" i="17"/>
  <c r="CJ33" i="17" s="1"/>
  <c r="DG66" i="17"/>
  <c r="DG29" i="17"/>
  <c r="AZ10" i="17"/>
  <c r="CJ9" i="17" s="1"/>
  <c r="AZ4" i="17"/>
  <c r="DG38" i="17"/>
  <c r="DG8" i="17"/>
  <c r="DG7" i="17"/>
  <c r="DG6" i="17"/>
  <c r="DG39" i="17"/>
  <c r="AZ5" i="17"/>
  <c r="DG9" i="17"/>
  <c r="DG10" i="17"/>
  <c r="DG12" i="17"/>
  <c r="DG11" i="17"/>
  <c r="AZ49" i="17"/>
  <c r="CJ48" i="17" s="1"/>
  <c r="DG78" i="17"/>
  <c r="DG40" i="17"/>
  <c r="AZ6" i="17"/>
  <c r="DG16" i="17"/>
  <c r="DG15" i="17"/>
  <c r="DG14" i="17"/>
  <c r="DG13" i="17"/>
  <c r="Q41" i="17"/>
  <c r="AZ17" i="17"/>
  <c r="CJ16" i="17" s="1"/>
  <c r="CJ6" i="17"/>
  <c r="T27" i="17"/>
  <c r="O44" i="17"/>
  <c r="DG65" i="17"/>
  <c r="AZ33" i="17"/>
  <c r="CJ32" i="17" s="1"/>
  <c r="AP57" i="17"/>
  <c r="AZ47" i="17"/>
  <c r="CJ46" i="17" s="1"/>
  <c r="DG68" i="17"/>
  <c r="DG34" i="17"/>
  <c r="AZ21" i="17"/>
  <c r="CJ20" i="17" s="1"/>
  <c r="DG67" i="17"/>
  <c r="AZ35" i="17"/>
  <c r="CJ34" i="17" s="1"/>
  <c r="AZ28" i="14"/>
  <c r="CJ27" i="14" s="1"/>
  <c r="AP35" i="14"/>
  <c r="AZ35" i="14" s="1"/>
  <c r="CJ34" i="14" s="1"/>
  <c r="AP33" i="14"/>
  <c r="AZ33" i="14" s="1"/>
  <c r="CJ32" i="14" s="1"/>
  <c r="AZ26" i="14"/>
  <c r="CJ25" i="14" s="1"/>
  <c r="AP44" i="14"/>
  <c r="AZ44" i="14" s="1"/>
  <c r="CJ43" i="14" s="1"/>
  <c r="AP45" i="14"/>
  <c r="AZ45" i="14" s="1"/>
  <c r="CJ44" i="14" s="1"/>
  <c r="AZ43" i="14"/>
  <c r="CJ42" i="14" s="1"/>
  <c r="AP47" i="14"/>
  <c r="AP50" i="14"/>
  <c r="AZ48" i="14"/>
  <c r="CJ47" i="14" s="1"/>
  <c r="S8" i="14"/>
  <c r="T8" i="14" s="1"/>
  <c r="U8" i="14"/>
  <c r="AP10" i="14" s="1"/>
  <c r="AZ10" i="14" s="1"/>
  <c r="CJ9" i="14" s="1"/>
  <c r="R8" i="14"/>
  <c r="R34" i="14" s="1"/>
  <c r="U28" i="14"/>
  <c r="AP32" i="14" s="1"/>
  <c r="AZ32" i="14" s="1"/>
  <c r="CJ31" i="14" s="1"/>
  <c r="AP27" i="14"/>
  <c r="AP38" i="14"/>
  <c r="AZ38" i="14" s="1"/>
  <c r="CJ37" i="14" s="1"/>
  <c r="S28" i="14"/>
  <c r="T28" i="14" s="1"/>
  <c r="R28" i="14"/>
  <c r="AP31" i="14"/>
  <c r="AZ31" i="14" s="1"/>
  <c r="CJ30" i="14" s="1"/>
  <c r="O27" i="14"/>
  <c r="AP7" i="14" s="1"/>
  <c r="T26" i="14"/>
  <c r="T6" i="14"/>
  <c r="AP31" i="13"/>
  <c r="AZ31" i="13" s="1"/>
  <c r="CJ30" i="13" s="1"/>
  <c r="AP17" i="13"/>
  <c r="AZ7" i="13"/>
  <c r="AZ26" i="13"/>
  <c r="CJ25" i="13" s="1"/>
  <c r="AP33" i="13"/>
  <c r="AZ33" i="13" s="1"/>
  <c r="CJ32" i="13" s="1"/>
  <c r="AP28" i="13"/>
  <c r="AP43" i="13"/>
  <c r="T6" i="13"/>
  <c r="U28" i="13"/>
  <c r="AP32" i="13" s="1"/>
  <c r="AZ32" i="13" s="1"/>
  <c r="CJ31" i="13" s="1"/>
  <c r="AP27" i="13"/>
  <c r="S28" i="13"/>
  <c r="T28" i="13" s="1"/>
  <c r="AP38" i="13"/>
  <c r="AZ38" i="13" s="1"/>
  <c r="CJ37" i="13" s="1"/>
  <c r="R28" i="13"/>
  <c r="AZ50" i="13"/>
  <c r="CJ49" i="13" s="1"/>
  <c r="AP49" i="13"/>
  <c r="AZ49" i="13" s="1"/>
  <c r="CJ48" i="13" s="1"/>
  <c r="S27" i="13"/>
  <c r="U27" i="13"/>
  <c r="AP5" i="13"/>
  <c r="AP21" i="13"/>
  <c r="AZ21" i="13" s="1"/>
  <c r="CJ20" i="13" s="1"/>
  <c r="R27" i="13"/>
  <c r="S8" i="13"/>
  <c r="T8" i="13" s="1"/>
  <c r="U8" i="13"/>
  <c r="Q40" i="13" s="1"/>
  <c r="AP42" i="13"/>
  <c r="R8" i="13"/>
  <c r="AP23" i="13"/>
  <c r="AZ23" i="13" s="1"/>
  <c r="CJ22" i="13" s="1"/>
  <c r="AP6" i="13"/>
  <c r="AP4" i="13"/>
  <c r="C27" i="13"/>
  <c r="Q31" i="6"/>
  <c r="CZ28" i="6"/>
  <c r="CZ29" i="6"/>
  <c r="CZ30" i="6"/>
  <c r="CZ27" i="6"/>
  <c r="B43" i="20" l="1"/>
  <c r="B73" i="20" s="1"/>
  <c r="W7" i="20" s="1"/>
  <c r="B72" i="20"/>
  <c r="W18" i="19"/>
  <c r="V31" i="19" s="1"/>
  <c r="W21" i="19"/>
  <c r="DG30" i="18"/>
  <c r="AZ11" i="18"/>
  <c r="CJ10" i="18" s="1"/>
  <c r="AZ16" i="18"/>
  <c r="CJ15" i="18" s="1"/>
  <c r="CJ5" i="18"/>
  <c r="AZ15" i="18"/>
  <c r="CJ14" i="18" s="1"/>
  <c r="CJ4" i="18"/>
  <c r="CJ3" i="18"/>
  <c r="AZ14" i="18"/>
  <c r="CJ13" i="18" s="1"/>
  <c r="DG30" i="17"/>
  <c r="AZ11" i="17"/>
  <c r="CJ10" i="17" s="1"/>
  <c r="AZ14" i="17"/>
  <c r="CJ13" i="17" s="1"/>
  <c r="CJ3" i="17"/>
  <c r="AZ16" i="17"/>
  <c r="CJ15" i="17" s="1"/>
  <c r="CJ5" i="17"/>
  <c r="AZ15" i="17"/>
  <c r="CJ14" i="17" s="1"/>
  <c r="CJ4" i="17"/>
  <c r="DG42" i="17"/>
  <c r="AP56" i="17"/>
  <c r="AZ46" i="17"/>
  <c r="CJ45" i="17" s="1"/>
  <c r="AZ7" i="14"/>
  <c r="AP17" i="14"/>
  <c r="Q40" i="14"/>
  <c r="AP57" i="14"/>
  <c r="AZ47" i="14"/>
  <c r="CJ46" i="14" s="1"/>
  <c r="O38" i="14"/>
  <c r="O43" i="14"/>
  <c r="AP34" i="14"/>
  <c r="AZ34" i="14" s="1"/>
  <c r="CJ33" i="14" s="1"/>
  <c r="AZ27" i="14"/>
  <c r="CJ26" i="14" s="1"/>
  <c r="AP21" i="14"/>
  <c r="AZ21" i="14" s="1"/>
  <c r="CJ20" i="14" s="1"/>
  <c r="S27" i="14"/>
  <c r="U27" i="14"/>
  <c r="AP5" i="14"/>
  <c r="R27" i="14"/>
  <c r="AP6" i="14"/>
  <c r="AP4" i="14"/>
  <c r="AP42" i="14"/>
  <c r="AZ50" i="14"/>
  <c r="CJ49" i="14" s="1"/>
  <c r="AP49" i="14"/>
  <c r="AZ49" i="14" s="1"/>
  <c r="CJ48" i="14" s="1"/>
  <c r="AP55" i="14"/>
  <c r="AP16" i="13"/>
  <c r="AZ6" i="13"/>
  <c r="AP15" i="13"/>
  <c r="AZ5" i="13"/>
  <c r="AP34" i="13"/>
  <c r="AZ34" i="13" s="1"/>
  <c r="CJ33" i="13" s="1"/>
  <c r="AZ27" i="13"/>
  <c r="CJ26" i="13" s="1"/>
  <c r="AP55" i="13"/>
  <c r="AZ43" i="13"/>
  <c r="CJ42" i="13" s="1"/>
  <c r="AP47" i="13"/>
  <c r="AP11" i="13"/>
  <c r="AZ11" i="13" s="1"/>
  <c r="CJ10" i="13" s="1"/>
  <c r="Q41" i="13"/>
  <c r="T27" i="13"/>
  <c r="O44" i="13"/>
  <c r="AP10" i="13"/>
  <c r="AZ10" i="13" s="1"/>
  <c r="CJ9" i="13" s="1"/>
  <c r="AZ17" i="13"/>
  <c r="CJ16" i="13" s="1"/>
  <c r="CJ6" i="13"/>
  <c r="AZ28" i="13"/>
  <c r="CJ27" i="13" s="1"/>
  <c r="AP35" i="13"/>
  <c r="AZ35" i="13" s="1"/>
  <c r="CJ34" i="13" s="1"/>
  <c r="R34" i="13"/>
  <c r="O38" i="13"/>
  <c r="AP14" i="13"/>
  <c r="AZ4" i="13"/>
  <c r="AZ42" i="13"/>
  <c r="CJ41" i="13" s="1"/>
  <c r="AP54" i="13"/>
  <c r="AP46" i="13"/>
  <c r="O43" i="13"/>
  <c r="CZ76" i="6"/>
  <c r="CZ75" i="6"/>
  <c r="CZ73" i="6"/>
  <c r="CZ71" i="6"/>
  <c r="CZ72" i="6"/>
  <c r="CZ70" i="6"/>
  <c r="CZ66" i="6"/>
  <c r="CZ67" i="6"/>
  <c r="CZ68" i="6"/>
  <c r="CZ65" i="6"/>
  <c r="CZ62" i="6"/>
  <c r="CZ63" i="6"/>
  <c r="CZ61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44" i="6"/>
  <c r="CZ39" i="6"/>
  <c r="CZ40" i="6"/>
  <c r="CZ41" i="6"/>
  <c r="CZ42" i="6"/>
  <c r="CZ38" i="6"/>
  <c r="CZ37" i="6"/>
  <c r="CZ36" i="6"/>
  <c r="CZ35" i="6"/>
  <c r="CZ33" i="6"/>
  <c r="CZ34" i="6"/>
  <c r="CZ32" i="6"/>
  <c r="CZ6" i="6"/>
  <c r="CZ7" i="6"/>
  <c r="CZ8" i="6"/>
  <c r="CZ9" i="6"/>
  <c r="CZ10" i="6"/>
  <c r="CZ11" i="6"/>
  <c r="CZ12" i="6"/>
  <c r="CZ13" i="6"/>
  <c r="CZ14" i="6"/>
  <c r="CZ15" i="6"/>
  <c r="CZ16" i="6"/>
  <c r="CZ17" i="6"/>
  <c r="CZ18" i="6"/>
  <c r="CZ19" i="6"/>
  <c r="CZ20" i="6"/>
  <c r="CZ21" i="6"/>
  <c r="CZ22" i="6"/>
  <c r="CZ23" i="6"/>
  <c r="CZ24" i="6"/>
  <c r="CZ5" i="6"/>
  <c r="W21" i="20" l="1"/>
  <c r="W18" i="20"/>
  <c r="V31" i="20" s="1"/>
  <c r="AP11" i="14"/>
  <c r="AZ11" i="14" s="1"/>
  <c r="CJ10" i="14" s="1"/>
  <c r="Q41" i="14"/>
  <c r="T27" i="14"/>
  <c r="O44" i="14"/>
  <c r="AP16" i="14"/>
  <c r="AZ6" i="14"/>
  <c r="AP14" i="14"/>
  <c r="AZ4" i="14"/>
  <c r="AP46" i="14"/>
  <c r="AP54" i="14"/>
  <c r="AZ42" i="14"/>
  <c r="CJ41" i="14" s="1"/>
  <c r="AZ5" i="14"/>
  <c r="AP15" i="14"/>
  <c r="AZ17" i="14"/>
  <c r="CJ16" i="14" s="1"/>
  <c r="CJ6" i="14"/>
  <c r="CJ4" i="13"/>
  <c r="AZ15" i="13"/>
  <c r="CJ14" i="13" s="1"/>
  <c r="AZ14" i="13"/>
  <c r="CJ13" i="13" s="1"/>
  <c r="CJ3" i="13"/>
  <c r="AZ16" i="13"/>
  <c r="CJ15" i="13" s="1"/>
  <c r="CJ5" i="13"/>
  <c r="AP56" i="13"/>
  <c r="AZ46" i="13"/>
  <c r="CJ45" i="13" s="1"/>
  <c r="AP57" i="13"/>
  <c r="AZ47" i="13"/>
  <c r="CJ46" i="13" s="1"/>
  <c r="CK12" i="6"/>
  <c r="CL12" i="6"/>
  <c r="CK24" i="6"/>
  <c r="CL24" i="6"/>
  <c r="CJ12" i="6"/>
  <c r="CJ24" i="6"/>
  <c r="AZ46" i="14" l="1"/>
  <c r="CJ45" i="14" s="1"/>
  <c r="AP56" i="14"/>
  <c r="AZ15" i="14"/>
  <c r="CJ14" i="14" s="1"/>
  <c r="CJ4" i="14"/>
  <c r="AZ14" i="14"/>
  <c r="CJ13" i="14" s="1"/>
  <c r="CJ3" i="14"/>
  <c r="AZ16" i="14"/>
  <c r="CJ15" i="14" s="1"/>
  <c r="CJ5" i="14"/>
  <c r="AD7" i="6"/>
  <c r="AE7" i="6"/>
  <c r="AA8" i="6"/>
  <c r="AE8" i="6"/>
  <c r="AD9" i="6"/>
  <c r="AE9" i="6"/>
  <c r="AD10" i="6"/>
  <c r="AA5" i="6" s="1"/>
  <c r="AE10" i="6"/>
  <c r="AD17" i="6"/>
  <c r="AE17" i="6"/>
  <c r="AD18" i="6"/>
  <c r="AE18" i="6"/>
  <c r="AD19" i="6"/>
  <c r="AE19" i="6"/>
  <c r="AD23" i="6"/>
  <c r="AE23" i="6"/>
  <c r="AD24" i="6"/>
  <c r="AE24" i="6"/>
  <c r="AD25" i="6"/>
  <c r="AE25" i="6"/>
  <c r="AD29" i="6"/>
  <c r="AE29" i="6"/>
  <c r="AE30" i="6"/>
  <c r="AD31" i="6"/>
  <c r="AE31" i="6"/>
  <c r="AD32" i="6"/>
  <c r="AE32" i="6"/>
  <c r="AE27" i="6" l="1"/>
  <c r="AE21" i="6"/>
  <c r="AA21" i="6"/>
  <c r="AE13" i="6"/>
  <c r="AE5" i="6"/>
  <c r="AA27" i="6"/>
  <c r="Q29" i="6" s="1"/>
  <c r="AA13" i="6"/>
  <c r="BP49" i="6"/>
  <c r="CK48" i="6" s="1"/>
  <c r="BP50" i="6"/>
  <c r="CK49" i="6" s="1"/>
  <c r="BP48" i="6"/>
  <c r="CK47" i="6" s="1"/>
  <c r="BP47" i="6"/>
  <c r="CK46" i="6" s="1"/>
  <c r="BP46" i="6"/>
  <c r="CK45" i="6" s="1"/>
  <c r="BP45" i="6"/>
  <c r="CK44" i="6" s="1"/>
  <c r="BP44" i="6"/>
  <c r="CK43" i="6" s="1"/>
  <c r="BP43" i="6"/>
  <c r="CK42" i="6" s="1"/>
  <c r="BP42" i="6"/>
  <c r="CK41" i="6" s="1"/>
  <c r="BP40" i="6"/>
  <c r="CK39" i="6" s="1"/>
  <c r="BP38" i="6"/>
  <c r="CK37" i="6" s="1"/>
  <c r="BP39" i="6"/>
  <c r="CK38" i="6" s="1"/>
  <c r="BP37" i="6"/>
  <c r="CK36" i="6" s="1"/>
  <c r="BP34" i="6"/>
  <c r="CK33" i="6" s="1"/>
  <c r="BP35" i="6"/>
  <c r="CK34" i="6" s="1"/>
  <c r="BP33" i="6"/>
  <c r="CK32" i="6" s="1"/>
  <c r="BP31" i="6"/>
  <c r="CK30" i="6" s="1"/>
  <c r="BP32" i="6"/>
  <c r="CK31" i="6" s="1"/>
  <c r="BP30" i="6"/>
  <c r="CK29" i="6" s="1"/>
  <c r="BP27" i="6"/>
  <c r="CK26" i="6" s="1"/>
  <c r="BP28" i="6"/>
  <c r="CK27" i="6" s="1"/>
  <c r="BP26" i="6"/>
  <c r="CK25" i="6" s="1"/>
  <c r="BP24" i="6"/>
  <c r="CK23" i="6" s="1"/>
  <c r="BP23" i="6"/>
  <c r="CK22" i="6" s="1"/>
  <c r="BP20" i="6"/>
  <c r="CK19" i="6" s="1"/>
  <c r="BP21" i="6"/>
  <c r="CK20" i="6" s="1"/>
  <c r="BP22" i="6"/>
  <c r="CK21" i="6" s="1"/>
  <c r="BP19" i="6"/>
  <c r="CK18" i="6" s="1"/>
  <c r="BP15" i="6"/>
  <c r="CK14" i="6" s="1"/>
  <c r="BP16" i="6"/>
  <c r="CK15" i="6" s="1"/>
  <c r="BP17" i="6"/>
  <c r="CK16" i="6" s="1"/>
  <c r="BP14" i="6"/>
  <c r="CK13" i="6" s="1"/>
  <c r="BP12" i="6"/>
  <c r="CK11" i="6" s="1"/>
  <c r="BP10" i="6"/>
  <c r="CK9" i="6" s="1"/>
  <c r="BP11" i="6"/>
  <c r="CK10" i="6" s="1"/>
  <c r="BP9" i="6"/>
  <c r="CK8" i="6" s="1"/>
  <c r="BP5" i="6"/>
  <c r="CK4" i="6" s="1"/>
  <c r="BP6" i="6"/>
  <c r="CK5" i="6" s="1"/>
  <c r="BP7" i="6"/>
  <c r="CK6" i="6" s="1"/>
  <c r="BP4" i="6"/>
  <c r="CK3" i="6" s="1"/>
  <c r="CE49" i="6" l="1"/>
  <c r="CL49" i="6" s="1"/>
  <c r="CE48" i="6"/>
  <c r="CL48" i="6" s="1"/>
  <c r="CE47" i="6"/>
  <c r="CL47" i="6" s="1"/>
  <c r="CE46" i="6"/>
  <c r="CL46" i="6" s="1"/>
  <c r="CE45" i="6"/>
  <c r="CL45" i="6" s="1"/>
  <c r="CE44" i="6"/>
  <c r="CL44" i="6" s="1"/>
  <c r="CE43" i="6"/>
  <c r="CL43" i="6" s="1"/>
  <c r="CE42" i="6"/>
  <c r="CL42" i="6" s="1"/>
  <c r="CE41" i="6"/>
  <c r="CL41" i="6" s="1"/>
  <c r="CE39" i="6"/>
  <c r="CL39" i="6" s="1"/>
  <c r="CE37" i="6"/>
  <c r="CL37" i="6" s="1"/>
  <c r="CE38" i="6"/>
  <c r="CL38" i="6" s="1"/>
  <c r="CE36" i="6"/>
  <c r="CL36" i="6" s="1"/>
  <c r="CE33" i="6"/>
  <c r="CL33" i="6" s="1"/>
  <c r="CE34" i="6"/>
  <c r="CL34" i="6" s="1"/>
  <c r="CE32" i="6"/>
  <c r="CL32" i="6" s="1"/>
  <c r="CE30" i="6"/>
  <c r="CL30" i="6" s="1"/>
  <c r="CE31" i="6"/>
  <c r="CL31" i="6" s="1"/>
  <c r="CE29" i="6"/>
  <c r="CL29" i="6" s="1"/>
  <c r="CE26" i="6"/>
  <c r="CL26" i="6" s="1"/>
  <c r="CE27" i="6"/>
  <c r="CL27" i="6" s="1"/>
  <c r="CE25" i="6"/>
  <c r="CL25" i="6" s="1"/>
  <c r="CE23" i="6"/>
  <c r="CL23" i="6" s="1"/>
  <c r="CE22" i="6"/>
  <c r="CL22" i="6" s="1"/>
  <c r="CE19" i="6"/>
  <c r="CL19" i="6" s="1"/>
  <c r="CE20" i="6"/>
  <c r="CL20" i="6" s="1"/>
  <c r="CE21" i="6"/>
  <c r="CL21" i="6" s="1"/>
  <c r="CE18" i="6"/>
  <c r="CL18" i="6" s="1"/>
  <c r="CE14" i="6"/>
  <c r="CL14" i="6" s="1"/>
  <c r="CE15" i="6"/>
  <c r="CL15" i="6" s="1"/>
  <c r="CE16" i="6"/>
  <c r="CL16" i="6" s="1"/>
  <c r="CE13" i="6"/>
  <c r="CL13" i="6" s="1"/>
  <c r="CE11" i="6"/>
  <c r="CL11" i="6" s="1"/>
  <c r="CE9" i="6"/>
  <c r="CL9" i="6" s="1"/>
  <c r="CE10" i="6"/>
  <c r="CL10" i="6" s="1"/>
  <c r="CE8" i="6"/>
  <c r="CL8" i="6" s="1"/>
  <c r="CE4" i="6"/>
  <c r="CL4" i="6" s="1"/>
  <c r="CE5" i="6"/>
  <c r="CL5" i="6" s="1"/>
  <c r="CE6" i="6"/>
  <c r="CL6" i="6" s="1"/>
  <c r="CE3" i="6"/>
  <c r="CL3" i="6" s="1"/>
  <c r="AR40" i="6" l="1"/>
  <c r="AR23" i="6"/>
  <c r="AD51" i="6" l="1"/>
  <c r="B48" i="7" l="1"/>
  <c r="B22" i="7"/>
  <c r="D22" i="7" s="1"/>
  <c r="B14" i="3"/>
  <c r="B10" i="3"/>
  <c r="B17" i="3" s="1"/>
  <c r="B18" i="3" s="1"/>
  <c r="B19" i="3" s="1"/>
  <c r="E15" i="3" l="1"/>
  <c r="D15" i="3"/>
  <c r="C22" i="7"/>
  <c r="F22" i="7"/>
  <c r="B127" i="7"/>
  <c r="P12" i="1"/>
  <c r="B776" i="7"/>
  <c r="B778" i="7" s="1"/>
  <c r="B777" i="7" s="1"/>
  <c r="B768" i="7"/>
  <c r="G768" i="7" s="1"/>
  <c r="B764" i="7"/>
  <c r="B761" i="7"/>
  <c r="J750" i="7"/>
  <c r="I750" i="7"/>
  <c r="F750" i="7"/>
  <c r="E750" i="7"/>
  <c r="D750" i="7"/>
  <c r="H750" i="7" s="1"/>
  <c r="C750" i="7"/>
  <c r="G750" i="7" s="1"/>
  <c r="K750" i="7" s="1"/>
  <c r="J749" i="7"/>
  <c r="I749" i="7"/>
  <c r="F749" i="7"/>
  <c r="E749" i="7"/>
  <c r="D749" i="7"/>
  <c r="H749" i="7" s="1"/>
  <c r="C749" i="7"/>
  <c r="G749" i="7" s="1"/>
  <c r="K749" i="7" s="1"/>
  <c r="J748" i="7"/>
  <c r="I748" i="7"/>
  <c r="F748" i="7"/>
  <c r="E748" i="7"/>
  <c r="D748" i="7"/>
  <c r="H748" i="7" s="1"/>
  <c r="C748" i="7"/>
  <c r="G748" i="7" s="1"/>
  <c r="J747" i="7"/>
  <c r="I747" i="7"/>
  <c r="F747" i="7"/>
  <c r="E747" i="7"/>
  <c r="D747" i="7"/>
  <c r="H747" i="7" s="1"/>
  <c r="C747" i="7"/>
  <c r="G747" i="7" s="1"/>
  <c r="J746" i="7"/>
  <c r="I746" i="7"/>
  <c r="F746" i="7"/>
  <c r="E746" i="7"/>
  <c r="D746" i="7"/>
  <c r="H746" i="7" s="1"/>
  <c r="C746" i="7"/>
  <c r="G746" i="7" s="1"/>
  <c r="K745" i="7"/>
  <c r="J745" i="7"/>
  <c r="I745" i="7"/>
  <c r="F745" i="7"/>
  <c r="E745" i="7"/>
  <c r="D745" i="7"/>
  <c r="H745" i="7" s="1"/>
  <c r="C745" i="7"/>
  <c r="G745" i="7" s="1"/>
  <c r="J744" i="7"/>
  <c r="I744" i="7"/>
  <c r="F744" i="7"/>
  <c r="E744" i="7"/>
  <c r="D744" i="7"/>
  <c r="H744" i="7" s="1"/>
  <c r="C744" i="7"/>
  <c r="G744" i="7" s="1"/>
  <c r="J743" i="7"/>
  <c r="I743" i="7"/>
  <c r="F743" i="7"/>
  <c r="E743" i="7"/>
  <c r="D743" i="7"/>
  <c r="H743" i="7" s="1"/>
  <c r="C743" i="7"/>
  <c r="G743" i="7" s="1"/>
  <c r="K743" i="7" s="1"/>
  <c r="J742" i="7"/>
  <c r="I742" i="7"/>
  <c r="F742" i="7"/>
  <c r="E742" i="7"/>
  <c r="D742" i="7"/>
  <c r="H742" i="7" s="1"/>
  <c r="C742" i="7"/>
  <c r="G742" i="7" s="1"/>
  <c r="J741" i="7"/>
  <c r="I741" i="7"/>
  <c r="F741" i="7"/>
  <c r="E741" i="7"/>
  <c r="D741" i="7"/>
  <c r="H741" i="7" s="1"/>
  <c r="C741" i="7"/>
  <c r="G741" i="7" s="1"/>
  <c r="K741" i="7" s="1"/>
  <c r="J740" i="7"/>
  <c r="I740" i="7"/>
  <c r="F740" i="7"/>
  <c r="E740" i="7"/>
  <c r="D740" i="7"/>
  <c r="H740" i="7" s="1"/>
  <c r="C740" i="7"/>
  <c r="G740" i="7" s="1"/>
  <c r="J739" i="7"/>
  <c r="I739" i="7"/>
  <c r="F739" i="7"/>
  <c r="E739" i="7"/>
  <c r="D739" i="7"/>
  <c r="H739" i="7" s="1"/>
  <c r="C739" i="7"/>
  <c r="G739" i="7" s="1"/>
  <c r="M731" i="7"/>
  <c r="N731" i="7" s="1"/>
  <c r="H731" i="7" s="1"/>
  <c r="G731" i="7"/>
  <c r="F731" i="7"/>
  <c r="E731" i="7"/>
  <c r="D731" i="7"/>
  <c r="C731" i="7"/>
  <c r="I731" i="7" s="1"/>
  <c r="L731" i="7" s="1"/>
  <c r="H717" i="7"/>
  <c r="G717" i="7"/>
  <c r="F717" i="7"/>
  <c r="E717" i="7"/>
  <c r="D717" i="7"/>
  <c r="C717" i="7"/>
  <c r="H716" i="7"/>
  <c r="G716" i="7"/>
  <c r="F716" i="7"/>
  <c r="E716" i="7"/>
  <c r="D716" i="7"/>
  <c r="C716" i="7"/>
  <c r="H715" i="7"/>
  <c r="G715" i="7"/>
  <c r="F715" i="7"/>
  <c r="E715" i="7"/>
  <c r="D715" i="7"/>
  <c r="C715" i="7"/>
  <c r="B703" i="7"/>
  <c r="B697" i="7"/>
  <c r="B699" i="7" s="1"/>
  <c r="B698" i="7" s="1"/>
  <c r="G689" i="7"/>
  <c r="B689" i="7"/>
  <c r="B691" i="7" s="1"/>
  <c r="B692" i="7" s="1"/>
  <c r="B685" i="7"/>
  <c r="B682" i="7"/>
  <c r="J661" i="7"/>
  <c r="I661" i="7"/>
  <c r="F661" i="7"/>
  <c r="E661" i="7"/>
  <c r="D661" i="7"/>
  <c r="H661" i="7" s="1"/>
  <c r="C661" i="7"/>
  <c r="G661" i="7" s="1"/>
  <c r="K661" i="7" s="1"/>
  <c r="J660" i="7"/>
  <c r="I660" i="7"/>
  <c r="F660" i="7"/>
  <c r="E660" i="7"/>
  <c r="D660" i="7"/>
  <c r="H660" i="7" s="1"/>
  <c r="C660" i="7"/>
  <c r="G660" i="7" s="1"/>
  <c r="L652" i="7"/>
  <c r="G652" i="7"/>
  <c r="F652" i="7"/>
  <c r="M652" i="7" s="1"/>
  <c r="N652" i="7" s="1"/>
  <c r="H652" i="7" s="1"/>
  <c r="E652" i="7"/>
  <c r="D652" i="7"/>
  <c r="C652" i="7"/>
  <c r="I652" i="7" s="1"/>
  <c r="H637" i="7"/>
  <c r="G637" i="7"/>
  <c r="F637" i="7"/>
  <c r="E637" i="7"/>
  <c r="D637" i="7"/>
  <c r="C637" i="7"/>
  <c r="H636" i="7"/>
  <c r="B673" i="7" s="1"/>
  <c r="G636" i="7"/>
  <c r="F636" i="7"/>
  <c r="E636" i="7"/>
  <c r="D636" i="7"/>
  <c r="C636" i="7"/>
  <c r="B618" i="7"/>
  <c r="B620" i="7" s="1"/>
  <c r="B619" i="7" s="1"/>
  <c r="B610" i="7"/>
  <c r="B606" i="7"/>
  <c r="B607" i="7" s="1"/>
  <c r="B603" i="7"/>
  <c r="J583" i="7"/>
  <c r="I583" i="7"/>
  <c r="F583" i="7"/>
  <c r="E583" i="7"/>
  <c r="D583" i="7"/>
  <c r="H583" i="7" s="1"/>
  <c r="C583" i="7"/>
  <c r="G583" i="7" s="1"/>
  <c r="J582" i="7"/>
  <c r="I582" i="7"/>
  <c r="F582" i="7"/>
  <c r="E582" i="7"/>
  <c r="D582" i="7"/>
  <c r="H582" i="7" s="1"/>
  <c r="C582" i="7"/>
  <c r="G582" i="7" s="1"/>
  <c r="J581" i="7"/>
  <c r="I581" i="7"/>
  <c r="F581" i="7"/>
  <c r="E581" i="7"/>
  <c r="D581" i="7"/>
  <c r="H581" i="7" s="1"/>
  <c r="C581" i="7"/>
  <c r="G581" i="7" s="1"/>
  <c r="K581" i="7" s="1"/>
  <c r="M573" i="7"/>
  <c r="N573" i="7" s="1"/>
  <c r="H573" i="7" s="1"/>
  <c r="I573" i="7"/>
  <c r="L573" i="7" s="1"/>
  <c r="G573" i="7"/>
  <c r="F573" i="7"/>
  <c r="E573" i="7"/>
  <c r="D573" i="7"/>
  <c r="C573" i="7"/>
  <c r="H559" i="7"/>
  <c r="G559" i="7"/>
  <c r="F559" i="7"/>
  <c r="E559" i="7"/>
  <c r="D559" i="7"/>
  <c r="C559" i="7"/>
  <c r="H558" i="7"/>
  <c r="G558" i="7"/>
  <c r="F558" i="7"/>
  <c r="E558" i="7"/>
  <c r="D558" i="7"/>
  <c r="C558" i="7"/>
  <c r="H557" i="7"/>
  <c r="B594" i="7" s="1"/>
  <c r="B624" i="7" s="1"/>
  <c r="G557" i="7"/>
  <c r="F557" i="7"/>
  <c r="E557" i="7"/>
  <c r="D557" i="7"/>
  <c r="C557" i="7"/>
  <c r="B541" i="7"/>
  <c r="B540" i="7"/>
  <c r="B539" i="7"/>
  <c r="B528" i="7"/>
  <c r="B527" i="7"/>
  <c r="B524" i="7"/>
  <c r="B531" i="7" s="1"/>
  <c r="B533" i="7" s="1"/>
  <c r="B534" i="7" s="1"/>
  <c r="J504" i="7"/>
  <c r="I504" i="7"/>
  <c r="F504" i="7"/>
  <c r="E504" i="7"/>
  <c r="D504" i="7"/>
  <c r="H504" i="7" s="1"/>
  <c r="C504" i="7"/>
  <c r="G504" i="7" s="1"/>
  <c r="J503" i="7"/>
  <c r="I503" i="7"/>
  <c r="F503" i="7"/>
  <c r="E503" i="7"/>
  <c r="D503" i="7"/>
  <c r="H503" i="7" s="1"/>
  <c r="C503" i="7"/>
  <c r="G503" i="7" s="1"/>
  <c r="K503" i="7" s="1"/>
  <c r="J502" i="7"/>
  <c r="I502" i="7"/>
  <c r="F502" i="7"/>
  <c r="E502" i="7"/>
  <c r="D502" i="7"/>
  <c r="H502" i="7" s="1"/>
  <c r="C502" i="7"/>
  <c r="G502" i="7" s="1"/>
  <c r="H483" i="7"/>
  <c r="G483" i="7"/>
  <c r="F483" i="7"/>
  <c r="E483" i="7"/>
  <c r="D483" i="7"/>
  <c r="C483" i="7"/>
  <c r="H482" i="7"/>
  <c r="G482" i="7"/>
  <c r="F482" i="7"/>
  <c r="E482" i="7"/>
  <c r="D482" i="7"/>
  <c r="C482" i="7"/>
  <c r="H481" i="7"/>
  <c r="G481" i="7"/>
  <c r="F481" i="7"/>
  <c r="E481" i="7"/>
  <c r="D481" i="7"/>
  <c r="C481" i="7"/>
  <c r="H480" i="7"/>
  <c r="G480" i="7"/>
  <c r="F480" i="7"/>
  <c r="E480" i="7"/>
  <c r="D480" i="7"/>
  <c r="C480" i="7"/>
  <c r="F479" i="7"/>
  <c r="D479" i="7"/>
  <c r="C479" i="7"/>
  <c r="F478" i="7"/>
  <c r="D478" i="7"/>
  <c r="C478" i="7"/>
  <c r="B463" i="7"/>
  <c r="B462" i="7" s="1"/>
  <c r="B461" i="7"/>
  <c r="B455" i="7"/>
  <c r="B456" i="7" s="1"/>
  <c r="B453" i="7"/>
  <c r="G453" i="7" s="1"/>
  <c r="B449" i="7"/>
  <c r="B450" i="7" s="1"/>
  <c r="B446" i="7"/>
  <c r="J428" i="7"/>
  <c r="I428" i="7"/>
  <c r="F428" i="7"/>
  <c r="E428" i="7"/>
  <c r="D428" i="7"/>
  <c r="H428" i="7" s="1"/>
  <c r="C428" i="7"/>
  <c r="G428" i="7" s="1"/>
  <c r="K428" i="7" s="1"/>
  <c r="J427" i="7"/>
  <c r="I427" i="7"/>
  <c r="F427" i="7"/>
  <c r="E427" i="7"/>
  <c r="D427" i="7"/>
  <c r="H427" i="7" s="1"/>
  <c r="C427" i="7"/>
  <c r="G427" i="7" s="1"/>
  <c r="J426" i="7"/>
  <c r="I426" i="7"/>
  <c r="F426" i="7"/>
  <c r="E426" i="7"/>
  <c r="D426" i="7"/>
  <c r="H426" i="7" s="1"/>
  <c r="C426" i="7"/>
  <c r="G426" i="7" s="1"/>
  <c r="K426" i="7" s="1"/>
  <c r="J425" i="7"/>
  <c r="I425" i="7"/>
  <c r="F425" i="7"/>
  <c r="E425" i="7"/>
  <c r="D425" i="7"/>
  <c r="H425" i="7" s="1"/>
  <c r="C425" i="7"/>
  <c r="G425" i="7" s="1"/>
  <c r="J424" i="7"/>
  <c r="I424" i="7"/>
  <c r="F424" i="7"/>
  <c r="E424" i="7"/>
  <c r="D424" i="7"/>
  <c r="H424" i="7" s="1"/>
  <c r="C424" i="7"/>
  <c r="G424" i="7" s="1"/>
  <c r="K424" i="7" s="1"/>
  <c r="F402" i="7"/>
  <c r="D402" i="7"/>
  <c r="C402" i="7"/>
  <c r="F401" i="7"/>
  <c r="D401" i="7"/>
  <c r="C401" i="7"/>
  <c r="F400" i="7"/>
  <c r="D400" i="7"/>
  <c r="C400" i="7"/>
  <c r="B383" i="7"/>
  <c r="B385" i="7" s="1"/>
  <c r="B384" i="7" s="1"/>
  <c r="B372" i="7"/>
  <c r="B371" i="7"/>
  <c r="B368" i="7"/>
  <c r="B375" i="7" s="1"/>
  <c r="J350" i="7"/>
  <c r="I350" i="7"/>
  <c r="H350" i="7"/>
  <c r="F350" i="7"/>
  <c r="E350" i="7"/>
  <c r="D350" i="7"/>
  <c r="C350" i="7"/>
  <c r="G350" i="7" s="1"/>
  <c r="K350" i="7" s="1"/>
  <c r="J349" i="7"/>
  <c r="I349" i="7"/>
  <c r="F349" i="7"/>
  <c r="E349" i="7"/>
  <c r="D349" i="7"/>
  <c r="H349" i="7" s="1"/>
  <c r="C349" i="7"/>
  <c r="G349" i="7" s="1"/>
  <c r="J348" i="7"/>
  <c r="I348" i="7"/>
  <c r="F348" i="7"/>
  <c r="E348" i="7"/>
  <c r="D348" i="7"/>
  <c r="H348" i="7" s="1"/>
  <c r="C348" i="7"/>
  <c r="G348" i="7" s="1"/>
  <c r="K348" i="7" s="1"/>
  <c r="J347" i="7"/>
  <c r="I347" i="7"/>
  <c r="F347" i="7"/>
  <c r="E347" i="7"/>
  <c r="D347" i="7"/>
  <c r="H347" i="7" s="1"/>
  <c r="C347" i="7"/>
  <c r="G347" i="7" s="1"/>
  <c r="K347" i="7" s="1"/>
  <c r="J346" i="7"/>
  <c r="I346" i="7"/>
  <c r="F346" i="7"/>
  <c r="E346" i="7"/>
  <c r="D346" i="7"/>
  <c r="H346" i="7" s="1"/>
  <c r="C346" i="7"/>
  <c r="G346" i="7" s="1"/>
  <c r="F325" i="7"/>
  <c r="D325" i="7"/>
  <c r="C325" i="7"/>
  <c r="F324" i="7"/>
  <c r="E324" i="7"/>
  <c r="D324" i="7"/>
  <c r="C324" i="7"/>
  <c r="F323" i="7"/>
  <c r="E323" i="7"/>
  <c r="D323" i="7"/>
  <c r="C323" i="7"/>
  <c r="F322" i="7"/>
  <c r="E322" i="7"/>
  <c r="D322" i="7"/>
  <c r="C322" i="7"/>
  <c r="B306" i="7"/>
  <c r="B305" i="7" s="1"/>
  <c r="B304" i="7"/>
  <c r="B292" i="7"/>
  <c r="B289" i="7"/>
  <c r="B296" i="7" s="1"/>
  <c r="G296" i="7" s="1"/>
  <c r="J270" i="7"/>
  <c r="I270" i="7"/>
  <c r="F270" i="7"/>
  <c r="E270" i="7"/>
  <c r="D270" i="7"/>
  <c r="H270" i="7" s="1"/>
  <c r="C270" i="7"/>
  <c r="G270" i="7" s="1"/>
  <c r="K269" i="7"/>
  <c r="J269" i="7"/>
  <c r="I269" i="7"/>
  <c r="F269" i="7"/>
  <c r="E269" i="7"/>
  <c r="D269" i="7"/>
  <c r="H269" i="7" s="1"/>
  <c r="C269" i="7"/>
  <c r="G269" i="7" s="1"/>
  <c r="J268" i="7"/>
  <c r="I268" i="7"/>
  <c r="F268" i="7"/>
  <c r="E268" i="7"/>
  <c r="D268" i="7"/>
  <c r="H268" i="7" s="1"/>
  <c r="C268" i="7"/>
  <c r="G268" i="7" s="1"/>
  <c r="J267" i="7"/>
  <c r="I267" i="7"/>
  <c r="F267" i="7"/>
  <c r="E267" i="7"/>
  <c r="D267" i="7"/>
  <c r="H267" i="7" s="1"/>
  <c r="C267" i="7"/>
  <c r="G267" i="7" s="1"/>
  <c r="K267" i="7" s="1"/>
  <c r="F246" i="7"/>
  <c r="D246" i="7"/>
  <c r="C246" i="7"/>
  <c r="F245" i="7"/>
  <c r="E245" i="7"/>
  <c r="D245" i="7"/>
  <c r="C245" i="7"/>
  <c r="F244" i="7"/>
  <c r="D244" i="7"/>
  <c r="C244" i="7"/>
  <c r="F243" i="7"/>
  <c r="E243" i="7"/>
  <c r="D243" i="7"/>
  <c r="C243" i="7"/>
  <c r="B225" i="7"/>
  <c r="B227" i="7" s="1"/>
  <c r="B226" i="7" s="1"/>
  <c r="B217" i="7"/>
  <c r="B219" i="7" s="1"/>
  <c r="B220" i="7" s="1"/>
  <c r="B213" i="7"/>
  <c r="B210" i="7"/>
  <c r="J190" i="7"/>
  <c r="I190" i="7"/>
  <c r="F190" i="7"/>
  <c r="E190" i="7"/>
  <c r="D190" i="7"/>
  <c r="H190" i="7" s="1"/>
  <c r="C190" i="7"/>
  <c r="G190" i="7" s="1"/>
  <c r="K190" i="7" s="1"/>
  <c r="J189" i="7"/>
  <c r="I189" i="7"/>
  <c r="F189" i="7"/>
  <c r="E189" i="7"/>
  <c r="D189" i="7"/>
  <c r="H189" i="7" s="1"/>
  <c r="C189" i="7"/>
  <c r="G189" i="7" s="1"/>
  <c r="J188" i="7"/>
  <c r="I188" i="7"/>
  <c r="F188" i="7"/>
  <c r="E188" i="7"/>
  <c r="D188" i="7"/>
  <c r="H188" i="7" s="1"/>
  <c r="C188" i="7"/>
  <c r="G188" i="7" s="1"/>
  <c r="M180" i="7"/>
  <c r="I180" i="7"/>
  <c r="L180" i="7" s="1"/>
  <c r="N180" i="7" s="1"/>
  <c r="H180" i="7" s="1"/>
  <c r="G180" i="7"/>
  <c r="F180" i="7"/>
  <c r="E180" i="7"/>
  <c r="D180" i="7"/>
  <c r="C180" i="7"/>
  <c r="F165" i="7"/>
  <c r="D165" i="7"/>
  <c r="C165" i="7"/>
  <c r="F164" i="7"/>
  <c r="E164" i="7"/>
  <c r="D164" i="7"/>
  <c r="C164" i="7"/>
  <c r="E109" i="7"/>
  <c r="D109" i="7"/>
  <c r="H109" i="7" s="1"/>
  <c r="C109" i="7"/>
  <c r="G109" i="7" s="1"/>
  <c r="E108" i="7"/>
  <c r="D108" i="7"/>
  <c r="H108" i="7" s="1"/>
  <c r="C108" i="7"/>
  <c r="G108" i="7" s="1"/>
  <c r="F92" i="7"/>
  <c r="D92" i="7"/>
  <c r="C92" i="7"/>
  <c r="F91" i="7"/>
  <c r="D91" i="7"/>
  <c r="C91" i="7"/>
  <c r="F90" i="7"/>
  <c r="D90" i="7"/>
  <c r="C90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E34" i="7"/>
  <c r="D34" i="7"/>
  <c r="H34" i="7" s="1"/>
  <c r="C34" i="7"/>
  <c r="G34" i="7" s="1"/>
  <c r="E33" i="7"/>
  <c r="D33" i="7"/>
  <c r="H33" i="7" s="1"/>
  <c r="C33" i="7"/>
  <c r="G33" i="7" s="1"/>
  <c r="K28" i="7"/>
  <c r="D28" i="7"/>
  <c r="C28" i="7"/>
  <c r="B21" i="7"/>
  <c r="E21" i="7" s="1"/>
  <c r="B19" i="7"/>
  <c r="F19" i="7" s="1"/>
  <c r="B18" i="7"/>
  <c r="C18" i="7" s="1"/>
  <c r="B17" i="7"/>
  <c r="F17" i="7" s="1"/>
  <c r="B16" i="7"/>
  <c r="B15" i="7"/>
  <c r="F15" i="7" s="1"/>
  <c r="B14" i="7"/>
  <c r="B13" i="7"/>
  <c r="F13" i="7" s="1"/>
  <c r="V12" i="7"/>
  <c r="B12" i="7"/>
  <c r="F12" i="7" s="1"/>
  <c r="V11" i="7"/>
  <c r="V10" i="7"/>
  <c r="V9" i="7"/>
  <c r="V8" i="7"/>
  <c r="V7" i="7"/>
  <c r="AG49" i="6"/>
  <c r="AE49" i="6"/>
  <c r="AE46" i="6"/>
  <c r="AD46" i="6"/>
  <c r="AE45" i="6"/>
  <c r="AD45" i="6"/>
  <c r="AE44" i="6"/>
  <c r="AD44" i="6"/>
  <c r="AE43" i="6"/>
  <c r="AD43" i="6"/>
  <c r="O18" i="6"/>
  <c r="AE42" i="6"/>
  <c r="AD42" i="6"/>
  <c r="H36" i="6"/>
  <c r="C36" i="6" s="1"/>
  <c r="AG35" i="6"/>
  <c r="AE35" i="6"/>
  <c r="C26" i="6"/>
  <c r="O25" i="6"/>
  <c r="AG21" i="6"/>
  <c r="Q24" i="6"/>
  <c r="G91" i="7" s="1"/>
  <c r="Q23" i="6"/>
  <c r="Q22" i="6"/>
  <c r="G89" i="7" s="1"/>
  <c r="Q21" i="6"/>
  <c r="C19" i="6"/>
  <c r="AG13" i="6"/>
  <c r="Q16" i="6"/>
  <c r="O16" i="6"/>
  <c r="I13" i="6"/>
  <c r="Q13" i="6"/>
  <c r="Q12" i="6"/>
  <c r="Q11" i="6"/>
  <c r="Q10" i="6"/>
  <c r="AG5" i="6"/>
  <c r="I6" i="6"/>
  <c r="C6" i="6"/>
  <c r="C23" i="6" s="1"/>
  <c r="C4" i="6"/>
  <c r="O42" i="6" s="1"/>
  <c r="B778" i="5"/>
  <c r="B777" i="5" s="1"/>
  <c r="B776" i="5"/>
  <c r="B764" i="5"/>
  <c r="B761" i="5"/>
  <c r="B768" i="5" s="1"/>
  <c r="G768" i="5" s="1"/>
  <c r="J750" i="5"/>
  <c r="I750" i="5"/>
  <c r="F750" i="5"/>
  <c r="E750" i="5"/>
  <c r="D750" i="5"/>
  <c r="H750" i="5" s="1"/>
  <c r="C750" i="5"/>
  <c r="G750" i="5" s="1"/>
  <c r="J749" i="5"/>
  <c r="I749" i="5"/>
  <c r="F749" i="5"/>
  <c r="E749" i="5"/>
  <c r="D749" i="5"/>
  <c r="H749" i="5" s="1"/>
  <c r="C749" i="5"/>
  <c r="G749" i="5" s="1"/>
  <c r="K749" i="5" s="1"/>
  <c r="J748" i="5"/>
  <c r="I748" i="5"/>
  <c r="H748" i="5"/>
  <c r="F748" i="5"/>
  <c r="E748" i="5"/>
  <c r="D748" i="5"/>
  <c r="C748" i="5"/>
  <c r="G748" i="5" s="1"/>
  <c r="K748" i="5" s="1"/>
  <c r="J747" i="5"/>
  <c r="I747" i="5"/>
  <c r="F747" i="5"/>
  <c r="E747" i="5"/>
  <c r="D747" i="5"/>
  <c r="H747" i="5" s="1"/>
  <c r="C747" i="5"/>
  <c r="G747" i="5" s="1"/>
  <c r="K747" i="5" s="1"/>
  <c r="J746" i="5"/>
  <c r="I746" i="5"/>
  <c r="F746" i="5"/>
  <c r="E746" i="5"/>
  <c r="D746" i="5"/>
  <c r="H746" i="5" s="1"/>
  <c r="C746" i="5"/>
  <c r="G746" i="5" s="1"/>
  <c r="K746" i="5" s="1"/>
  <c r="J745" i="5"/>
  <c r="I745" i="5"/>
  <c r="F745" i="5"/>
  <c r="E745" i="5"/>
  <c r="D745" i="5"/>
  <c r="H745" i="5" s="1"/>
  <c r="C745" i="5"/>
  <c r="G745" i="5" s="1"/>
  <c r="K745" i="5" s="1"/>
  <c r="J744" i="5"/>
  <c r="I744" i="5"/>
  <c r="F744" i="5"/>
  <c r="E744" i="5"/>
  <c r="D744" i="5"/>
  <c r="H744" i="5" s="1"/>
  <c r="C744" i="5"/>
  <c r="G744" i="5" s="1"/>
  <c r="J743" i="5"/>
  <c r="I743" i="5"/>
  <c r="F743" i="5"/>
  <c r="E743" i="5"/>
  <c r="D743" i="5"/>
  <c r="H743" i="5" s="1"/>
  <c r="C743" i="5"/>
  <c r="G743" i="5" s="1"/>
  <c r="J742" i="5"/>
  <c r="I742" i="5"/>
  <c r="F742" i="5"/>
  <c r="E742" i="5"/>
  <c r="D742" i="5"/>
  <c r="H742" i="5" s="1"/>
  <c r="C742" i="5"/>
  <c r="G742" i="5" s="1"/>
  <c r="J741" i="5"/>
  <c r="I741" i="5"/>
  <c r="F741" i="5"/>
  <c r="E741" i="5"/>
  <c r="D741" i="5"/>
  <c r="H741" i="5" s="1"/>
  <c r="C741" i="5"/>
  <c r="G741" i="5" s="1"/>
  <c r="K741" i="5" s="1"/>
  <c r="J740" i="5"/>
  <c r="I740" i="5"/>
  <c r="H740" i="5"/>
  <c r="F740" i="5"/>
  <c r="E740" i="5"/>
  <c r="D740" i="5"/>
  <c r="C740" i="5"/>
  <c r="G740" i="5" s="1"/>
  <c r="K740" i="5" s="1"/>
  <c r="J739" i="5"/>
  <c r="I739" i="5"/>
  <c r="F739" i="5"/>
  <c r="E739" i="5"/>
  <c r="D739" i="5"/>
  <c r="H739" i="5" s="1"/>
  <c r="C739" i="5"/>
  <c r="G739" i="5" s="1"/>
  <c r="K739" i="5" s="1"/>
  <c r="B752" i="5" s="1"/>
  <c r="M731" i="5"/>
  <c r="G731" i="5"/>
  <c r="F731" i="5"/>
  <c r="E731" i="5"/>
  <c r="D731" i="5"/>
  <c r="C731" i="5"/>
  <c r="I731" i="5" s="1"/>
  <c r="L731" i="5" s="1"/>
  <c r="H717" i="5"/>
  <c r="G717" i="5"/>
  <c r="F717" i="5"/>
  <c r="E717" i="5"/>
  <c r="D717" i="5"/>
  <c r="C717" i="5"/>
  <c r="H716" i="5"/>
  <c r="G716" i="5"/>
  <c r="F716" i="5"/>
  <c r="E716" i="5"/>
  <c r="D716" i="5"/>
  <c r="C716" i="5"/>
  <c r="H715" i="5"/>
  <c r="G715" i="5"/>
  <c r="F715" i="5"/>
  <c r="E715" i="5"/>
  <c r="D715" i="5"/>
  <c r="C715" i="5"/>
  <c r="B697" i="5"/>
  <c r="B699" i="5" s="1"/>
  <c r="B698" i="5" s="1"/>
  <c r="B692" i="5"/>
  <c r="G689" i="5"/>
  <c r="B689" i="5"/>
  <c r="B691" i="5" s="1"/>
  <c r="B685" i="5"/>
  <c r="B682" i="5"/>
  <c r="K661" i="5"/>
  <c r="J661" i="5"/>
  <c r="I661" i="5"/>
  <c r="F661" i="5"/>
  <c r="E661" i="5"/>
  <c r="D661" i="5"/>
  <c r="H661" i="5" s="1"/>
  <c r="C661" i="5"/>
  <c r="G661" i="5" s="1"/>
  <c r="J660" i="5"/>
  <c r="I660" i="5"/>
  <c r="H660" i="5"/>
  <c r="F660" i="5"/>
  <c r="E660" i="5"/>
  <c r="D660" i="5"/>
  <c r="C660" i="5"/>
  <c r="G660" i="5" s="1"/>
  <c r="K660" i="5" s="1"/>
  <c r="G652" i="5"/>
  <c r="F652" i="5"/>
  <c r="M652" i="5" s="1"/>
  <c r="E652" i="5"/>
  <c r="D652" i="5"/>
  <c r="C652" i="5"/>
  <c r="I652" i="5" s="1"/>
  <c r="L652" i="5" s="1"/>
  <c r="H637" i="5"/>
  <c r="G637" i="5"/>
  <c r="F637" i="5"/>
  <c r="E637" i="5"/>
  <c r="D637" i="5"/>
  <c r="C637" i="5"/>
  <c r="H636" i="5"/>
  <c r="B673" i="5" s="1"/>
  <c r="G636" i="5"/>
  <c r="F636" i="5"/>
  <c r="E636" i="5"/>
  <c r="D636" i="5"/>
  <c r="C636" i="5"/>
  <c r="B618" i="5"/>
  <c r="B620" i="5" s="1"/>
  <c r="B619" i="5" s="1"/>
  <c r="B610" i="5"/>
  <c r="B606" i="5"/>
  <c r="B607" i="5" s="1"/>
  <c r="B603" i="5"/>
  <c r="J583" i="5"/>
  <c r="I583" i="5"/>
  <c r="F583" i="5"/>
  <c r="E583" i="5"/>
  <c r="D583" i="5"/>
  <c r="H583" i="5" s="1"/>
  <c r="C583" i="5"/>
  <c r="G583" i="5" s="1"/>
  <c r="K583" i="5" s="1"/>
  <c r="J582" i="5"/>
  <c r="I582" i="5"/>
  <c r="F582" i="5"/>
  <c r="E582" i="5"/>
  <c r="D582" i="5"/>
  <c r="H582" i="5" s="1"/>
  <c r="C582" i="5"/>
  <c r="G582" i="5" s="1"/>
  <c r="K582" i="5" s="1"/>
  <c r="J581" i="5"/>
  <c r="I581" i="5"/>
  <c r="F581" i="5"/>
  <c r="E581" i="5"/>
  <c r="D581" i="5"/>
  <c r="H581" i="5" s="1"/>
  <c r="C581" i="5"/>
  <c r="G581" i="5" s="1"/>
  <c r="K581" i="5" s="1"/>
  <c r="M573" i="5"/>
  <c r="I573" i="5"/>
  <c r="L573" i="5" s="1"/>
  <c r="G573" i="5"/>
  <c r="F573" i="5"/>
  <c r="E573" i="5"/>
  <c r="D573" i="5"/>
  <c r="C573" i="5"/>
  <c r="H559" i="5"/>
  <c r="G559" i="5"/>
  <c r="F559" i="5"/>
  <c r="E559" i="5"/>
  <c r="D559" i="5"/>
  <c r="C559" i="5"/>
  <c r="H558" i="5"/>
  <c r="G558" i="5"/>
  <c r="F558" i="5"/>
  <c r="E558" i="5"/>
  <c r="D558" i="5"/>
  <c r="C558" i="5"/>
  <c r="H557" i="5"/>
  <c r="B594" i="5" s="1"/>
  <c r="B624" i="5" s="1"/>
  <c r="G557" i="5"/>
  <c r="F557" i="5"/>
  <c r="E557" i="5"/>
  <c r="D557" i="5"/>
  <c r="C557" i="5"/>
  <c r="B541" i="5"/>
  <c r="B540" i="5"/>
  <c r="B539" i="5"/>
  <c r="B528" i="5"/>
  <c r="B527" i="5"/>
  <c r="B524" i="5"/>
  <c r="B531" i="5" s="1"/>
  <c r="B533" i="5" s="1"/>
  <c r="B534" i="5" s="1"/>
  <c r="J504" i="5"/>
  <c r="I504" i="5"/>
  <c r="F504" i="5"/>
  <c r="E504" i="5"/>
  <c r="D504" i="5"/>
  <c r="H504" i="5" s="1"/>
  <c r="C504" i="5"/>
  <c r="G504" i="5" s="1"/>
  <c r="K504" i="5" s="1"/>
  <c r="J503" i="5"/>
  <c r="I503" i="5"/>
  <c r="F503" i="5"/>
  <c r="E503" i="5"/>
  <c r="D503" i="5"/>
  <c r="H503" i="5" s="1"/>
  <c r="C503" i="5"/>
  <c r="G503" i="5" s="1"/>
  <c r="K503" i="5" s="1"/>
  <c r="J502" i="5"/>
  <c r="I502" i="5"/>
  <c r="F502" i="5"/>
  <c r="E502" i="5"/>
  <c r="D502" i="5"/>
  <c r="H502" i="5" s="1"/>
  <c r="C502" i="5"/>
  <c r="G502" i="5" s="1"/>
  <c r="H483" i="5"/>
  <c r="G483" i="5"/>
  <c r="F483" i="5"/>
  <c r="E483" i="5"/>
  <c r="D483" i="5"/>
  <c r="C483" i="5"/>
  <c r="H482" i="5"/>
  <c r="G482" i="5"/>
  <c r="F482" i="5"/>
  <c r="E482" i="5"/>
  <c r="D482" i="5"/>
  <c r="C482" i="5"/>
  <c r="H481" i="5"/>
  <c r="G481" i="5"/>
  <c r="F481" i="5"/>
  <c r="E481" i="5"/>
  <c r="D481" i="5"/>
  <c r="C481" i="5"/>
  <c r="H480" i="5"/>
  <c r="G480" i="5"/>
  <c r="F480" i="5"/>
  <c r="E480" i="5"/>
  <c r="D480" i="5"/>
  <c r="C480" i="5"/>
  <c r="F479" i="5"/>
  <c r="D479" i="5"/>
  <c r="C479" i="5"/>
  <c r="F478" i="5"/>
  <c r="D478" i="5"/>
  <c r="C478" i="5"/>
  <c r="B463" i="5"/>
  <c r="B462" i="5" s="1"/>
  <c r="B461" i="5"/>
  <c r="B455" i="5"/>
  <c r="B456" i="5" s="1"/>
  <c r="B453" i="5"/>
  <c r="G453" i="5" s="1"/>
  <c r="B449" i="5"/>
  <c r="B450" i="5" s="1"/>
  <c r="B446" i="5"/>
  <c r="J428" i="5"/>
  <c r="I428" i="5"/>
  <c r="F428" i="5"/>
  <c r="E428" i="5"/>
  <c r="D428" i="5"/>
  <c r="H428" i="5" s="1"/>
  <c r="C428" i="5"/>
  <c r="G428" i="5" s="1"/>
  <c r="K428" i="5" s="1"/>
  <c r="J427" i="5"/>
  <c r="I427" i="5"/>
  <c r="F427" i="5"/>
  <c r="E427" i="5"/>
  <c r="D427" i="5"/>
  <c r="H427" i="5" s="1"/>
  <c r="C427" i="5"/>
  <c r="G427" i="5" s="1"/>
  <c r="J426" i="5"/>
  <c r="I426" i="5"/>
  <c r="F426" i="5"/>
  <c r="E426" i="5"/>
  <c r="D426" i="5"/>
  <c r="H426" i="5" s="1"/>
  <c r="C426" i="5"/>
  <c r="G426" i="5" s="1"/>
  <c r="J425" i="5"/>
  <c r="I425" i="5"/>
  <c r="H425" i="5"/>
  <c r="F425" i="5"/>
  <c r="E425" i="5"/>
  <c r="D425" i="5"/>
  <c r="C425" i="5"/>
  <c r="G425" i="5" s="1"/>
  <c r="K425" i="5" s="1"/>
  <c r="J424" i="5"/>
  <c r="I424" i="5"/>
  <c r="F424" i="5"/>
  <c r="E424" i="5"/>
  <c r="D424" i="5"/>
  <c r="H424" i="5" s="1"/>
  <c r="C424" i="5"/>
  <c r="G424" i="5" s="1"/>
  <c r="K424" i="5" s="1"/>
  <c r="F402" i="5"/>
  <c r="D402" i="5"/>
  <c r="C402" i="5"/>
  <c r="F401" i="5"/>
  <c r="D401" i="5"/>
  <c r="C401" i="5"/>
  <c r="F400" i="5"/>
  <c r="D400" i="5"/>
  <c r="C400" i="5"/>
  <c r="B383" i="5"/>
  <c r="B385" i="5" s="1"/>
  <c r="B384" i="5" s="1"/>
  <c r="B372" i="5"/>
  <c r="B371" i="5"/>
  <c r="B368" i="5"/>
  <c r="B375" i="5" s="1"/>
  <c r="J350" i="5"/>
  <c r="I350" i="5"/>
  <c r="F350" i="5"/>
  <c r="E350" i="5"/>
  <c r="D350" i="5"/>
  <c r="H350" i="5" s="1"/>
  <c r="C350" i="5"/>
  <c r="G350" i="5" s="1"/>
  <c r="J349" i="5"/>
  <c r="I349" i="5"/>
  <c r="F349" i="5"/>
  <c r="E349" i="5"/>
  <c r="D349" i="5"/>
  <c r="H349" i="5" s="1"/>
  <c r="C349" i="5"/>
  <c r="G349" i="5" s="1"/>
  <c r="K349" i="5" s="1"/>
  <c r="J348" i="5"/>
  <c r="I348" i="5"/>
  <c r="F348" i="5"/>
  <c r="E348" i="5"/>
  <c r="D348" i="5"/>
  <c r="H348" i="5" s="1"/>
  <c r="C348" i="5"/>
  <c r="G348" i="5" s="1"/>
  <c r="J347" i="5"/>
  <c r="I347" i="5"/>
  <c r="F347" i="5"/>
  <c r="E347" i="5"/>
  <c r="D347" i="5"/>
  <c r="H347" i="5" s="1"/>
  <c r="C347" i="5"/>
  <c r="G347" i="5" s="1"/>
  <c r="K347" i="5" s="1"/>
  <c r="J346" i="5"/>
  <c r="I346" i="5"/>
  <c r="F346" i="5"/>
  <c r="E346" i="5"/>
  <c r="D346" i="5"/>
  <c r="H346" i="5" s="1"/>
  <c r="C346" i="5"/>
  <c r="G346" i="5" s="1"/>
  <c r="F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B304" i="5"/>
  <c r="B306" i="5" s="1"/>
  <c r="B305" i="5" s="1"/>
  <c r="B296" i="5"/>
  <c r="B292" i="5"/>
  <c r="B289" i="5"/>
  <c r="J270" i="5"/>
  <c r="I270" i="5"/>
  <c r="H270" i="5"/>
  <c r="F270" i="5"/>
  <c r="E270" i="5"/>
  <c r="D270" i="5"/>
  <c r="C270" i="5"/>
  <c r="G270" i="5" s="1"/>
  <c r="K270" i="5" s="1"/>
  <c r="J269" i="5"/>
  <c r="I269" i="5"/>
  <c r="F269" i="5"/>
  <c r="E269" i="5"/>
  <c r="D269" i="5"/>
  <c r="H269" i="5" s="1"/>
  <c r="C269" i="5"/>
  <c r="G269" i="5" s="1"/>
  <c r="J268" i="5"/>
  <c r="I268" i="5"/>
  <c r="F268" i="5"/>
  <c r="E268" i="5"/>
  <c r="D268" i="5"/>
  <c r="H268" i="5" s="1"/>
  <c r="C268" i="5"/>
  <c r="G268" i="5" s="1"/>
  <c r="K268" i="5" s="1"/>
  <c r="J267" i="5"/>
  <c r="I267" i="5"/>
  <c r="F267" i="5"/>
  <c r="E267" i="5"/>
  <c r="D267" i="5"/>
  <c r="H267" i="5" s="1"/>
  <c r="C267" i="5"/>
  <c r="G267" i="5" s="1"/>
  <c r="K267" i="5" s="1"/>
  <c r="F246" i="5"/>
  <c r="D246" i="5"/>
  <c r="C246" i="5"/>
  <c r="F245" i="5"/>
  <c r="E245" i="5"/>
  <c r="D245" i="5"/>
  <c r="C245" i="5"/>
  <c r="F244" i="5"/>
  <c r="D244" i="5"/>
  <c r="C244" i="5"/>
  <c r="F243" i="5"/>
  <c r="E243" i="5"/>
  <c r="D243" i="5"/>
  <c r="C243" i="5"/>
  <c r="B225" i="5"/>
  <c r="B227" i="5" s="1"/>
  <c r="B226" i="5" s="1"/>
  <c r="B217" i="5"/>
  <c r="B219" i="5" s="1"/>
  <c r="B220" i="5" s="1"/>
  <c r="B213" i="5"/>
  <c r="B210" i="5"/>
  <c r="J190" i="5"/>
  <c r="I190" i="5"/>
  <c r="F190" i="5"/>
  <c r="E190" i="5"/>
  <c r="D190" i="5"/>
  <c r="H190" i="5" s="1"/>
  <c r="C190" i="5"/>
  <c r="G190" i="5" s="1"/>
  <c r="K190" i="5" s="1"/>
  <c r="J189" i="5"/>
  <c r="I189" i="5"/>
  <c r="F189" i="5"/>
  <c r="E189" i="5"/>
  <c r="D189" i="5"/>
  <c r="H189" i="5" s="1"/>
  <c r="C189" i="5"/>
  <c r="G189" i="5" s="1"/>
  <c r="J188" i="5"/>
  <c r="I188" i="5"/>
  <c r="F188" i="5"/>
  <c r="E188" i="5"/>
  <c r="D188" i="5"/>
  <c r="H188" i="5" s="1"/>
  <c r="C188" i="5"/>
  <c r="G188" i="5" s="1"/>
  <c r="K188" i="5" s="1"/>
  <c r="M180" i="5"/>
  <c r="I180" i="5"/>
  <c r="L180" i="5" s="1"/>
  <c r="G180" i="5"/>
  <c r="F180" i="5"/>
  <c r="E180" i="5"/>
  <c r="D180" i="5"/>
  <c r="C180" i="5"/>
  <c r="F165" i="5"/>
  <c r="D165" i="5"/>
  <c r="C165" i="5"/>
  <c r="F164" i="5"/>
  <c r="E164" i="5"/>
  <c r="D164" i="5"/>
  <c r="C164" i="5"/>
  <c r="B147" i="5"/>
  <c r="B146" i="5"/>
  <c r="B145" i="5"/>
  <c r="B133" i="5"/>
  <c r="B130" i="5"/>
  <c r="B137" i="5" s="1"/>
  <c r="J112" i="5"/>
  <c r="I112" i="5"/>
  <c r="F112" i="5"/>
  <c r="E112" i="5"/>
  <c r="D112" i="5"/>
  <c r="H112" i="5" s="1"/>
  <c r="C112" i="5"/>
  <c r="G112" i="5" s="1"/>
  <c r="K112" i="5" s="1"/>
  <c r="J111" i="5"/>
  <c r="I111" i="5"/>
  <c r="F111" i="5"/>
  <c r="E111" i="5"/>
  <c r="D111" i="5"/>
  <c r="H111" i="5" s="1"/>
  <c r="C111" i="5"/>
  <c r="G111" i="5" s="1"/>
  <c r="J110" i="5"/>
  <c r="I110" i="5"/>
  <c r="F110" i="5"/>
  <c r="E110" i="5"/>
  <c r="D110" i="5"/>
  <c r="H110" i="5" s="1"/>
  <c r="C110" i="5"/>
  <c r="G110" i="5" s="1"/>
  <c r="K110" i="5" s="1"/>
  <c r="J109" i="5"/>
  <c r="I109" i="5"/>
  <c r="F109" i="5"/>
  <c r="E109" i="5"/>
  <c r="D109" i="5"/>
  <c r="H109" i="5" s="1"/>
  <c r="C109" i="5"/>
  <c r="G109" i="5" s="1"/>
  <c r="J108" i="5"/>
  <c r="I108" i="5"/>
  <c r="F108" i="5"/>
  <c r="E108" i="5"/>
  <c r="D108" i="5"/>
  <c r="H108" i="5" s="1"/>
  <c r="C108" i="5"/>
  <c r="G108" i="5" s="1"/>
  <c r="K108" i="5" s="1"/>
  <c r="M100" i="5"/>
  <c r="I100" i="5"/>
  <c r="L100" i="5" s="1"/>
  <c r="G100" i="5"/>
  <c r="F100" i="5"/>
  <c r="E100" i="5"/>
  <c r="D100" i="5"/>
  <c r="C100" i="5"/>
  <c r="F86" i="5"/>
  <c r="D86" i="5"/>
  <c r="C86" i="5"/>
  <c r="F85" i="5"/>
  <c r="E85" i="5"/>
  <c r="D85" i="5"/>
  <c r="C85" i="5"/>
  <c r="F84" i="5"/>
  <c r="E84" i="5"/>
  <c r="D84" i="5"/>
  <c r="C84" i="5"/>
  <c r="B66" i="5"/>
  <c r="B68" i="5" s="1"/>
  <c r="B67" i="5" s="1"/>
  <c r="B55" i="5"/>
  <c r="B51" i="5"/>
  <c r="B58" i="5" s="1"/>
  <c r="B60" i="5" s="1"/>
  <c r="D28" i="5"/>
  <c r="C28" i="5"/>
  <c r="C21" i="5"/>
  <c r="B21" i="5"/>
  <c r="F21" i="5" s="1"/>
  <c r="B19" i="5"/>
  <c r="F19" i="5" s="1"/>
  <c r="B18" i="5"/>
  <c r="E17" i="5"/>
  <c r="D17" i="5"/>
  <c r="C17" i="5"/>
  <c r="B17" i="5"/>
  <c r="F17" i="5" s="1"/>
  <c r="D16" i="5"/>
  <c r="C16" i="5"/>
  <c r="B16" i="5"/>
  <c r="F16" i="5" s="1"/>
  <c r="D15" i="5"/>
  <c r="C15" i="5"/>
  <c r="B15" i="5"/>
  <c r="F15" i="5" s="1"/>
  <c r="D14" i="5"/>
  <c r="C14" i="5"/>
  <c r="B14" i="5"/>
  <c r="F14" i="5" s="1"/>
  <c r="D13" i="5"/>
  <c r="C13" i="5"/>
  <c r="B13" i="5"/>
  <c r="F13" i="5" s="1"/>
  <c r="V12" i="5"/>
  <c r="B12" i="5"/>
  <c r="V11" i="5"/>
  <c r="V10" i="5"/>
  <c r="V9" i="5"/>
  <c r="V8" i="5"/>
  <c r="V7" i="5"/>
  <c r="B778" i="4"/>
  <c r="B777" i="4"/>
  <c r="B776" i="4"/>
  <c r="B764" i="4"/>
  <c r="B761" i="4"/>
  <c r="B768" i="4" s="1"/>
  <c r="J750" i="4"/>
  <c r="I750" i="4"/>
  <c r="F750" i="4"/>
  <c r="E750" i="4"/>
  <c r="D750" i="4"/>
  <c r="H750" i="4" s="1"/>
  <c r="C750" i="4"/>
  <c r="G750" i="4" s="1"/>
  <c r="K750" i="4" s="1"/>
  <c r="J749" i="4"/>
  <c r="I749" i="4"/>
  <c r="F749" i="4"/>
  <c r="E749" i="4"/>
  <c r="D749" i="4"/>
  <c r="H749" i="4" s="1"/>
  <c r="C749" i="4"/>
  <c r="G749" i="4" s="1"/>
  <c r="J748" i="4"/>
  <c r="I748" i="4"/>
  <c r="F748" i="4"/>
  <c r="E748" i="4"/>
  <c r="D748" i="4"/>
  <c r="H748" i="4" s="1"/>
  <c r="C748" i="4"/>
  <c r="G748" i="4" s="1"/>
  <c r="K748" i="4" s="1"/>
  <c r="J747" i="4"/>
  <c r="I747" i="4"/>
  <c r="F747" i="4"/>
  <c r="E747" i="4"/>
  <c r="D747" i="4"/>
  <c r="H747" i="4" s="1"/>
  <c r="C747" i="4"/>
  <c r="G747" i="4" s="1"/>
  <c r="J746" i="4"/>
  <c r="I746" i="4"/>
  <c r="F746" i="4"/>
  <c r="E746" i="4"/>
  <c r="D746" i="4"/>
  <c r="H746" i="4" s="1"/>
  <c r="C746" i="4"/>
  <c r="G746" i="4" s="1"/>
  <c r="K746" i="4" s="1"/>
  <c r="J745" i="4"/>
  <c r="I745" i="4"/>
  <c r="H745" i="4"/>
  <c r="F745" i="4"/>
  <c r="E745" i="4"/>
  <c r="D745" i="4"/>
  <c r="C745" i="4"/>
  <c r="G745" i="4" s="1"/>
  <c r="K745" i="4" s="1"/>
  <c r="J744" i="4"/>
  <c r="I744" i="4"/>
  <c r="F744" i="4"/>
  <c r="E744" i="4"/>
  <c r="D744" i="4"/>
  <c r="H744" i="4" s="1"/>
  <c r="C744" i="4"/>
  <c r="G744" i="4" s="1"/>
  <c r="K744" i="4" s="1"/>
  <c r="J743" i="4"/>
  <c r="I743" i="4"/>
  <c r="F743" i="4"/>
  <c r="E743" i="4"/>
  <c r="D743" i="4"/>
  <c r="H743" i="4" s="1"/>
  <c r="C743" i="4"/>
  <c r="G743" i="4" s="1"/>
  <c r="K743" i="4" s="1"/>
  <c r="J742" i="4"/>
  <c r="I742" i="4"/>
  <c r="F742" i="4"/>
  <c r="E742" i="4"/>
  <c r="D742" i="4"/>
  <c r="H742" i="4" s="1"/>
  <c r="C742" i="4"/>
  <c r="G742" i="4" s="1"/>
  <c r="K742" i="4" s="1"/>
  <c r="J741" i="4"/>
  <c r="I741" i="4"/>
  <c r="H741" i="4"/>
  <c r="F741" i="4"/>
  <c r="E741" i="4"/>
  <c r="D741" i="4"/>
  <c r="C741" i="4"/>
  <c r="G741" i="4" s="1"/>
  <c r="K741" i="4" s="1"/>
  <c r="J740" i="4"/>
  <c r="I740" i="4"/>
  <c r="F740" i="4"/>
  <c r="E740" i="4"/>
  <c r="D740" i="4"/>
  <c r="H740" i="4" s="1"/>
  <c r="C740" i="4"/>
  <c r="G740" i="4" s="1"/>
  <c r="J739" i="4"/>
  <c r="B752" i="4" s="1"/>
  <c r="B753" i="4" s="1"/>
  <c r="B783" i="4" s="1"/>
  <c r="I739" i="4"/>
  <c r="F739" i="4"/>
  <c r="E739" i="4"/>
  <c r="D739" i="4"/>
  <c r="H739" i="4" s="1"/>
  <c r="C739" i="4"/>
  <c r="G739" i="4" s="1"/>
  <c r="N731" i="4"/>
  <c r="H731" i="4" s="1"/>
  <c r="G731" i="4"/>
  <c r="F731" i="4"/>
  <c r="M731" i="4" s="1"/>
  <c r="E731" i="4"/>
  <c r="D731" i="4"/>
  <c r="C731" i="4"/>
  <c r="I731" i="4" s="1"/>
  <c r="L731" i="4" s="1"/>
  <c r="H717" i="4"/>
  <c r="G717" i="4"/>
  <c r="F717" i="4"/>
  <c r="E717" i="4"/>
  <c r="D717" i="4"/>
  <c r="C717" i="4"/>
  <c r="H716" i="4"/>
  <c r="G716" i="4"/>
  <c r="F716" i="4"/>
  <c r="E716" i="4"/>
  <c r="D716" i="4"/>
  <c r="C716" i="4"/>
  <c r="H715" i="4"/>
  <c r="G715" i="4"/>
  <c r="F715" i="4"/>
  <c r="E715" i="4"/>
  <c r="D715" i="4"/>
  <c r="C715" i="4"/>
  <c r="B697" i="4"/>
  <c r="B699" i="4" s="1"/>
  <c r="B698" i="4" s="1"/>
  <c r="B689" i="4"/>
  <c r="B685" i="4"/>
  <c r="B682" i="4"/>
  <c r="J661" i="4"/>
  <c r="I661" i="4"/>
  <c r="F661" i="4"/>
  <c r="E661" i="4"/>
  <c r="D661" i="4"/>
  <c r="H661" i="4" s="1"/>
  <c r="C661" i="4"/>
  <c r="G661" i="4" s="1"/>
  <c r="J660" i="4"/>
  <c r="I660" i="4"/>
  <c r="F660" i="4"/>
  <c r="E660" i="4"/>
  <c r="D660" i="4"/>
  <c r="H660" i="4" s="1"/>
  <c r="C660" i="4"/>
  <c r="G660" i="4" s="1"/>
  <c r="M652" i="4"/>
  <c r="G652" i="4"/>
  <c r="B673" i="4" s="1"/>
  <c r="F652" i="4"/>
  <c r="E652" i="4"/>
  <c r="D652" i="4"/>
  <c r="C652" i="4"/>
  <c r="I652" i="4" s="1"/>
  <c r="L652" i="4" s="1"/>
  <c r="H637" i="4"/>
  <c r="G637" i="4"/>
  <c r="F637" i="4"/>
  <c r="E637" i="4"/>
  <c r="D637" i="4"/>
  <c r="C637" i="4"/>
  <c r="H636" i="4"/>
  <c r="G636" i="4"/>
  <c r="F636" i="4"/>
  <c r="E636" i="4"/>
  <c r="D636" i="4"/>
  <c r="C636" i="4"/>
  <c r="B619" i="4"/>
  <c r="B618" i="4"/>
  <c r="B620" i="4" s="1"/>
  <c r="G610" i="4"/>
  <c r="B607" i="4"/>
  <c r="B606" i="4"/>
  <c r="B603" i="4"/>
  <c r="B610" i="4" s="1"/>
  <c r="B612" i="4" s="1"/>
  <c r="B613" i="4" s="1"/>
  <c r="J583" i="4"/>
  <c r="I583" i="4"/>
  <c r="F583" i="4"/>
  <c r="E583" i="4"/>
  <c r="D583" i="4"/>
  <c r="H583" i="4" s="1"/>
  <c r="C583" i="4"/>
  <c r="G583" i="4" s="1"/>
  <c r="K583" i="4" s="1"/>
  <c r="J582" i="4"/>
  <c r="I582" i="4"/>
  <c r="F582" i="4"/>
  <c r="E582" i="4"/>
  <c r="D582" i="4"/>
  <c r="H582" i="4" s="1"/>
  <c r="C582" i="4"/>
  <c r="G582" i="4" s="1"/>
  <c r="K582" i="4" s="1"/>
  <c r="J581" i="4"/>
  <c r="I581" i="4"/>
  <c r="H581" i="4"/>
  <c r="F581" i="4"/>
  <c r="E581" i="4"/>
  <c r="D581" i="4"/>
  <c r="C581" i="4"/>
  <c r="G581" i="4" s="1"/>
  <c r="K581" i="4" s="1"/>
  <c r="L573" i="4"/>
  <c r="I573" i="4"/>
  <c r="G573" i="4"/>
  <c r="F573" i="4"/>
  <c r="M573" i="4" s="1"/>
  <c r="E573" i="4"/>
  <c r="D573" i="4"/>
  <c r="C573" i="4"/>
  <c r="H559" i="4"/>
  <c r="G559" i="4"/>
  <c r="F559" i="4"/>
  <c r="E559" i="4"/>
  <c r="D559" i="4"/>
  <c r="C559" i="4"/>
  <c r="H558" i="4"/>
  <c r="G558" i="4"/>
  <c r="F558" i="4"/>
  <c r="E558" i="4"/>
  <c r="D558" i="4"/>
  <c r="C558" i="4"/>
  <c r="H557" i="4"/>
  <c r="B594" i="4" s="1"/>
  <c r="G557" i="4"/>
  <c r="F557" i="4"/>
  <c r="E557" i="4"/>
  <c r="D557" i="4"/>
  <c r="C557" i="4"/>
  <c r="B541" i="4"/>
  <c r="B540" i="4" s="1"/>
  <c r="B539" i="4"/>
  <c r="B533" i="4"/>
  <c r="B534" i="4" s="1"/>
  <c r="B531" i="4"/>
  <c r="G531" i="4" s="1"/>
  <c r="B527" i="4"/>
  <c r="B528" i="4" s="1"/>
  <c r="B524" i="4"/>
  <c r="J504" i="4"/>
  <c r="I504" i="4"/>
  <c r="F504" i="4"/>
  <c r="E504" i="4"/>
  <c r="D504" i="4"/>
  <c r="H504" i="4" s="1"/>
  <c r="C504" i="4"/>
  <c r="G504" i="4" s="1"/>
  <c r="K504" i="4" s="1"/>
  <c r="J503" i="4"/>
  <c r="I503" i="4"/>
  <c r="F503" i="4"/>
  <c r="E503" i="4"/>
  <c r="D503" i="4"/>
  <c r="H503" i="4" s="1"/>
  <c r="C503" i="4"/>
  <c r="G503" i="4" s="1"/>
  <c r="J502" i="4"/>
  <c r="I502" i="4"/>
  <c r="F502" i="4"/>
  <c r="E502" i="4"/>
  <c r="D502" i="4"/>
  <c r="H502" i="4" s="1"/>
  <c r="C502" i="4"/>
  <c r="G502" i="4" s="1"/>
  <c r="K502" i="4" s="1"/>
  <c r="H483" i="4"/>
  <c r="G483" i="4"/>
  <c r="F483" i="4"/>
  <c r="E483" i="4"/>
  <c r="D483" i="4"/>
  <c r="C483" i="4"/>
  <c r="H482" i="4"/>
  <c r="G482" i="4"/>
  <c r="F482" i="4"/>
  <c r="E482" i="4"/>
  <c r="D482" i="4"/>
  <c r="C482" i="4"/>
  <c r="H481" i="4"/>
  <c r="G481" i="4"/>
  <c r="F481" i="4"/>
  <c r="E481" i="4"/>
  <c r="D481" i="4"/>
  <c r="C481" i="4"/>
  <c r="H480" i="4"/>
  <c r="G480" i="4"/>
  <c r="F480" i="4"/>
  <c r="E480" i="4"/>
  <c r="D480" i="4"/>
  <c r="C480" i="4"/>
  <c r="F479" i="4"/>
  <c r="D479" i="4"/>
  <c r="C479" i="4"/>
  <c r="F478" i="4"/>
  <c r="D478" i="4"/>
  <c r="C478" i="4"/>
  <c r="B463" i="4"/>
  <c r="B462" i="4"/>
  <c r="B461" i="4"/>
  <c r="B450" i="4"/>
  <c r="B449" i="4"/>
  <c r="B446" i="4"/>
  <c r="B453" i="4" s="1"/>
  <c r="J428" i="4"/>
  <c r="I428" i="4"/>
  <c r="H428" i="4"/>
  <c r="F428" i="4"/>
  <c r="E428" i="4"/>
  <c r="D428" i="4"/>
  <c r="C428" i="4"/>
  <c r="G428" i="4" s="1"/>
  <c r="K428" i="4" s="1"/>
  <c r="J427" i="4"/>
  <c r="I427" i="4"/>
  <c r="F427" i="4"/>
  <c r="E427" i="4"/>
  <c r="D427" i="4"/>
  <c r="H427" i="4" s="1"/>
  <c r="C427" i="4"/>
  <c r="G427" i="4" s="1"/>
  <c r="K427" i="4" s="1"/>
  <c r="J426" i="4"/>
  <c r="I426" i="4"/>
  <c r="F426" i="4"/>
  <c r="E426" i="4"/>
  <c r="D426" i="4"/>
  <c r="H426" i="4" s="1"/>
  <c r="C426" i="4"/>
  <c r="G426" i="4" s="1"/>
  <c r="K426" i="4" s="1"/>
  <c r="J425" i="4"/>
  <c r="I425" i="4"/>
  <c r="F425" i="4"/>
  <c r="E425" i="4"/>
  <c r="D425" i="4"/>
  <c r="H425" i="4" s="1"/>
  <c r="C425" i="4"/>
  <c r="G425" i="4" s="1"/>
  <c r="K425" i="4" s="1"/>
  <c r="J424" i="4"/>
  <c r="I424" i="4"/>
  <c r="F424" i="4"/>
  <c r="E424" i="4"/>
  <c r="D424" i="4"/>
  <c r="H424" i="4" s="1"/>
  <c r="C424" i="4"/>
  <c r="G424" i="4" s="1"/>
  <c r="F402" i="4"/>
  <c r="D402" i="4"/>
  <c r="C402" i="4"/>
  <c r="F401" i="4"/>
  <c r="D401" i="4"/>
  <c r="C401" i="4"/>
  <c r="F400" i="4"/>
  <c r="D400" i="4"/>
  <c r="C400" i="4"/>
  <c r="B383" i="4"/>
  <c r="B385" i="4" s="1"/>
  <c r="B384" i="4" s="1"/>
  <c r="B375" i="4"/>
  <c r="B371" i="4"/>
  <c r="B372" i="4" s="1"/>
  <c r="B368" i="4"/>
  <c r="J350" i="4"/>
  <c r="I350" i="4"/>
  <c r="F350" i="4"/>
  <c r="E350" i="4"/>
  <c r="D350" i="4"/>
  <c r="H350" i="4" s="1"/>
  <c r="C350" i="4"/>
  <c r="G350" i="4" s="1"/>
  <c r="J349" i="4"/>
  <c r="I349" i="4"/>
  <c r="F349" i="4"/>
  <c r="E349" i="4"/>
  <c r="D349" i="4"/>
  <c r="H349" i="4" s="1"/>
  <c r="C349" i="4"/>
  <c r="G349" i="4" s="1"/>
  <c r="J348" i="4"/>
  <c r="I348" i="4"/>
  <c r="F348" i="4"/>
  <c r="E348" i="4"/>
  <c r="D348" i="4"/>
  <c r="H348" i="4" s="1"/>
  <c r="C348" i="4"/>
  <c r="G348" i="4" s="1"/>
  <c r="K348" i="4" s="1"/>
  <c r="J347" i="4"/>
  <c r="I347" i="4"/>
  <c r="F347" i="4"/>
  <c r="E347" i="4"/>
  <c r="D347" i="4"/>
  <c r="H347" i="4" s="1"/>
  <c r="C347" i="4"/>
  <c r="G347" i="4" s="1"/>
  <c r="J346" i="4"/>
  <c r="I346" i="4"/>
  <c r="F346" i="4"/>
  <c r="E346" i="4"/>
  <c r="D346" i="4"/>
  <c r="H346" i="4" s="1"/>
  <c r="C346" i="4"/>
  <c r="G346" i="4" s="1"/>
  <c r="K346" i="4" s="1"/>
  <c r="F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B304" i="4"/>
  <c r="B306" i="4" s="1"/>
  <c r="B305" i="4" s="1"/>
  <c r="B292" i="4"/>
  <c r="B289" i="4"/>
  <c r="B296" i="4" s="1"/>
  <c r="J270" i="4"/>
  <c r="I270" i="4"/>
  <c r="F270" i="4"/>
  <c r="E270" i="4"/>
  <c r="D270" i="4"/>
  <c r="H270" i="4" s="1"/>
  <c r="C270" i="4"/>
  <c r="G270" i="4" s="1"/>
  <c r="K270" i="4" s="1"/>
  <c r="J269" i="4"/>
  <c r="I269" i="4"/>
  <c r="F269" i="4"/>
  <c r="E269" i="4"/>
  <c r="D269" i="4"/>
  <c r="H269" i="4" s="1"/>
  <c r="C269" i="4"/>
  <c r="G269" i="4" s="1"/>
  <c r="J268" i="4"/>
  <c r="I268" i="4"/>
  <c r="F268" i="4"/>
  <c r="E268" i="4"/>
  <c r="D268" i="4"/>
  <c r="H268" i="4" s="1"/>
  <c r="C268" i="4"/>
  <c r="G268" i="4" s="1"/>
  <c r="J267" i="4"/>
  <c r="I267" i="4"/>
  <c r="F267" i="4"/>
  <c r="E267" i="4"/>
  <c r="D267" i="4"/>
  <c r="H267" i="4" s="1"/>
  <c r="C267" i="4"/>
  <c r="G267" i="4" s="1"/>
  <c r="F246" i="4"/>
  <c r="D246" i="4"/>
  <c r="C246" i="4"/>
  <c r="F245" i="4"/>
  <c r="E245" i="4"/>
  <c r="D245" i="4"/>
  <c r="C245" i="4"/>
  <c r="F244" i="4"/>
  <c r="D244" i="4"/>
  <c r="C244" i="4"/>
  <c r="F243" i="4"/>
  <c r="E243" i="4"/>
  <c r="D243" i="4"/>
  <c r="C243" i="4"/>
  <c r="B225" i="4"/>
  <c r="B227" i="4" s="1"/>
  <c r="B226" i="4" s="1"/>
  <c r="B217" i="4"/>
  <c r="B213" i="4"/>
  <c r="B210" i="4"/>
  <c r="J190" i="4"/>
  <c r="I190" i="4"/>
  <c r="H190" i="4"/>
  <c r="F190" i="4"/>
  <c r="E190" i="4"/>
  <c r="D190" i="4"/>
  <c r="C190" i="4"/>
  <c r="G190" i="4" s="1"/>
  <c r="K190" i="4" s="1"/>
  <c r="J189" i="4"/>
  <c r="I189" i="4"/>
  <c r="F189" i="4"/>
  <c r="E189" i="4"/>
  <c r="D189" i="4"/>
  <c r="H189" i="4" s="1"/>
  <c r="C189" i="4"/>
  <c r="G189" i="4" s="1"/>
  <c r="K189" i="4" s="1"/>
  <c r="J188" i="4"/>
  <c r="I188" i="4"/>
  <c r="F188" i="4"/>
  <c r="E188" i="4"/>
  <c r="D188" i="4"/>
  <c r="H188" i="4" s="1"/>
  <c r="C188" i="4"/>
  <c r="G188" i="4" s="1"/>
  <c r="K188" i="4" s="1"/>
  <c r="G180" i="4"/>
  <c r="F180" i="4"/>
  <c r="M180" i="4" s="1"/>
  <c r="N180" i="4" s="1"/>
  <c r="H180" i="4" s="1"/>
  <c r="E180" i="4"/>
  <c r="D180" i="4"/>
  <c r="C180" i="4"/>
  <c r="I180" i="4" s="1"/>
  <c r="L180" i="4" s="1"/>
  <c r="F165" i="4"/>
  <c r="D165" i="4"/>
  <c r="C165" i="4"/>
  <c r="F164" i="4"/>
  <c r="E164" i="4"/>
  <c r="D164" i="4"/>
  <c r="C164" i="4"/>
  <c r="B145" i="4"/>
  <c r="B147" i="4" s="1"/>
  <c r="B146" i="4" s="1"/>
  <c r="B133" i="4"/>
  <c r="B130" i="4"/>
  <c r="B137" i="4" s="1"/>
  <c r="J112" i="4"/>
  <c r="I112" i="4"/>
  <c r="H112" i="4"/>
  <c r="F112" i="4"/>
  <c r="E112" i="4"/>
  <c r="D112" i="4"/>
  <c r="C112" i="4"/>
  <c r="G112" i="4" s="1"/>
  <c r="K112" i="4" s="1"/>
  <c r="J111" i="4"/>
  <c r="I111" i="4"/>
  <c r="F111" i="4"/>
  <c r="E111" i="4"/>
  <c r="D111" i="4"/>
  <c r="H111" i="4" s="1"/>
  <c r="C111" i="4"/>
  <c r="G111" i="4" s="1"/>
  <c r="K111" i="4" s="1"/>
  <c r="J110" i="4"/>
  <c r="I110" i="4"/>
  <c r="F110" i="4"/>
  <c r="E110" i="4"/>
  <c r="D110" i="4"/>
  <c r="H110" i="4" s="1"/>
  <c r="C110" i="4"/>
  <c r="G110" i="4" s="1"/>
  <c r="J109" i="4"/>
  <c r="I109" i="4"/>
  <c r="F109" i="4"/>
  <c r="E109" i="4"/>
  <c r="D109" i="4"/>
  <c r="H109" i="4" s="1"/>
  <c r="C109" i="4"/>
  <c r="G109" i="4" s="1"/>
  <c r="K109" i="4" s="1"/>
  <c r="J108" i="4"/>
  <c r="I108" i="4"/>
  <c r="H108" i="4"/>
  <c r="F108" i="4"/>
  <c r="E108" i="4"/>
  <c r="D108" i="4"/>
  <c r="C108" i="4"/>
  <c r="G108" i="4" s="1"/>
  <c r="K108" i="4" s="1"/>
  <c r="L100" i="4"/>
  <c r="G100" i="4"/>
  <c r="F100" i="4"/>
  <c r="M100" i="4" s="1"/>
  <c r="N100" i="4" s="1"/>
  <c r="H100" i="4" s="1"/>
  <c r="E100" i="4"/>
  <c r="D100" i="4"/>
  <c r="C100" i="4"/>
  <c r="I100" i="4" s="1"/>
  <c r="F86" i="4"/>
  <c r="D86" i="4"/>
  <c r="C86" i="4"/>
  <c r="F85" i="4"/>
  <c r="E85" i="4"/>
  <c r="D85" i="4"/>
  <c r="C85" i="4"/>
  <c r="F84" i="4"/>
  <c r="E84" i="4"/>
  <c r="D84" i="4"/>
  <c r="C84" i="4"/>
  <c r="B68" i="4"/>
  <c r="B67" i="4" s="1"/>
  <c r="F55" i="4"/>
  <c r="B51" i="4"/>
  <c r="L28" i="4"/>
  <c r="D28" i="4"/>
  <c r="C28" i="4"/>
  <c r="D21" i="4"/>
  <c r="B21" i="4"/>
  <c r="E21" i="4" s="1"/>
  <c r="F19" i="4"/>
  <c r="E19" i="4"/>
  <c r="C19" i="4"/>
  <c r="B19" i="4"/>
  <c r="F18" i="4"/>
  <c r="C18" i="4"/>
  <c r="B18" i="4"/>
  <c r="E18" i="4" s="1"/>
  <c r="B17" i="4"/>
  <c r="D17" i="4" s="1"/>
  <c r="W16" i="4"/>
  <c r="D16" i="4"/>
  <c r="B16" i="4"/>
  <c r="D15" i="4"/>
  <c r="B15" i="4"/>
  <c r="D14" i="4"/>
  <c r="B14" i="4"/>
  <c r="D13" i="4"/>
  <c r="B13" i="4"/>
  <c r="V12" i="4"/>
  <c r="E12" i="4"/>
  <c r="C12" i="4"/>
  <c r="B12" i="4"/>
  <c r="F12" i="4" s="1"/>
  <c r="V11" i="4"/>
  <c r="V10" i="4"/>
  <c r="V9" i="4"/>
  <c r="V8" i="4"/>
  <c r="V7" i="4"/>
  <c r="B31" i="3"/>
  <c r="B30" i="3"/>
  <c r="B29" i="3"/>
  <c r="B28" i="3"/>
  <c r="B27" i="3"/>
  <c r="B26" i="3"/>
  <c r="B25" i="3"/>
  <c r="D20" i="3"/>
  <c r="D5" i="3"/>
  <c r="AF49" i="2"/>
  <c r="AD49" i="2"/>
  <c r="AD46" i="2"/>
  <c r="AC46" i="2"/>
  <c r="AD45" i="2"/>
  <c r="AC45" i="2"/>
  <c r="AD44" i="2"/>
  <c r="AC44" i="2"/>
  <c r="AD43" i="2"/>
  <c r="AC43" i="2"/>
  <c r="AD42" i="2"/>
  <c r="AD40" i="2" s="1"/>
  <c r="AC42" i="2"/>
  <c r="AF40" i="2"/>
  <c r="Z40" i="2"/>
  <c r="B37" i="2"/>
  <c r="AF35" i="2"/>
  <c r="AD35" i="2"/>
  <c r="AD32" i="2"/>
  <c r="AC32" i="2"/>
  <c r="AD31" i="2"/>
  <c r="AC31" i="2"/>
  <c r="AD30" i="2"/>
  <c r="AC30" i="2"/>
  <c r="Z27" i="2" s="1"/>
  <c r="P26" i="2" s="1"/>
  <c r="AD29" i="2"/>
  <c r="AD27" i="2" s="1"/>
  <c r="AC29" i="2"/>
  <c r="N28" i="2"/>
  <c r="AF27" i="2"/>
  <c r="N27" i="2"/>
  <c r="S26" i="2"/>
  <c r="R26" i="2"/>
  <c r="N26" i="2"/>
  <c r="AD25" i="2"/>
  <c r="AC25" i="2"/>
  <c r="N25" i="2"/>
  <c r="AD24" i="2"/>
  <c r="AC24" i="2"/>
  <c r="T24" i="2"/>
  <c r="Q24" i="2"/>
  <c r="P24" i="2"/>
  <c r="N24" i="2"/>
  <c r="AD23" i="2"/>
  <c r="AF21" i="2" s="1"/>
  <c r="AC23" i="2"/>
  <c r="Z21" i="2" s="1"/>
  <c r="T23" i="2"/>
  <c r="R23" i="2"/>
  <c r="S23" i="2" s="1"/>
  <c r="Q23" i="2"/>
  <c r="P23" i="2"/>
  <c r="T22" i="2"/>
  <c r="Q22" i="2"/>
  <c r="P22" i="2"/>
  <c r="T21" i="2"/>
  <c r="R21" i="2"/>
  <c r="S21" i="2" s="1"/>
  <c r="Q21" i="2"/>
  <c r="P21" i="2"/>
  <c r="N20" i="2"/>
  <c r="B20" i="2"/>
  <c r="AD19" i="2"/>
  <c r="AC19" i="2"/>
  <c r="B19" i="2"/>
  <c r="AD18" i="2"/>
  <c r="AF14" i="2" s="1"/>
  <c r="AC18" i="2"/>
  <c r="Z14" i="2" s="1"/>
  <c r="P20" i="2" s="1"/>
  <c r="Q18" i="2"/>
  <c r="P18" i="2"/>
  <c r="N18" i="2"/>
  <c r="B18" i="2"/>
  <c r="G37" i="2" s="1"/>
  <c r="AD17" i="2"/>
  <c r="AD14" i="2" s="1"/>
  <c r="AC17" i="2"/>
  <c r="T16" i="2"/>
  <c r="R16" i="2"/>
  <c r="S16" i="2" s="1"/>
  <c r="P16" i="2"/>
  <c r="Q16" i="2" s="1"/>
  <c r="N16" i="2"/>
  <c r="T15" i="2"/>
  <c r="P14" i="2"/>
  <c r="N14" i="2"/>
  <c r="H14" i="2"/>
  <c r="T13" i="2"/>
  <c r="R13" i="2"/>
  <c r="S13" i="2" s="1"/>
  <c r="P13" i="2"/>
  <c r="H13" i="2"/>
  <c r="F13" i="2" s="1"/>
  <c r="T12" i="2"/>
  <c r="Q12" i="2"/>
  <c r="P12" i="2"/>
  <c r="G84" i="4" s="1"/>
  <c r="H12" i="2"/>
  <c r="F12" i="2" s="1"/>
  <c r="AD11" i="2"/>
  <c r="AC11" i="2"/>
  <c r="T11" i="2"/>
  <c r="P11" i="2"/>
  <c r="Q11" i="2" s="1"/>
  <c r="H11" i="2"/>
  <c r="AD10" i="2"/>
  <c r="AC10" i="2"/>
  <c r="T10" i="2"/>
  <c r="P10" i="2"/>
  <c r="Q10" i="2" s="1"/>
  <c r="H10" i="2"/>
  <c r="F10" i="2" s="1"/>
  <c r="AD9" i="2"/>
  <c r="AC9" i="2"/>
  <c r="Z5" i="2" s="1"/>
  <c r="Q9" i="2"/>
  <c r="P9" i="2"/>
  <c r="N9" i="2"/>
  <c r="R9" i="2" s="1"/>
  <c r="S9" i="2" s="1"/>
  <c r="H9" i="2"/>
  <c r="B9" i="2"/>
  <c r="AD8" i="2"/>
  <c r="P8" i="2"/>
  <c r="N8" i="2"/>
  <c r="Q8" i="2" s="1"/>
  <c r="H8" i="2"/>
  <c r="AD7" i="2"/>
  <c r="AC7" i="2"/>
  <c r="Q7" i="2"/>
  <c r="P7" i="2"/>
  <c r="N7" i="2"/>
  <c r="H7" i="2"/>
  <c r="G5" i="2" s="1"/>
  <c r="AO6" i="2"/>
  <c r="AN6" i="2"/>
  <c r="Q6" i="2"/>
  <c r="P6" i="2"/>
  <c r="G12" i="4" s="1"/>
  <c r="N6" i="2"/>
  <c r="R6" i="2" s="1"/>
  <c r="S6" i="2" s="1"/>
  <c r="AF5" i="2"/>
  <c r="AD5" i="2"/>
  <c r="R25" i="2" s="1"/>
  <c r="S25" i="2" s="1"/>
  <c r="B5" i="2"/>
  <c r="B55" i="4" s="1"/>
  <c r="AF49" i="1"/>
  <c r="AD49" i="1"/>
  <c r="AD46" i="1"/>
  <c r="AC46" i="1"/>
  <c r="AD45" i="1"/>
  <c r="AC45" i="1"/>
  <c r="AD44" i="1"/>
  <c r="AC44" i="1"/>
  <c r="AD43" i="1"/>
  <c r="AD40" i="1" s="1"/>
  <c r="AC43" i="1"/>
  <c r="Z40" i="1" s="1"/>
  <c r="P14" i="1" s="1"/>
  <c r="AD42" i="1"/>
  <c r="AC42" i="1"/>
  <c r="AF40" i="1"/>
  <c r="N39" i="1"/>
  <c r="N37" i="1"/>
  <c r="G37" i="1"/>
  <c r="B37" i="1"/>
  <c r="AF35" i="1"/>
  <c r="T23" i="1" s="1"/>
  <c r="AD35" i="1"/>
  <c r="R22" i="1" s="1"/>
  <c r="S22" i="1" s="1"/>
  <c r="AD32" i="1"/>
  <c r="AC32" i="1"/>
  <c r="AD31" i="1"/>
  <c r="AC31" i="1"/>
  <c r="Z27" i="1" s="1"/>
  <c r="P26" i="1" s="1"/>
  <c r="AD30" i="1"/>
  <c r="AC30" i="1"/>
  <c r="AD29" i="1"/>
  <c r="AF27" i="1" s="1"/>
  <c r="AC29" i="1"/>
  <c r="AD27" i="1"/>
  <c r="N26" i="1"/>
  <c r="R26" i="1" s="1"/>
  <c r="AD25" i="1"/>
  <c r="AC25" i="1"/>
  <c r="B25" i="1"/>
  <c r="AD24" i="1"/>
  <c r="AC24" i="1"/>
  <c r="Q24" i="1"/>
  <c r="P24" i="1"/>
  <c r="N24" i="1"/>
  <c r="R24" i="1" s="1"/>
  <c r="S24" i="1" s="1"/>
  <c r="B24" i="1"/>
  <c r="AD23" i="1"/>
  <c r="AF21" i="1" s="1"/>
  <c r="T28" i="1" s="1"/>
  <c r="AC23" i="1"/>
  <c r="R23" i="1"/>
  <c r="S23" i="1" s="1"/>
  <c r="Q23" i="1"/>
  <c r="P23" i="1"/>
  <c r="T22" i="1"/>
  <c r="P22" i="1"/>
  <c r="Q22" i="1" s="1"/>
  <c r="Z21" i="1"/>
  <c r="P28" i="1" s="1"/>
  <c r="Q28" i="1" s="1"/>
  <c r="Q21" i="1"/>
  <c r="P21" i="1"/>
  <c r="B20" i="1"/>
  <c r="AD19" i="1"/>
  <c r="AC19" i="1"/>
  <c r="F19" i="1"/>
  <c r="AD18" i="1"/>
  <c r="AC18" i="1"/>
  <c r="F18" i="1"/>
  <c r="AD17" i="1"/>
  <c r="AD14" i="1" s="1"/>
  <c r="AC17" i="1"/>
  <c r="Z14" i="1" s="1"/>
  <c r="F17" i="1"/>
  <c r="P16" i="1"/>
  <c r="N16" i="1"/>
  <c r="R16" i="1" s="1"/>
  <c r="S16" i="1" s="1"/>
  <c r="N15" i="1"/>
  <c r="E21" i="5" s="1"/>
  <c r="AF14" i="1"/>
  <c r="T20" i="1" s="1"/>
  <c r="N14" i="1"/>
  <c r="T14" i="1" s="1"/>
  <c r="P42" i="1" s="1"/>
  <c r="H14" i="1"/>
  <c r="F14" i="1" s="1"/>
  <c r="T13" i="1"/>
  <c r="P13" i="1"/>
  <c r="Q13" i="1" s="1"/>
  <c r="N13" i="1"/>
  <c r="R13" i="1" s="1"/>
  <c r="S13" i="1" s="1"/>
  <c r="H13" i="1"/>
  <c r="F13" i="1" s="1"/>
  <c r="T12" i="1"/>
  <c r="Q12" i="1"/>
  <c r="N12" i="1"/>
  <c r="R12" i="1" s="1"/>
  <c r="S12" i="1" s="1"/>
  <c r="AD11" i="1"/>
  <c r="AC11" i="1"/>
  <c r="Z5" i="1" s="1"/>
  <c r="R11" i="1"/>
  <c r="S11" i="1" s="1"/>
  <c r="Q11" i="1"/>
  <c r="H17" i="5" s="1"/>
  <c r="P11" i="1"/>
  <c r="G17" i="5" s="1"/>
  <c r="H11" i="1"/>
  <c r="AD10" i="1"/>
  <c r="AC10" i="1"/>
  <c r="R10" i="1"/>
  <c r="S10" i="1" s="1"/>
  <c r="Q10" i="1"/>
  <c r="H16" i="5" s="1"/>
  <c r="P10" i="1"/>
  <c r="G16" i="5" s="1"/>
  <c r="N10" i="1"/>
  <c r="E16" i="5" s="1"/>
  <c r="F10" i="1"/>
  <c r="AD9" i="1"/>
  <c r="AF5" i="1" s="1"/>
  <c r="T25" i="1" s="1"/>
  <c r="AC9" i="1"/>
  <c r="F9" i="1"/>
  <c r="B9" i="1"/>
  <c r="G36" i="1" s="1"/>
  <c r="B36" i="1" s="1"/>
  <c r="AD8" i="1"/>
  <c r="B8" i="1"/>
  <c r="G35" i="1" s="1"/>
  <c r="AD7" i="1"/>
  <c r="AC7" i="1"/>
  <c r="N7" i="1"/>
  <c r="E13" i="5" s="1"/>
  <c r="F7" i="1"/>
  <c r="N6" i="1"/>
  <c r="N8" i="1" s="1"/>
  <c r="E14" i="5" s="1"/>
  <c r="AD5" i="1"/>
  <c r="R25" i="1" s="1"/>
  <c r="S25" i="1" s="1"/>
  <c r="G5" i="1"/>
  <c r="F21" i="1" s="1"/>
  <c r="U16" i="6" l="1"/>
  <c r="Q16" i="1"/>
  <c r="C12" i="7"/>
  <c r="C19" i="7"/>
  <c r="Q7" i="6"/>
  <c r="G13" i="7" s="1"/>
  <c r="F18" i="7"/>
  <c r="O20" i="6"/>
  <c r="E87" i="7" s="1"/>
  <c r="U15" i="6"/>
  <c r="D21" i="7"/>
  <c r="O7" i="6"/>
  <c r="O9" i="6"/>
  <c r="E15" i="7" s="1"/>
  <c r="E22" i="7"/>
  <c r="R16" i="6"/>
  <c r="H22" i="7" s="1"/>
  <c r="AG27" i="6"/>
  <c r="Q26" i="6"/>
  <c r="I108" i="7" s="1"/>
  <c r="Q25" i="6"/>
  <c r="G22" i="7"/>
  <c r="S15" i="6"/>
  <c r="T15" i="6" s="1"/>
  <c r="T26" i="1"/>
  <c r="G17" i="6"/>
  <c r="Q26" i="1"/>
  <c r="AA40" i="6"/>
  <c r="Q14" i="6" s="1"/>
  <c r="F28" i="7" s="1"/>
  <c r="M28" i="7" s="1"/>
  <c r="T16" i="1"/>
  <c r="T8" i="1"/>
  <c r="N9" i="1"/>
  <c r="E15" i="5" s="1"/>
  <c r="T6" i="1"/>
  <c r="K108" i="7"/>
  <c r="K34" i="7"/>
  <c r="K33" i="7"/>
  <c r="K109" i="7"/>
  <c r="G246" i="7"/>
  <c r="G246" i="4"/>
  <c r="G246" i="5"/>
  <c r="Q20" i="2"/>
  <c r="P7" i="1"/>
  <c r="P20" i="1"/>
  <c r="Q20" i="1" s="1"/>
  <c r="P19" i="1"/>
  <c r="Q19" i="1" s="1"/>
  <c r="P18" i="1"/>
  <c r="Q18" i="1" s="1"/>
  <c r="P17" i="1"/>
  <c r="Q17" i="1" s="1"/>
  <c r="P9" i="1"/>
  <c r="P6" i="1"/>
  <c r="Q6" i="1" s="1"/>
  <c r="P8" i="1"/>
  <c r="S26" i="1"/>
  <c r="P28" i="2"/>
  <c r="P27" i="2"/>
  <c r="B54" i="5"/>
  <c r="B35" i="1"/>
  <c r="P15" i="1"/>
  <c r="P25" i="1"/>
  <c r="Q25" i="1" s="1"/>
  <c r="P25" i="2"/>
  <c r="P15" i="2"/>
  <c r="R6" i="1"/>
  <c r="R7" i="1"/>
  <c r="S7" i="1" s="1"/>
  <c r="R20" i="1"/>
  <c r="S20" i="1" s="1"/>
  <c r="R19" i="1"/>
  <c r="S19" i="1" s="1"/>
  <c r="R18" i="1"/>
  <c r="S18" i="1" s="1"/>
  <c r="R17" i="1"/>
  <c r="S17" i="1" s="1"/>
  <c r="F23" i="2"/>
  <c r="B45" i="3"/>
  <c r="F9" i="2"/>
  <c r="D25" i="3"/>
  <c r="H165" i="7"/>
  <c r="H165" i="4"/>
  <c r="H165" i="5"/>
  <c r="R19" i="2"/>
  <c r="S19" i="2" s="1"/>
  <c r="R17" i="2"/>
  <c r="S17" i="2" s="1"/>
  <c r="R18" i="2"/>
  <c r="S18" i="2" s="1"/>
  <c r="R7" i="2"/>
  <c r="S7" i="2" s="1"/>
  <c r="R20" i="2"/>
  <c r="S20" i="2" s="1"/>
  <c r="F28" i="5"/>
  <c r="M28" i="5" s="1"/>
  <c r="Q14" i="1"/>
  <c r="G28" i="5" s="1"/>
  <c r="F8" i="2"/>
  <c r="F25" i="2"/>
  <c r="F11" i="2"/>
  <c r="T7" i="2"/>
  <c r="T19" i="2"/>
  <c r="T18" i="2"/>
  <c r="T9" i="2"/>
  <c r="T6" i="2"/>
  <c r="T17" i="2"/>
  <c r="G401" i="7"/>
  <c r="G401" i="4"/>
  <c r="G401" i="5"/>
  <c r="Q26" i="2"/>
  <c r="E86" i="4"/>
  <c r="E86" i="5"/>
  <c r="E28" i="4"/>
  <c r="T14" i="2"/>
  <c r="H325" i="7"/>
  <c r="H325" i="4"/>
  <c r="H325" i="5"/>
  <c r="R22" i="2"/>
  <c r="S22" i="2" s="1"/>
  <c r="R10" i="2"/>
  <c r="S10" i="2" s="1"/>
  <c r="D14" i="3"/>
  <c r="T11" i="1"/>
  <c r="I28" i="5"/>
  <c r="L28" i="5" s="1"/>
  <c r="E28" i="5"/>
  <c r="R15" i="1"/>
  <c r="S15" i="1" s="1"/>
  <c r="T21" i="1"/>
  <c r="F22" i="1"/>
  <c r="T24" i="1"/>
  <c r="F25" i="1"/>
  <c r="N36" i="1"/>
  <c r="F7" i="2"/>
  <c r="R8" i="2"/>
  <c r="S8" i="2" s="1"/>
  <c r="G85" i="4"/>
  <c r="G85" i="5"/>
  <c r="Q13" i="2"/>
  <c r="F14" i="2"/>
  <c r="H244" i="7"/>
  <c r="H244" i="5"/>
  <c r="H244" i="4"/>
  <c r="H322" i="4"/>
  <c r="H322" i="7"/>
  <c r="H322" i="5"/>
  <c r="AD21" i="2"/>
  <c r="R28" i="2" s="1"/>
  <c r="S28" i="2" s="1"/>
  <c r="H324" i="7"/>
  <c r="H324" i="4"/>
  <c r="H324" i="5"/>
  <c r="G325" i="7"/>
  <c r="G325" i="5"/>
  <c r="G325" i="4"/>
  <c r="G36" i="2"/>
  <c r="B36" i="2" s="1"/>
  <c r="G137" i="5" s="1"/>
  <c r="C7" i="6"/>
  <c r="C34" i="6" s="1"/>
  <c r="E13" i="4"/>
  <c r="G13" i="4"/>
  <c r="C13" i="4"/>
  <c r="E14" i="4"/>
  <c r="G14" i="4"/>
  <c r="C14" i="4"/>
  <c r="E15" i="4"/>
  <c r="G15" i="4"/>
  <c r="C15" i="4"/>
  <c r="E16" i="4"/>
  <c r="G16" i="4"/>
  <c r="C16" i="4"/>
  <c r="H17" i="4"/>
  <c r="R15" i="2"/>
  <c r="S15" i="2" s="1"/>
  <c r="G217" i="7"/>
  <c r="G217" i="5"/>
  <c r="F11" i="1"/>
  <c r="T15" i="1"/>
  <c r="T17" i="1"/>
  <c r="T18" i="1"/>
  <c r="T19" i="1"/>
  <c r="R21" i="1"/>
  <c r="S21" i="1" s="1"/>
  <c r="AD21" i="1"/>
  <c r="R28" i="1" s="1"/>
  <c r="S28" i="1" s="1"/>
  <c r="F23" i="1"/>
  <c r="T8" i="2"/>
  <c r="R11" i="2"/>
  <c r="S11" i="2" s="1"/>
  <c r="H84" i="5"/>
  <c r="H84" i="4"/>
  <c r="G86" i="4"/>
  <c r="F28" i="4"/>
  <c r="M28" i="4" s="1"/>
  <c r="N28" i="4" s="1"/>
  <c r="H28" i="4" s="1"/>
  <c r="G86" i="5"/>
  <c r="Q14" i="2"/>
  <c r="P17" i="2"/>
  <c r="E246" i="7"/>
  <c r="E246" i="4"/>
  <c r="E246" i="5"/>
  <c r="T20" i="2"/>
  <c r="G323" i="7"/>
  <c r="G323" i="5"/>
  <c r="G323" i="4"/>
  <c r="R24" i="2"/>
  <c r="S24" i="2" s="1"/>
  <c r="E401" i="7"/>
  <c r="E401" i="5"/>
  <c r="E401" i="4"/>
  <c r="T26" i="2"/>
  <c r="E479" i="7"/>
  <c r="E478" i="7"/>
  <c r="E479" i="5"/>
  <c r="E478" i="5"/>
  <c r="E479" i="4"/>
  <c r="E478" i="4"/>
  <c r="T28" i="2"/>
  <c r="B39" i="3"/>
  <c r="F13" i="4"/>
  <c r="F14" i="4"/>
  <c r="F15" i="4"/>
  <c r="F16" i="4"/>
  <c r="G165" i="7"/>
  <c r="G165" i="4"/>
  <c r="G165" i="5"/>
  <c r="E17" i="4"/>
  <c r="G17" i="4"/>
  <c r="C17" i="4"/>
  <c r="B703" i="4"/>
  <c r="B674" i="4"/>
  <c r="B704" i="4" s="1"/>
  <c r="W15" i="4" s="1"/>
  <c r="T7" i="1"/>
  <c r="F8" i="1"/>
  <c r="R8" i="1"/>
  <c r="S8" i="1" s="1"/>
  <c r="T10" i="1"/>
  <c r="F12" i="1"/>
  <c r="R14" i="1"/>
  <c r="P27" i="1"/>
  <c r="B42" i="3"/>
  <c r="D10" i="3"/>
  <c r="B27" i="2"/>
  <c r="B7" i="2"/>
  <c r="B24" i="2" s="1"/>
  <c r="R12" i="2"/>
  <c r="S12" i="2" s="1"/>
  <c r="R14" i="2"/>
  <c r="S14" i="2" s="1"/>
  <c r="G244" i="7"/>
  <c r="G244" i="4"/>
  <c r="G244" i="5"/>
  <c r="P19" i="2"/>
  <c r="G322" i="7"/>
  <c r="G322" i="4"/>
  <c r="G322" i="5"/>
  <c r="H323" i="7"/>
  <c r="H323" i="4"/>
  <c r="H323" i="5"/>
  <c r="E400" i="7"/>
  <c r="E400" i="4"/>
  <c r="E400" i="5"/>
  <c r="T25" i="2"/>
  <c r="E402" i="7"/>
  <c r="E402" i="4"/>
  <c r="E402" i="5"/>
  <c r="R27" i="2"/>
  <c r="S27" i="2" s="1"/>
  <c r="T27" i="2"/>
  <c r="D7" i="3"/>
  <c r="B41" i="3"/>
  <c r="H13" i="4"/>
  <c r="H14" i="4"/>
  <c r="H15" i="4"/>
  <c r="H16" i="4"/>
  <c r="F17" i="4"/>
  <c r="B139" i="4"/>
  <c r="B140" i="4" s="1"/>
  <c r="E165" i="7"/>
  <c r="E165" i="4"/>
  <c r="E165" i="5"/>
  <c r="E244" i="7"/>
  <c r="E244" i="4"/>
  <c r="G324" i="7"/>
  <c r="G324" i="4"/>
  <c r="G324" i="5"/>
  <c r="E325" i="7"/>
  <c r="E325" i="4"/>
  <c r="E325" i="5"/>
  <c r="B44" i="3"/>
  <c r="D12" i="4"/>
  <c r="H12" i="4"/>
  <c r="H19" i="4"/>
  <c r="D19" i="4"/>
  <c r="G19" i="4"/>
  <c r="F21" i="4"/>
  <c r="K110" i="4"/>
  <c r="K268" i="4"/>
  <c r="K349" i="4"/>
  <c r="K424" i="4"/>
  <c r="K660" i="4"/>
  <c r="B691" i="4"/>
  <c r="B692" i="4" s="1"/>
  <c r="G689" i="4"/>
  <c r="K739" i="4"/>
  <c r="O40" i="6"/>
  <c r="B61" i="5"/>
  <c r="N100" i="5"/>
  <c r="H100" i="5" s="1"/>
  <c r="B139" i="5"/>
  <c r="B140" i="5" s="1"/>
  <c r="E244" i="5"/>
  <c r="G21" i="4"/>
  <c r="B58" i="4"/>
  <c r="B298" i="4"/>
  <c r="B299" i="4" s="1"/>
  <c r="G296" i="4"/>
  <c r="K347" i="4"/>
  <c r="K503" i="4"/>
  <c r="B770" i="4"/>
  <c r="B771" i="4" s="1"/>
  <c r="G768" i="4"/>
  <c r="E12" i="5"/>
  <c r="D12" i="5"/>
  <c r="G12" i="5"/>
  <c r="C12" i="5"/>
  <c r="E18" i="5"/>
  <c r="H18" i="5"/>
  <c r="D18" i="5"/>
  <c r="G18" i="5"/>
  <c r="C18" i="5"/>
  <c r="G84" i="5"/>
  <c r="K109" i="5"/>
  <c r="K111" i="5"/>
  <c r="N180" i="5"/>
  <c r="H180" i="5" s="1"/>
  <c r="K269" i="5"/>
  <c r="B298" i="5"/>
  <c r="B299" i="5" s="1"/>
  <c r="G296" i="5"/>
  <c r="K346" i="5"/>
  <c r="K348" i="5"/>
  <c r="H18" i="4"/>
  <c r="D18" i="4"/>
  <c r="G18" i="4"/>
  <c r="C21" i="4"/>
  <c r="K267" i="4"/>
  <c r="K269" i="4"/>
  <c r="K350" i="4"/>
  <c r="K661" i="4"/>
  <c r="K740" i="4"/>
  <c r="K747" i="4"/>
  <c r="K749" i="4"/>
  <c r="F12" i="5"/>
  <c r="F18" i="5"/>
  <c r="K189" i="5"/>
  <c r="B219" i="4"/>
  <c r="B220" i="4" s="1"/>
  <c r="G217" i="4"/>
  <c r="B377" i="4"/>
  <c r="B378" i="4" s="1"/>
  <c r="G375" i="4"/>
  <c r="B455" i="4"/>
  <c r="B456" i="4" s="1"/>
  <c r="G453" i="4"/>
  <c r="B595" i="4"/>
  <c r="B625" i="4" s="1"/>
  <c r="W14" i="4" s="1"/>
  <c r="B624" i="4"/>
  <c r="N573" i="4"/>
  <c r="H573" i="4" s="1"/>
  <c r="N652" i="4"/>
  <c r="H652" i="4" s="1"/>
  <c r="B782" i="4"/>
  <c r="E19" i="5"/>
  <c r="H19" i="5"/>
  <c r="D19" i="5"/>
  <c r="G19" i="5"/>
  <c r="C19" i="5"/>
  <c r="B377" i="5"/>
  <c r="B378" i="5" s="1"/>
  <c r="G375" i="5"/>
  <c r="B753" i="5"/>
  <c r="B783" i="5" s="1"/>
  <c r="W16" i="5" s="1"/>
  <c r="B782" i="5"/>
  <c r="Q15" i="6"/>
  <c r="R15" i="6" s="1"/>
  <c r="H21" i="7" s="1"/>
  <c r="Q6" i="6"/>
  <c r="G12" i="7" s="1"/>
  <c r="D21" i="5"/>
  <c r="K350" i="5"/>
  <c r="K427" i="5"/>
  <c r="K502" i="5"/>
  <c r="G531" i="5"/>
  <c r="N573" i="5"/>
  <c r="H573" i="5" s="1"/>
  <c r="B612" i="5"/>
  <c r="B613" i="5" s="1"/>
  <c r="G610" i="5"/>
  <c r="B674" i="5"/>
  <c r="B704" i="5" s="1"/>
  <c r="W15" i="5" s="1"/>
  <c r="K742" i="5"/>
  <c r="K744" i="5"/>
  <c r="G88" i="7"/>
  <c r="C14" i="7"/>
  <c r="F14" i="7"/>
  <c r="D14" i="7"/>
  <c r="G16" i="7"/>
  <c r="C16" i="7"/>
  <c r="F16" i="7"/>
  <c r="D16" i="7"/>
  <c r="B377" i="7"/>
  <c r="B378" i="7" s="1"/>
  <c r="G375" i="7"/>
  <c r="B595" i="5"/>
  <c r="B625" i="5" s="1"/>
  <c r="W14" i="5" s="1"/>
  <c r="O24" i="6"/>
  <c r="Q28" i="6"/>
  <c r="K426" i="5"/>
  <c r="N652" i="5"/>
  <c r="H652" i="5" s="1"/>
  <c r="B703" i="5"/>
  <c r="N731" i="5"/>
  <c r="H731" i="5" s="1"/>
  <c r="K743" i="5"/>
  <c r="K750" i="5"/>
  <c r="B770" i="5"/>
  <c r="B771" i="5" s="1"/>
  <c r="O10" i="6"/>
  <c r="C24" i="6"/>
  <c r="AE40" i="6"/>
  <c r="AG40" i="6"/>
  <c r="I8" i="6"/>
  <c r="I7" i="6"/>
  <c r="I9" i="6"/>
  <c r="I12" i="6"/>
  <c r="I11" i="6"/>
  <c r="I10" i="6"/>
  <c r="S16" i="6"/>
  <c r="T16" i="6" s="1"/>
  <c r="G16" i="6"/>
  <c r="E92" i="7"/>
  <c r="U25" i="6"/>
  <c r="G18" i="6"/>
  <c r="D19" i="7"/>
  <c r="G19" i="7"/>
  <c r="F21" i="7"/>
  <c r="G90" i="7"/>
  <c r="C13" i="7"/>
  <c r="C15" i="7"/>
  <c r="G17" i="7"/>
  <c r="C17" i="7"/>
  <c r="D12" i="7"/>
  <c r="D13" i="7"/>
  <c r="D15" i="7"/>
  <c r="D17" i="7"/>
  <c r="D18" i="7"/>
  <c r="G18" i="7"/>
  <c r="C21" i="7"/>
  <c r="K188" i="7"/>
  <c r="K270" i="7"/>
  <c r="B298" i="7"/>
  <c r="B299" i="7" s="1"/>
  <c r="K346" i="7"/>
  <c r="K504" i="7"/>
  <c r="K583" i="7"/>
  <c r="K739" i="7"/>
  <c r="B752" i="7" s="1"/>
  <c r="K746" i="7"/>
  <c r="K748" i="7"/>
  <c r="K268" i="7"/>
  <c r="K349" i="7"/>
  <c r="K425" i="7"/>
  <c r="K427" i="7"/>
  <c r="K502" i="7"/>
  <c r="G531" i="7"/>
  <c r="B612" i="7"/>
  <c r="B613" i="7" s="1"/>
  <c r="G610" i="7"/>
  <c r="B674" i="7"/>
  <c r="B704" i="7" s="1"/>
  <c r="K742" i="7"/>
  <c r="K744" i="7"/>
  <c r="K189" i="7"/>
  <c r="K582" i="7"/>
  <c r="B595" i="7"/>
  <c r="B625" i="7" s="1"/>
  <c r="K660" i="7"/>
  <c r="K740" i="7"/>
  <c r="K747" i="7"/>
  <c r="B770" i="7"/>
  <c r="B771" i="7" s="1"/>
  <c r="I33" i="7" l="1"/>
  <c r="C8" i="6"/>
  <c r="D43" i="6"/>
  <c r="Q17" i="6"/>
  <c r="U20" i="6"/>
  <c r="S20" i="6"/>
  <c r="T20" i="6" s="1"/>
  <c r="U9" i="6"/>
  <c r="Q9" i="6"/>
  <c r="R9" i="6" s="1"/>
  <c r="H15" i="7" s="1"/>
  <c r="Q20" i="6"/>
  <c r="G87" i="7" s="1"/>
  <c r="Q8" i="6"/>
  <c r="G14" i="7" s="1"/>
  <c r="Q19" i="6"/>
  <c r="G86" i="7" s="1"/>
  <c r="Q27" i="6"/>
  <c r="I34" i="7" s="1"/>
  <c r="Q18" i="6"/>
  <c r="R18" i="6" s="1"/>
  <c r="H85" i="7" s="1"/>
  <c r="AZ48" i="6"/>
  <c r="CJ47" i="6" s="1"/>
  <c r="D33" i="8"/>
  <c r="S9" i="6"/>
  <c r="T9" i="6" s="1"/>
  <c r="S25" i="6"/>
  <c r="T25" i="6" s="1"/>
  <c r="G21" i="7"/>
  <c r="N28" i="5"/>
  <c r="H28" i="5" s="1"/>
  <c r="R10" i="6"/>
  <c r="T9" i="1"/>
  <c r="P40" i="1" s="1"/>
  <c r="R9" i="1"/>
  <c r="S9" i="1" s="1"/>
  <c r="N27" i="1"/>
  <c r="T27" i="1" s="1"/>
  <c r="P41" i="1" s="1"/>
  <c r="D4" i="3"/>
  <c r="B25" i="2"/>
  <c r="B38" i="3"/>
  <c r="F21" i="2"/>
  <c r="H16" i="7"/>
  <c r="O21" i="6"/>
  <c r="G245" i="7"/>
  <c r="G245" i="4"/>
  <c r="G245" i="5"/>
  <c r="Q19" i="2"/>
  <c r="H86" i="5"/>
  <c r="G28" i="4"/>
  <c r="H86" i="4"/>
  <c r="B359" i="5"/>
  <c r="G400" i="7"/>
  <c r="G400" i="4"/>
  <c r="G400" i="5"/>
  <c r="Q25" i="2"/>
  <c r="G478" i="7"/>
  <c r="G479" i="7"/>
  <c r="G478" i="5"/>
  <c r="G479" i="5"/>
  <c r="G478" i="4"/>
  <c r="G479" i="4"/>
  <c r="Q28" i="2"/>
  <c r="G137" i="4"/>
  <c r="B359" i="7"/>
  <c r="B49" i="3"/>
  <c r="D29" i="3"/>
  <c r="O13" i="6"/>
  <c r="G84" i="7"/>
  <c r="B40" i="3"/>
  <c r="F17" i="2"/>
  <c r="D6" i="3"/>
  <c r="F19" i="2"/>
  <c r="F18" i="2"/>
  <c r="N42" i="1"/>
  <c r="S14" i="1"/>
  <c r="G243" i="7"/>
  <c r="G243" i="4"/>
  <c r="G243" i="5"/>
  <c r="Q17" i="2"/>
  <c r="B66" i="7"/>
  <c r="B68" i="7" s="1"/>
  <c r="B67" i="7" s="1"/>
  <c r="H34" i="6"/>
  <c r="B54" i="7" s="1"/>
  <c r="O14" i="6"/>
  <c r="O26" i="6" s="1"/>
  <c r="AP50" i="6" s="1"/>
  <c r="DG79" i="6" s="1"/>
  <c r="H85" i="5"/>
  <c r="H85" i="4"/>
  <c r="G164" i="7"/>
  <c r="G164" i="4"/>
  <c r="G164" i="5"/>
  <c r="Q15" i="2"/>
  <c r="G402" i="7"/>
  <c r="G402" i="5"/>
  <c r="G402" i="4"/>
  <c r="Q27" i="2"/>
  <c r="G14" i="5"/>
  <c r="Q8" i="1"/>
  <c r="H14" i="5" s="1"/>
  <c r="H246" i="7"/>
  <c r="H246" i="5"/>
  <c r="H246" i="4"/>
  <c r="O11" i="6"/>
  <c r="H4" i="6"/>
  <c r="G11" i="6" s="1"/>
  <c r="E91" i="7"/>
  <c r="U24" i="6"/>
  <c r="R24" i="6"/>
  <c r="H91" i="7" s="1"/>
  <c r="S24" i="6"/>
  <c r="T24" i="6" s="1"/>
  <c r="B121" i="4"/>
  <c r="G21" i="5"/>
  <c r="Q15" i="1"/>
  <c r="H21" i="5" s="1"/>
  <c r="O22" i="6"/>
  <c r="O12" i="6"/>
  <c r="S10" i="6"/>
  <c r="T10" i="6" s="1"/>
  <c r="U10" i="6"/>
  <c r="E16" i="7"/>
  <c r="B121" i="5"/>
  <c r="S6" i="1"/>
  <c r="G15" i="5"/>
  <c r="Q9" i="1"/>
  <c r="H15" i="5" s="1"/>
  <c r="B753" i="7"/>
  <c r="B783" i="7" s="1"/>
  <c r="B782" i="7"/>
  <c r="O23" i="6"/>
  <c r="I109" i="7"/>
  <c r="G85" i="7"/>
  <c r="G92" i="7"/>
  <c r="R25" i="6"/>
  <c r="H12" i="5"/>
  <c r="B60" i="4"/>
  <c r="B61" i="4" s="1"/>
  <c r="B8" i="2"/>
  <c r="G35" i="2" s="1"/>
  <c r="B43" i="3"/>
  <c r="F33" i="7"/>
  <c r="U26" i="6"/>
  <c r="B359" i="4"/>
  <c r="H401" i="7"/>
  <c r="H401" i="5"/>
  <c r="H401" i="4"/>
  <c r="F22" i="2"/>
  <c r="G13" i="5"/>
  <c r="Q7" i="1"/>
  <c r="H13" i="5" s="1"/>
  <c r="O31" i="6" l="1"/>
  <c r="O30" i="6"/>
  <c r="G24" i="6"/>
  <c r="O29" i="6"/>
  <c r="S26" i="6"/>
  <c r="F108" i="7"/>
  <c r="H35" i="6"/>
  <c r="B133" i="7" s="1"/>
  <c r="B145" i="7" s="1"/>
  <c r="B147" i="7" s="1"/>
  <c r="B146" i="7" s="1"/>
  <c r="R26" i="6"/>
  <c r="J108" i="7" s="1"/>
  <c r="O6" i="6"/>
  <c r="O8" i="6" s="1"/>
  <c r="AZ19" i="6" s="1"/>
  <c r="CJ18" i="6" s="1"/>
  <c r="O19" i="6"/>
  <c r="O17" i="6"/>
  <c r="U17" i="6" s="1"/>
  <c r="R20" i="6"/>
  <c r="H87" i="7" s="1"/>
  <c r="G15" i="7"/>
  <c r="AZ23" i="6"/>
  <c r="CJ22" i="6" s="1"/>
  <c r="AZ20" i="6"/>
  <c r="CJ19" i="6" s="1"/>
  <c r="AZ24" i="6"/>
  <c r="CJ23" i="6" s="1"/>
  <c r="B51" i="7"/>
  <c r="AP9" i="6"/>
  <c r="AZ9" i="6" s="1"/>
  <c r="CJ8" i="6" s="1"/>
  <c r="AZ50" i="6"/>
  <c r="CJ49" i="6" s="1"/>
  <c r="AP49" i="6"/>
  <c r="AP44" i="6"/>
  <c r="AZ44" i="6" s="1"/>
  <c r="CJ43" i="6" s="1"/>
  <c r="AP45" i="6"/>
  <c r="AZ45" i="6" s="1"/>
  <c r="CJ44" i="6" s="1"/>
  <c r="B33" i="8"/>
  <c r="G8" i="6"/>
  <c r="G10" i="6"/>
  <c r="B13" i="8"/>
  <c r="D13" i="8" s="1"/>
  <c r="U6" i="6"/>
  <c r="B6" i="8"/>
  <c r="S6" i="6"/>
  <c r="T6" i="6" s="1"/>
  <c r="E12" i="7"/>
  <c r="N40" i="1"/>
  <c r="R6" i="6"/>
  <c r="E85" i="7"/>
  <c r="S18" i="6"/>
  <c r="T18" i="6" s="1"/>
  <c r="U18" i="6"/>
  <c r="E13" i="7"/>
  <c r="U7" i="6"/>
  <c r="S7" i="6"/>
  <c r="T7" i="6" s="1"/>
  <c r="R7" i="6"/>
  <c r="H13" i="7" s="1"/>
  <c r="R27" i="1"/>
  <c r="S27" i="1" s="1"/>
  <c r="Q27" i="1"/>
  <c r="Q31" i="1" s="1"/>
  <c r="B42" i="5"/>
  <c r="B43" i="5" s="1"/>
  <c r="B73" i="5" s="1"/>
  <c r="W7" i="5" s="1"/>
  <c r="D20" i="8"/>
  <c r="E89" i="7"/>
  <c r="U22" i="6"/>
  <c r="S22" i="6"/>
  <c r="T22" i="6" s="1"/>
  <c r="R22" i="6"/>
  <c r="H89" i="7" s="1"/>
  <c r="H243" i="7"/>
  <c r="B280" i="7" s="1"/>
  <c r="H243" i="4"/>
  <c r="H243" i="5"/>
  <c r="B42" i="4"/>
  <c r="B54" i="4"/>
  <c r="B35" i="2"/>
  <c r="H402" i="7"/>
  <c r="H402" i="5"/>
  <c r="H402" i="4"/>
  <c r="H164" i="5"/>
  <c r="B201" i="5" s="1"/>
  <c r="H164" i="7"/>
  <c r="B201" i="7" s="1"/>
  <c r="H164" i="4"/>
  <c r="B201" i="4" s="1"/>
  <c r="H21" i="4"/>
  <c r="B360" i="7"/>
  <c r="B390" i="7" s="1"/>
  <c r="B389" i="7"/>
  <c r="B51" i="3"/>
  <c r="D31" i="3"/>
  <c r="B389" i="4"/>
  <c r="B360" i="4"/>
  <c r="B390" i="4" s="1"/>
  <c r="W11" i="4" s="1"/>
  <c r="S23" i="6"/>
  <c r="T23" i="6" s="1"/>
  <c r="U23" i="6"/>
  <c r="E90" i="7"/>
  <c r="R23" i="6"/>
  <c r="H90" i="7" s="1"/>
  <c r="Q31" i="2"/>
  <c r="U11" i="6"/>
  <c r="S11" i="6"/>
  <c r="T11" i="6" s="1"/>
  <c r="R11" i="6"/>
  <c r="E17" i="7"/>
  <c r="D28" i="3"/>
  <c r="B48" i="3"/>
  <c r="U13" i="6"/>
  <c r="S13" i="6"/>
  <c r="T13" i="6" s="1"/>
  <c r="R13" i="6"/>
  <c r="H19" i="7" s="1"/>
  <c r="E19" i="7"/>
  <c r="H479" i="7"/>
  <c r="H478" i="7"/>
  <c r="B515" i="7" s="1"/>
  <c r="H479" i="5"/>
  <c r="H478" i="4"/>
  <c r="H478" i="5"/>
  <c r="H479" i="4"/>
  <c r="D30" i="3"/>
  <c r="B50" i="3"/>
  <c r="H92" i="7"/>
  <c r="B26" i="8"/>
  <c r="B122" i="5"/>
  <c r="B152" i="5" s="1"/>
  <c r="W8" i="5" s="1"/>
  <c r="B151" i="5"/>
  <c r="E28" i="7"/>
  <c r="U14" i="6"/>
  <c r="AP12" i="6" s="1"/>
  <c r="AZ12" i="6" s="1"/>
  <c r="CJ11" i="6" s="1"/>
  <c r="I28" i="7"/>
  <c r="S14" i="6"/>
  <c r="R14" i="6"/>
  <c r="B122" i="4"/>
  <c r="B152" i="4" s="1"/>
  <c r="W8" i="4" s="1"/>
  <c r="B151" i="4"/>
  <c r="G20" i="6"/>
  <c r="G21" i="6"/>
  <c r="G22" i="6"/>
  <c r="G13" i="6"/>
  <c r="G6" i="6"/>
  <c r="B12" i="8"/>
  <c r="D12" i="8" s="1"/>
  <c r="C35" i="6"/>
  <c r="D26" i="3"/>
  <c r="B46" i="3"/>
  <c r="E88" i="7"/>
  <c r="S21" i="6"/>
  <c r="T21" i="6" s="1"/>
  <c r="U21" i="6"/>
  <c r="R21" i="6"/>
  <c r="B20" i="8"/>
  <c r="T26" i="6"/>
  <c r="G12" i="6"/>
  <c r="U12" i="6"/>
  <c r="E18" i="7"/>
  <c r="S12" i="6"/>
  <c r="T12" i="6" s="1"/>
  <c r="R12" i="6"/>
  <c r="H18" i="7" s="1"/>
  <c r="N35" i="1"/>
  <c r="G7" i="6"/>
  <c r="B47" i="3"/>
  <c r="D27" i="3"/>
  <c r="G9" i="6"/>
  <c r="H400" i="7"/>
  <c r="H400" i="5"/>
  <c r="H400" i="4"/>
  <c r="B437" i="4" s="1"/>
  <c r="B389" i="5"/>
  <c r="B360" i="5"/>
  <c r="B390" i="5" s="1"/>
  <c r="W11" i="5" s="1"/>
  <c r="H245" i="7"/>
  <c r="H245" i="4"/>
  <c r="H245" i="5"/>
  <c r="AZ49" i="6" l="1"/>
  <c r="CJ48" i="6" s="1"/>
  <c r="DG78" i="6"/>
  <c r="S29" i="6"/>
  <c r="T29" i="6" s="1"/>
  <c r="R29" i="6"/>
  <c r="U29" i="6"/>
  <c r="J33" i="7"/>
  <c r="B19" i="8"/>
  <c r="O27" i="6"/>
  <c r="S30" i="6"/>
  <c r="T30" i="6" s="1"/>
  <c r="U30" i="6"/>
  <c r="R30" i="6"/>
  <c r="O28" i="6"/>
  <c r="S31" i="6"/>
  <c r="T31" i="6" s="1"/>
  <c r="U31" i="6"/>
  <c r="R31" i="6"/>
  <c r="AZ40" i="6"/>
  <c r="CJ39" i="6" s="1"/>
  <c r="AZ37" i="6"/>
  <c r="CJ36" i="6" s="1"/>
  <c r="B32" i="8"/>
  <c r="D32" i="8" s="1"/>
  <c r="E86" i="7"/>
  <c r="S19" i="6"/>
  <c r="T19" i="6" s="1"/>
  <c r="U19" i="6"/>
  <c r="AP31" i="6" s="1"/>
  <c r="AZ31" i="6" s="1"/>
  <c r="CJ30" i="6" s="1"/>
  <c r="R17" i="6"/>
  <c r="H84" i="7" s="1"/>
  <c r="S17" i="6"/>
  <c r="T17" i="6" s="1"/>
  <c r="E84" i="7"/>
  <c r="R19" i="6"/>
  <c r="H86" i="7" s="1"/>
  <c r="B25" i="8"/>
  <c r="AP30" i="6"/>
  <c r="AZ30" i="6" s="1"/>
  <c r="CJ29" i="6" s="1"/>
  <c r="H12" i="7"/>
  <c r="F109" i="7"/>
  <c r="S8" i="6"/>
  <c r="T8" i="6" s="1"/>
  <c r="U8" i="6"/>
  <c r="AP10" i="6" s="1"/>
  <c r="AZ10" i="6" s="1"/>
  <c r="CJ9" i="6" s="1"/>
  <c r="R8" i="6"/>
  <c r="H14" i="7" s="1"/>
  <c r="E14" i="7"/>
  <c r="C27" i="6"/>
  <c r="N41" i="1"/>
  <c r="B58" i="7"/>
  <c r="G58" i="7" s="1"/>
  <c r="B72" i="5"/>
  <c r="B281" i="7"/>
  <c r="B311" i="7" s="1"/>
  <c r="B310" i="7"/>
  <c r="B437" i="5"/>
  <c r="B7" i="8"/>
  <c r="G28" i="7"/>
  <c r="H17" i="7"/>
  <c r="I5" i="8"/>
  <c r="O39" i="6"/>
  <c r="B437" i="7"/>
  <c r="B31" i="8"/>
  <c r="B130" i="7"/>
  <c r="H88" i="7"/>
  <c r="I24" i="8"/>
  <c r="J28" i="7"/>
  <c r="L28" i="7" s="1"/>
  <c r="N28" i="7" s="1"/>
  <c r="H28" i="7" s="1"/>
  <c r="B515" i="4"/>
  <c r="G58" i="5"/>
  <c r="G58" i="4"/>
  <c r="B280" i="4"/>
  <c r="B438" i="4"/>
  <c r="B468" i="4" s="1"/>
  <c r="W12" i="4" s="1"/>
  <c r="B467" i="4"/>
  <c r="D14" i="8"/>
  <c r="Q42" i="6"/>
  <c r="B231" i="4"/>
  <c r="B202" i="4"/>
  <c r="B232" i="4" s="1"/>
  <c r="W9" i="4" s="1"/>
  <c r="W18" i="5"/>
  <c r="V31" i="5" s="1"/>
  <c r="W21" i="5"/>
  <c r="B516" i="7"/>
  <c r="B546" i="7" s="1"/>
  <c r="B545" i="7"/>
  <c r="B202" i="7"/>
  <c r="B232" i="7" s="1"/>
  <c r="B231" i="7"/>
  <c r="B72" i="4"/>
  <c r="B43" i="4"/>
  <c r="B73" i="4" s="1"/>
  <c r="W7" i="4" s="1"/>
  <c r="W18" i="4" s="1"/>
  <c r="V31" i="4" s="1"/>
  <c r="B14" i="8"/>
  <c r="O45" i="6"/>
  <c r="T14" i="6"/>
  <c r="B515" i="5"/>
  <c r="B231" i="5"/>
  <c r="B202" i="5"/>
  <c r="B232" i="5" s="1"/>
  <c r="W9" i="5" s="1"/>
  <c r="B280" i="5"/>
  <c r="B30" i="8" l="1"/>
  <c r="B35" i="8" s="1"/>
  <c r="R28" i="6"/>
  <c r="J109" i="7" s="1"/>
  <c r="B121" i="7" s="1"/>
  <c r="B122" i="7" s="1"/>
  <c r="D30" i="8"/>
  <c r="D35" i="8" s="1"/>
  <c r="AZ38" i="6"/>
  <c r="CJ37" i="6" s="1"/>
  <c r="S28" i="6"/>
  <c r="T28" i="6" s="1"/>
  <c r="AZ43" i="6"/>
  <c r="CJ42" i="6" s="1"/>
  <c r="AZ28" i="6"/>
  <c r="CJ27" i="6" s="1"/>
  <c r="AZ34" i="6"/>
  <c r="CJ33" i="6" s="1"/>
  <c r="U28" i="6"/>
  <c r="AZ32" i="6" s="1"/>
  <c r="CJ31" i="6" s="1"/>
  <c r="B23" i="8"/>
  <c r="B137" i="7"/>
  <c r="AZ33" i="6"/>
  <c r="CJ32" i="6" s="1"/>
  <c r="AZ26" i="6"/>
  <c r="CJ25" i="6" s="1"/>
  <c r="AZ21" i="6"/>
  <c r="CJ20" i="6" s="1"/>
  <c r="AZ27" i="6"/>
  <c r="CJ26" i="6" s="1"/>
  <c r="R34" i="6"/>
  <c r="B60" i="7"/>
  <c r="O43" i="6"/>
  <c r="B11" i="8"/>
  <c r="B16" i="8" s="1"/>
  <c r="O38" i="6"/>
  <c r="B4" i="8"/>
  <c r="Q40" i="6"/>
  <c r="D11" i="8"/>
  <c r="D16" i="8" s="1"/>
  <c r="F34" i="7"/>
  <c r="U27" i="6"/>
  <c r="R27" i="6"/>
  <c r="S27" i="6"/>
  <c r="B516" i="5"/>
  <c r="B546" i="5" s="1"/>
  <c r="W13" i="5" s="1"/>
  <c r="B545" i="5"/>
  <c r="B516" i="4"/>
  <c r="B546" i="4" s="1"/>
  <c r="W13" i="4" s="1"/>
  <c r="B545" i="4"/>
  <c r="B438" i="7"/>
  <c r="B468" i="7" s="1"/>
  <c r="B467" i="7"/>
  <c r="B438" i="5"/>
  <c r="B468" i="5" s="1"/>
  <c r="W12" i="5" s="1"/>
  <c r="B467" i="5"/>
  <c r="D31" i="8"/>
  <c r="B281" i="4"/>
  <c r="B311" i="4" s="1"/>
  <c r="W10" i="4" s="1"/>
  <c r="B310" i="4"/>
  <c r="B310" i="5"/>
  <c r="B281" i="5"/>
  <c r="B311" i="5" s="1"/>
  <c r="W10" i="5" s="1"/>
  <c r="AP39" i="14" l="1"/>
  <c r="AZ39" i="14" s="1"/>
  <c r="CJ38" i="14" s="1"/>
  <c r="AP39" i="13"/>
  <c r="AZ39" i="13" s="1"/>
  <c r="CJ38" i="13" s="1"/>
  <c r="AP22" i="14"/>
  <c r="AZ22" i="14" s="1"/>
  <c r="CJ21" i="14" s="1"/>
  <c r="AP22" i="13"/>
  <c r="AZ22" i="13" s="1"/>
  <c r="CJ21" i="13" s="1"/>
  <c r="B36" i="8"/>
  <c r="AP39" i="6"/>
  <c r="D36" i="8"/>
  <c r="AZ35" i="6"/>
  <c r="CJ34" i="6" s="1"/>
  <c r="AP55" i="6"/>
  <c r="AZ47" i="6"/>
  <c r="CJ46" i="6" s="1"/>
  <c r="AZ42" i="6"/>
  <c r="CJ41" i="6" s="1"/>
  <c r="AP54" i="6"/>
  <c r="AZ7" i="6"/>
  <c r="AZ4" i="6"/>
  <c r="AZ5" i="6"/>
  <c r="F5" i="8"/>
  <c r="B5" i="8" s="1"/>
  <c r="B8" i="8" s="1"/>
  <c r="AZ6" i="6"/>
  <c r="Q41" i="6"/>
  <c r="AZ11" i="6"/>
  <c r="CJ10" i="6" s="1"/>
  <c r="B61" i="7"/>
  <c r="B17" i="8"/>
  <c r="G137" i="7"/>
  <c r="T27" i="6"/>
  <c r="O44" i="6"/>
  <c r="J34" i="7"/>
  <c r="D17" i="8"/>
  <c r="F24" i="8"/>
  <c r="B24" i="8" s="1"/>
  <c r="B27" i="8" s="1"/>
  <c r="B140" i="7"/>
  <c r="B152" i="7" s="1"/>
  <c r="W8" i="7" s="1"/>
  <c r="B151" i="7"/>
  <c r="AZ39" i="6" l="1"/>
  <c r="CJ38" i="6" s="1"/>
  <c r="DG72" i="6"/>
  <c r="AZ22" i="6"/>
  <c r="CJ21" i="6" s="1"/>
  <c r="DG35" i="6"/>
  <c r="AP57" i="6"/>
  <c r="AZ15" i="6"/>
  <c r="CJ14" i="6" s="1"/>
  <c r="CJ4" i="6"/>
  <c r="AZ17" i="6"/>
  <c r="CJ16" i="6" s="1"/>
  <c r="CJ6" i="6"/>
  <c r="AZ16" i="6"/>
  <c r="CJ15" i="6" s="1"/>
  <c r="CJ5" i="6"/>
  <c r="AZ14" i="6"/>
  <c r="CJ13" i="6" s="1"/>
  <c r="CJ3" i="6"/>
  <c r="AZ46" i="6"/>
  <c r="CJ45" i="6" s="1"/>
  <c r="AP56" i="6"/>
  <c r="B42" i="7"/>
  <c r="B43" i="7" s="1"/>
  <c r="B73" i="7" s="1"/>
  <c r="W7" i="7" s="1"/>
  <c r="W18" i="7" l="1"/>
  <c r="V31" i="7" s="1"/>
  <c r="W21" i="7"/>
  <c r="B72" i="7"/>
</calcChain>
</file>

<file path=xl/comments1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3.xml><?xml version="1.0" encoding="utf-8"?>
<comments xmlns="http://schemas.openxmlformats.org/spreadsheetml/2006/main">
  <authors>
    <author/>
    <author>Glenn Reynders</author>
  </authors>
  <commentList>
    <comment ref="X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C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4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4.xml><?xml version="1.0" encoding="utf-8"?>
<comments xmlns="http://schemas.openxmlformats.org/spreadsheetml/2006/main">
  <authors>
    <author/>
    <author>Glenn Reynders</author>
  </authors>
  <commentList>
    <comment ref="X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C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36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A50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5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4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5.xml><?xml version="1.0" encoding="utf-8"?>
<comments xmlns="http://schemas.openxmlformats.org/spreadsheetml/2006/main">
  <authors>
    <author/>
    <author>Glenn Reynders</author>
  </authors>
  <commentList>
    <comment ref="X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C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36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A50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5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4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6.xml><?xml version="1.0" encoding="utf-8"?>
<comments xmlns="http://schemas.openxmlformats.org/spreadsheetml/2006/main">
  <authors>
    <author/>
    <author>Glenn Reynders</author>
  </authors>
  <commentList>
    <comment ref="X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C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4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7.xml><?xml version="1.0" encoding="utf-8"?>
<comments xmlns="http://schemas.openxmlformats.org/spreadsheetml/2006/main">
  <authors>
    <author/>
    <author>Glenn Reynders</author>
  </authors>
  <commentList>
    <comment ref="X2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C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36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A50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5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4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sharedStrings.xml><?xml version="1.0" encoding="utf-8"?>
<sst xmlns="http://schemas.openxmlformats.org/spreadsheetml/2006/main" count="20529" uniqueCount="515">
  <si>
    <t>Thermal properties: Detached Single Family House before1945</t>
  </si>
  <si>
    <t>Global geometrical data</t>
  </si>
  <si>
    <t>Surface properties</t>
  </si>
  <si>
    <t>Component properties</t>
  </si>
  <si>
    <t>Tabula</t>
  </si>
  <si>
    <t>W/m²K</t>
  </si>
  <si>
    <t>Protected volume</t>
  </si>
  <si>
    <t>m³</t>
  </si>
  <si>
    <t>Window area</t>
  </si>
  <si>
    <t>m²</t>
  </si>
  <si>
    <t>ID</t>
  </si>
  <si>
    <t>From Zone</t>
  </si>
  <si>
    <t>To Zone</t>
  </si>
  <si>
    <t>Construction type</t>
  </si>
  <si>
    <t>Area [m²]</t>
  </si>
  <si>
    <t>Orientation</t>
  </si>
  <si>
    <t>U-waarde</t>
  </si>
  <si>
    <t>U*A</t>
  </si>
  <si>
    <t>Cth</t>
  </si>
  <si>
    <t>Cth2</t>
  </si>
  <si>
    <t>Roof</t>
  </si>
  <si>
    <t>U=</t>
  </si>
  <si>
    <t>C=</t>
  </si>
  <si>
    <t>C2=</t>
  </si>
  <si>
    <t>W1</t>
  </si>
  <si>
    <t>Wall External</t>
  </si>
  <si>
    <t>front</t>
  </si>
  <si>
    <t>layers</t>
  </si>
  <si>
    <t>thickness [m]</t>
  </si>
  <si>
    <t>lambda [W/mK]</t>
  </si>
  <si>
    <t>rho [kg/m³]</t>
  </si>
  <si>
    <t>c [J/kgK]</t>
  </si>
  <si>
    <t>R [m²K/W]</t>
  </si>
  <si>
    <t>C [J/m²K]</t>
  </si>
  <si>
    <t>Usable floor area</t>
  </si>
  <si>
    <t>Front</t>
  </si>
  <si>
    <t>Gf</t>
  </si>
  <si>
    <t>(%)</t>
  </si>
  <si>
    <t>W2</t>
  </si>
  <si>
    <t>right</t>
  </si>
  <si>
    <t>tiled roof</t>
  </si>
  <si>
    <t>*voegen niet ingerekend</t>
  </si>
  <si>
    <t>Day zone</t>
  </si>
  <si>
    <t>Right</t>
  </si>
  <si>
    <t>W3</t>
  </si>
  <si>
    <t>back</t>
  </si>
  <si>
    <t>air gap</t>
  </si>
  <si>
    <t>Night zone</t>
  </si>
  <si>
    <t>Back</t>
  </si>
  <si>
    <t>W4</t>
  </si>
  <si>
    <t>left</t>
  </si>
  <si>
    <t>insulation</t>
  </si>
  <si>
    <t>Left</t>
  </si>
  <si>
    <t>W5</t>
  </si>
  <si>
    <t>Window</t>
  </si>
  <si>
    <t>woodboard</t>
  </si>
  <si>
    <t>Ff</t>
  </si>
  <si>
    <t>W6</t>
  </si>
  <si>
    <t>gipspleister</t>
  </si>
  <si>
    <t>W7</t>
  </si>
  <si>
    <t>W8</t>
  </si>
  <si>
    <t>W9</t>
  </si>
  <si>
    <t>ground</t>
  </si>
  <si>
    <t>Floor</t>
  </si>
  <si>
    <t>Wall external</t>
  </si>
  <si>
    <t>Summarizing ratios</t>
  </si>
  <si>
    <t>W10</t>
  </si>
  <si>
    <t>W11</t>
  </si>
  <si>
    <t>Door</t>
  </si>
  <si>
    <t>compactness</t>
  </si>
  <si>
    <t>m</t>
  </si>
  <si>
    <t>W12</t>
  </si>
  <si>
    <t>Cement plaster</t>
  </si>
  <si>
    <t>Unusable floor area</t>
  </si>
  <si>
    <t>envelope surface/ total floor</t>
  </si>
  <si>
    <t>W13</t>
  </si>
  <si>
    <t>BrickHe</t>
  </si>
  <si>
    <t>Attic (h&gt;1.8m)</t>
  </si>
  <si>
    <t>envelope surface/ usable floor area</t>
  </si>
  <si>
    <t>W14</t>
  </si>
  <si>
    <t>gypsum</t>
  </si>
  <si>
    <t>Attic (h&lt;1.8m)</t>
  </si>
  <si>
    <t>W15</t>
  </si>
  <si>
    <t>Window area/ total floor area</t>
  </si>
  <si>
    <t>W16</t>
  </si>
  <si>
    <t>Wall internal</t>
  </si>
  <si>
    <t>Window area/ usable floor area</t>
  </si>
  <si>
    <t>W17</t>
  </si>
  <si>
    <t>Window area/envelope area</t>
  </si>
  <si>
    <t>W18</t>
  </si>
  <si>
    <t>pleister</t>
  </si>
  <si>
    <t>Total floor surface</t>
  </si>
  <si>
    <t>W19</t>
  </si>
  <si>
    <t>metselwerk</t>
  </si>
  <si>
    <t>= usable area x</t>
  </si>
  <si>
    <t>Nightzone/usable floor area</t>
  </si>
  <si>
    <t>W20</t>
  </si>
  <si>
    <t>front/back</t>
  </si>
  <si>
    <t>W21</t>
  </si>
  <si>
    <t>Floor internal</t>
  </si>
  <si>
    <t>envelope surface area</t>
  </si>
  <si>
    <t>W22</t>
  </si>
  <si>
    <t>W23</t>
  </si>
  <si>
    <t>wooden floor</t>
  </si>
  <si>
    <t>*klopt niet -&gt; hout is lichter dan water slimme!</t>
  </si>
  <si>
    <t>cavity</t>
  </si>
  <si>
    <t>Total UA</t>
  </si>
  <si>
    <t>W/K</t>
  </si>
  <si>
    <t>wooden ceiling</t>
  </si>
  <si>
    <t>Zone number</t>
  </si>
  <si>
    <t>Volume [m³]</t>
  </si>
  <si>
    <t>type</t>
  </si>
  <si>
    <t>Set temperature</t>
  </si>
  <si>
    <t>A_g</t>
  </si>
  <si>
    <t>UA_walls+roof</t>
  </si>
  <si>
    <t>window</t>
  </si>
  <si>
    <t>Night Zone</t>
  </si>
  <si>
    <t>UA_windows</t>
  </si>
  <si>
    <t>Attic</t>
  </si>
  <si>
    <t>unheated</t>
  </si>
  <si>
    <t>inf</t>
  </si>
  <si>
    <t>g-waarde</t>
  </si>
  <si>
    <t>Cair</t>
  </si>
  <si>
    <t>MJ</t>
  </si>
  <si>
    <t>C_walls+roof</t>
  </si>
  <si>
    <t>MJ/K</t>
  </si>
  <si>
    <t>C_int</t>
  </si>
  <si>
    <t>C_floor</t>
  </si>
  <si>
    <t>tiles</t>
  </si>
  <si>
    <t>screed</t>
  </si>
  <si>
    <t>PUR</t>
  </si>
  <si>
    <t>Concrete</t>
  </si>
  <si>
    <t>Isolatie</t>
  </si>
  <si>
    <t>infiltration rate (n_{50})</t>
  </si>
  <si>
    <t>Tabula data</t>
  </si>
  <si>
    <t>Type</t>
  </si>
  <si>
    <t>Allacker</t>
  </si>
  <si>
    <t>Total floor surface area</t>
  </si>
  <si>
    <t>Total envelope area</t>
  </si>
  <si>
    <t>Exterior wall</t>
  </si>
  <si>
    <t>Exterior wall to unheated spaces</t>
  </si>
  <si>
    <t>Total exterior wall</t>
  </si>
  <si>
    <t>Floor on soil</t>
  </si>
  <si>
    <t>Floor bordering unheated spaces</t>
  </si>
  <si>
    <t>Floor bordering outdoor spaces</t>
  </si>
  <si>
    <t>Total Floor on ground</t>
  </si>
  <si>
    <t>Doors</t>
  </si>
  <si>
    <t>Windows N</t>
  </si>
  <si>
    <t>Windows E</t>
  </si>
  <si>
    <t>Windows S</t>
  </si>
  <si>
    <t>Windows W</t>
  </si>
  <si>
    <t>Total windows</t>
  </si>
  <si>
    <t>Compactness</t>
  </si>
  <si>
    <t>Total envelope area/Total floor</t>
  </si>
  <si>
    <t>Total envelope area/Usable floor</t>
  </si>
  <si>
    <t>Window/total envelope</t>
  </si>
  <si>
    <t>Window/total floor</t>
  </si>
  <si>
    <t>Window/usable floor</t>
  </si>
  <si>
    <t>n50</t>
  </si>
  <si>
    <t>1/h</t>
  </si>
  <si>
    <t>N53</t>
  </si>
  <si>
    <t>Ratio: Tabula/Allacker</t>
  </si>
  <si>
    <t>Total ground Floor</t>
  </si>
  <si>
    <t>Windows</t>
  </si>
  <si>
    <t>Berekening verwarming voor multizone EL²EP detached house</t>
  </si>
  <si>
    <t>Berekening volgens EN12381-2003</t>
  </si>
  <si>
    <t>T_e,d</t>
  </si>
  <si>
    <t>°C</t>
  </si>
  <si>
    <t>Samenvatting</t>
  </si>
  <si>
    <t>Zone</t>
  </si>
  <si>
    <t>Q</t>
  </si>
  <si>
    <t>Transmissieverliezen</t>
  </si>
  <si>
    <t>W</t>
  </si>
  <si>
    <t>Buitenwanden + Ramen</t>
  </si>
  <si>
    <t>Naar zone</t>
  </si>
  <si>
    <t>wandtype</t>
  </si>
  <si>
    <t>Oppervlakte [m²]</t>
  </si>
  <si>
    <t>Orientatie</t>
  </si>
  <si>
    <t>f_k</t>
  </si>
  <si>
    <t>Totaal</t>
  </si>
  <si>
    <t>Vloeren boven grond/nietverwarmde ruimte</t>
  </si>
  <si>
    <t>Naar Zone</t>
  </si>
  <si>
    <t>Oppervlakte</t>
  </si>
  <si>
    <t>Ag</t>
  </si>
  <si>
    <t>P</t>
  </si>
  <si>
    <t>dw</t>
  </si>
  <si>
    <t>B</t>
  </si>
  <si>
    <t>dt</t>
  </si>
  <si>
    <t>U'</t>
  </si>
  <si>
    <t>Binnenwanden/Binnenvloeren</t>
  </si>
  <si>
    <t>Van</t>
  </si>
  <si>
    <t>Naar</t>
  </si>
  <si>
    <t>Opp</t>
  </si>
  <si>
    <t>Ti1</t>
  </si>
  <si>
    <t>Ti2</t>
  </si>
  <si>
    <t>Totaal transmissie:</t>
  </si>
  <si>
    <t>HT</t>
  </si>
  <si>
    <t>Ventilatieverliezen</t>
  </si>
  <si>
    <t>infiltratie</t>
  </si>
  <si>
    <t>n50=</t>
  </si>
  <si>
    <t>tab D.7</t>
  </si>
  <si>
    <t>e_i=</t>
  </si>
  <si>
    <t>tab D.8</t>
  </si>
  <si>
    <t>eps=</t>
  </si>
  <si>
    <t>tab D.9</t>
  </si>
  <si>
    <t>V_inf</t>
  </si>
  <si>
    <t>m³/h</t>
  </si>
  <si>
    <t>Hygienische vent</t>
  </si>
  <si>
    <t>V_min</t>
  </si>
  <si>
    <t>eff</t>
  </si>
  <si>
    <t>V_i=</t>
  </si>
  <si>
    <t>n=</t>
  </si>
  <si>
    <t>H_V</t>
  </si>
  <si>
    <t>Intermitterend verwarmen</t>
  </si>
  <si>
    <t>f_R,H</t>
  </si>
  <si>
    <t>Tab D10b: 3K,1h</t>
  </si>
  <si>
    <t>H_RH</t>
  </si>
  <si>
    <t>TOTAAL</t>
  </si>
  <si>
    <t>H</t>
  </si>
  <si>
    <t>W45</t>
  </si>
  <si>
    <t>W50</t>
  </si>
  <si>
    <t>W51</t>
  </si>
  <si>
    <t>W54</t>
  </si>
  <si>
    <t>W55</t>
  </si>
  <si>
    <t>W69</t>
  </si>
  <si>
    <t>geen ontworpen ventilatiesysteem!</t>
  </si>
  <si>
    <t>W46</t>
  </si>
  <si>
    <t>W56</t>
  </si>
  <si>
    <t>W57</t>
  </si>
  <si>
    <t>W70</t>
  </si>
  <si>
    <t>constante temp</t>
  </si>
  <si>
    <t>W58</t>
  </si>
  <si>
    <t>W59</t>
  </si>
  <si>
    <t>W71</t>
  </si>
  <si>
    <t>W76</t>
  </si>
  <si>
    <t>Tab D10b: 3K,2h</t>
  </si>
  <si>
    <t>W60</t>
  </si>
  <si>
    <t>W61</t>
  </si>
  <si>
    <t>W67</t>
  </si>
  <si>
    <t>W74</t>
  </si>
  <si>
    <t>W62</t>
  </si>
  <si>
    <t>W63</t>
  </si>
  <si>
    <t>W68</t>
  </si>
  <si>
    <t>W75</t>
  </si>
  <si>
    <t>W25</t>
  </si>
  <si>
    <t>W26</t>
  </si>
  <si>
    <t>W27</t>
  </si>
  <si>
    <t>W28</t>
  </si>
  <si>
    <t>W78</t>
  </si>
  <si>
    <t>W29</t>
  </si>
  <si>
    <t>W30</t>
  </si>
  <si>
    <t>W31</t>
  </si>
  <si>
    <t>W47</t>
  </si>
  <si>
    <t>W52</t>
  </si>
  <si>
    <t>W32</t>
  </si>
  <si>
    <t>W33</t>
  </si>
  <si>
    <t>W48</t>
  </si>
  <si>
    <t>W72</t>
  </si>
  <si>
    <t>aanname dat berging dient als wasplaats! Anders V_min=0</t>
  </si>
  <si>
    <t>W34</t>
  </si>
  <si>
    <t>W35</t>
  </si>
  <si>
    <t>W36</t>
  </si>
  <si>
    <t>W49</t>
  </si>
  <si>
    <t>W53</t>
  </si>
  <si>
    <t>W64</t>
  </si>
  <si>
    <t>W65</t>
  </si>
  <si>
    <t>W66</t>
  </si>
  <si>
    <t>W73</t>
  </si>
  <si>
    <t>W77</t>
  </si>
  <si>
    <t>Qnom</t>
  </si>
  <si>
    <t>Everything outside insulation layer is ignored (ventilated cavity)</t>
  </si>
  <si>
    <t>1 cm isolatie om Uwaarde te halen. In specificatie : geen isolatie?</t>
  </si>
  <si>
    <t>EPS: wij hebben dat thuis en ons huis is van die periode</t>
  </si>
  <si>
    <t>Plaster</t>
  </si>
  <si>
    <t>double glazing</t>
  </si>
  <si>
    <t>Assuptions</t>
  </si>
  <si>
    <t>A_wall</t>
  </si>
  <si>
    <t>(Front and back / Total)</t>
  </si>
  <si>
    <t>GF_frontBack/ Total_frontBack</t>
  </si>
  <si>
    <t>(pitched roof front back oriented)</t>
  </si>
  <si>
    <t>EPS</t>
  </si>
  <si>
    <t>3 cm isolatie to reach tabula value!</t>
  </si>
  <si>
    <t>GF_leftRight/Total_leftRight</t>
  </si>
  <si>
    <t>Gf_windows/Total_Windows</t>
  </si>
  <si>
    <t>Physical parameters</t>
  </si>
  <si>
    <t>DayZone</t>
  </si>
  <si>
    <t>UA</t>
  </si>
  <si>
    <t>vent</t>
  </si>
  <si>
    <t>vent+inf</t>
  </si>
  <si>
    <t>Uawin</t>
  </si>
  <si>
    <t>hwi</t>
  </si>
  <si>
    <t>Uafl</t>
  </si>
  <si>
    <t>(niet gereduceerde!)</t>
  </si>
  <si>
    <t>Losstot</t>
  </si>
  <si>
    <t>Total</t>
  </si>
  <si>
    <t>Inside insul.</t>
  </si>
  <si>
    <t>Cw</t>
  </si>
  <si>
    <t>J/K</t>
  </si>
  <si>
    <t>Cwi</t>
  </si>
  <si>
    <t>Cfl</t>
  </si>
  <si>
    <t>Cwalls</t>
  </si>
  <si>
    <t>Ctotal</t>
  </si>
  <si>
    <t>Uafi</t>
  </si>
  <si>
    <t>Cfi</t>
  </si>
  <si>
    <t>NightZone</t>
  </si>
  <si>
    <t>Uar</t>
  </si>
  <si>
    <t>Cr</t>
  </si>
  <si>
    <t>Thermal properties: Detached Single Family House 71-90</t>
  </si>
  <si>
    <t>d=</t>
  </si>
  <si>
    <t>Parameters greybox: 4state day zone, 4 state night zone, 1 state interior floor</t>
  </si>
  <si>
    <t>(Models DayZone_5state_B, NightZone_4state_A)</t>
  </si>
  <si>
    <t>Parameter</t>
  </si>
  <si>
    <t>Theoretical</t>
  </si>
  <si>
    <t>TO paste in dymola</t>
  </si>
  <si>
    <t>parameter</t>
  </si>
  <si>
    <t>Real</t>
  </si>
  <si>
    <t>abs1D</t>
  </si>
  <si>
    <t>;</t>
  </si>
  <si>
    <t>=</t>
  </si>
  <si>
    <t>abs2D</t>
  </si>
  <si>
    <t>abs3D</t>
  </si>
  <si>
    <t>abs4D</t>
  </si>
  <si>
    <t>CiD</t>
  </si>
  <si>
    <t>CwD</t>
  </si>
  <si>
    <t>CwiD</t>
  </si>
  <si>
    <t>CflD</t>
  </si>
  <si>
    <t>f1D</t>
  </si>
  <si>
    <t>f2D</t>
  </si>
  <si>
    <t>f3D</t>
  </si>
  <si>
    <t>f4D</t>
  </si>
  <si>
    <t>hwD</t>
  </si>
  <si>
    <t>hflD</t>
  </si>
  <si>
    <t>hwiD</t>
  </si>
  <si>
    <t>infD</t>
  </si>
  <si>
    <t>UwD</t>
  </si>
  <si>
    <t>UflD</t>
  </si>
  <si>
    <t>abs1N</t>
  </si>
  <si>
    <t>abs2N</t>
  </si>
  <si>
    <t>abs3N</t>
  </si>
  <si>
    <t>CiN</t>
  </si>
  <si>
    <t>CwN</t>
  </si>
  <si>
    <t>CwiN</t>
  </si>
  <si>
    <t>f1N</t>
  </si>
  <si>
    <t>f2N</t>
  </si>
  <si>
    <t> 5.339205e-02</t>
  </si>
  <si>
    <t>f3N</t>
  </si>
  <si>
    <t> 6.711553e-01</t>
  </si>
  <si>
    <t>hwN</t>
  </si>
  <si>
    <t> 4.631922e+02</t>
  </si>
  <si>
    <t>hwiN</t>
  </si>
  <si>
    <t>infN</t>
  </si>
  <si>
    <t> 3.735657e+01</t>
  </si>
  <si>
    <t>UwN</t>
  </si>
  <si>
    <t>abs5D</t>
  </si>
  <si>
    <t> 1.693800e-01</t>
  </si>
  <si>
    <t>abs5N</t>
  </si>
  <si>
    <t> 3.395373e-01</t>
  </si>
  <si>
    <t>CfiD </t>
  </si>
  <si>
    <t> 1.385834e+07</t>
  </si>
  <si>
    <t>CfiN</t>
  </si>
  <si>
    <t> 4.368417e+07</t>
  </si>
  <si>
    <t>f5D </t>
  </si>
  <si>
    <t> 6.941760e-02</t>
  </si>
  <si>
    <t>f5N </t>
  </si>
  <si>
    <t> 1.291481e-01</t>
  </si>
  <si>
    <t>UfDN</t>
  </si>
  <si>
    <t> 2.955246e+02</t>
  </si>
  <si>
    <t>Ufi</t>
  </si>
  <si>
    <t> 4.609140e+02</t>
  </si>
  <si>
    <t>UfND</t>
  </si>
  <si>
    <t> 3.468365e+02</t>
  </si>
  <si>
    <t>Check absD</t>
  </si>
  <si>
    <t>Check fi</t>
  </si>
  <si>
    <t>##</t>
  </si>
  <si>
    <t>[1]</t>
  </si>
  <si>
    <t>DayZone_5state_B</t>
  </si>
  <si>
    <t>Coefficients:</t>
  </si>
  <si>
    <t>Estimate</t>
  </si>
  <si>
    <t>Std.</t>
  </si>
  <si>
    <t>Error</t>
  </si>
  <si>
    <t>t</t>
  </si>
  <si>
    <t>value</t>
  </si>
  <si>
    <t>Pr(&gt;|t|)</t>
  </si>
  <si>
    <t>Ti0</t>
  </si>
  <si>
    <t>&lt;2e-16</t>
  </si>
  <si>
    <t>***</t>
  </si>
  <si>
    <t>Tw0</t>
  </si>
  <si>
    <t>Twi0</t>
  </si>
  <si>
    <t>Tfi0</t>
  </si>
  <si>
    <t>Tfl0</t>
  </si>
  <si>
    <t>abs1</t>
  </si>
  <si>
    <t>abs2</t>
  </si>
  <si>
    <t>abs3</t>
  </si>
  <si>
    <t>abs4</t>
  </si>
  <si>
    <t>abs5</t>
  </si>
  <si>
    <t>Ci</t>
  </si>
  <si>
    <t>e11</t>
  </si>
  <si>
    <t>e22</t>
  </si>
  <si>
    <t>**</t>
  </si>
  <si>
    <t>e33</t>
  </si>
  <si>
    <t>e44</t>
  </si>
  <si>
    <t>e55</t>
  </si>
  <si>
    <t>f1</t>
  </si>
  <si>
    <t>f2</t>
  </si>
  <si>
    <t>f3</t>
  </si>
  <si>
    <t>f4</t>
  </si>
  <si>
    <t>f5</t>
  </si>
  <si>
    <t>hcAw</t>
  </si>
  <si>
    <t>hfl</t>
  </si>
  <si>
    <t>p11</t>
  </si>
  <si>
    <t>p22</t>
  </si>
  <si>
    <t>p33</t>
  </si>
  <si>
    <t>p44</t>
  </si>
  <si>
    <t>p55</t>
  </si>
  <si>
    <t>Re</t>
  </si>
  <si>
    <t>UfiA</t>
  </si>
  <si>
    <t>UfiB</t>
  </si>
  <si>
    <t>Ufl</t>
  </si>
  <si>
    <t>*</t>
  </si>
  <si>
    <t>NightZone_4state_B</t>
  </si>
  <si>
    <t>&lt;</t>
  </si>
  <si>
    <t>MultiZoneWall_2state_A</t>
  </si>
  <si>
    <t>TfiD0</t>
  </si>
  <si>
    <t>TfiN0</t>
  </si>
  <si>
    <t>CfiD</t>
  </si>
  <si>
    <t>e66</t>
  </si>
  <si>
    <t>p99</t>
  </si>
  <si>
    <t>IN USE</t>
  </si>
  <si>
    <t>.</t>
  </si>
  <si>
    <t>MultiZoneWall_2state_B</t>
  </si>
  <si>
    <t>f5D</t>
  </si>
  <si>
    <t>f5N</t>
  </si>
  <si>
    <t>Surface proporties</t>
  </si>
  <si>
    <t>plaster</t>
  </si>
  <si>
    <t>BrickMi</t>
  </si>
  <si>
    <t>U-value</t>
  </si>
  <si>
    <t>g-value</t>
  </si>
  <si>
    <t>RC</t>
  </si>
  <si>
    <t>GBPRBS</t>
  </si>
  <si>
    <t>GBINUSE</t>
  </si>
  <si>
    <t>SOLNESW IN-USE</t>
  </si>
  <si>
    <t>DayZone_5state_E</t>
  </si>
  <si>
    <t>abs1E</t>
  </si>
  <si>
    <t>abs1S</t>
  </si>
  <si>
    <t>abs1W</t>
  </si>
  <si>
    <t>abs2E</t>
  </si>
  <si>
    <t>abs2S</t>
  </si>
  <si>
    <t>abs2W</t>
  </si>
  <si>
    <t>abs3E</t>
  </si>
  <si>
    <t>abs3S</t>
  </si>
  <si>
    <t>abs3W</t>
  </si>
  <si>
    <t>abs4E</t>
  </si>
  <si>
    <t>abs4N</t>
  </si>
  <si>
    <t>abs4S</t>
  </si>
  <si>
    <t>abs4W</t>
  </si>
  <si>
    <t>abs5E</t>
  </si>
  <si>
    <t>abs5S</t>
  </si>
  <si>
    <t>abs5W</t>
  </si>
  <si>
    <t>NightZone_4state_E</t>
  </si>
  <si>
    <t>SolNESW INUSE</t>
  </si>
  <si>
    <t>parameter Real</t>
  </si>
  <si>
    <t>abs1ED</t>
  </si>
  <si>
    <t>abs1ND</t>
  </si>
  <si>
    <t>abs1SD</t>
  </si>
  <si>
    <t>abs1WD</t>
  </si>
  <si>
    <t>abs2ED</t>
  </si>
  <si>
    <t>abs2ND</t>
  </si>
  <si>
    <t>abs2SD</t>
  </si>
  <si>
    <t>abs2WD</t>
  </si>
  <si>
    <t>abs3ED</t>
  </si>
  <si>
    <t>abs3ND</t>
  </si>
  <si>
    <t>abs3SD</t>
  </si>
  <si>
    <t>abs3WD</t>
  </si>
  <si>
    <t>abs4ED</t>
  </si>
  <si>
    <t>abs4ND</t>
  </si>
  <si>
    <t>abs4SD</t>
  </si>
  <si>
    <t>abs4WD</t>
  </si>
  <si>
    <t>abs5ED</t>
  </si>
  <si>
    <t>abs5ND</t>
  </si>
  <si>
    <t>abs5SD</t>
  </si>
  <si>
    <t>abs5WD</t>
  </si>
  <si>
    <t>hcAwD</t>
  </si>
  <si>
    <t>abs1EN</t>
  </si>
  <si>
    <t>abs1NN</t>
  </si>
  <si>
    <t>abs1SN</t>
  </si>
  <si>
    <t>abs1WN</t>
  </si>
  <si>
    <t>abs2EN</t>
  </si>
  <si>
    <t>abs2NN</t>
  </si>
  <si>
    <t>abs2SN</t>
  </si>
  <si>
    <t>abs2WN</t>
  </si>
  <si>
    <t>abs3EN</t>
  </si>
  <si>
    <t>abs3NN</t>
  </si>
  <si>
    <t>abs3SN</t>
  </si>
  <si>
    <t>abs3WN</t>
  </si>
  <si>
    <t>abs5EN</t>
  </si>
  <si>
    <t>abs5NN</t>
  </si>
  <si>
    <t>abs5SN</t>
  </si>
  <si>
    <t>abs5WN</t>
  </si>
  <si>
    <t>hcAwN</t>
  </si>
  <si>
    <t>number of floors</t>
  </si>
  <si>
    <t>height floor</t>
  </si>
  <si>
    <t>width facade</t>
  </si>
  <si>
    <t>depth building</t>
  </si>
  <si>
    <t>Area Common wall</t>
  </si>
  <si>
    <t>C</t>
  </si>
  <si>
    <t>Common Wall</t>
  </si>
  <si>
    <t>* Allacker T1 = 4.8, T2=9.5 (=heren huis!)</t>
  </si>
  <si>
    <t>*(T1=8 , T2=11.3)</t>
  </si>
  <si>
    <t>Insulation</t>
  </si>
  <si>
    <t>BrickHi</t>
  </si>
  <si>
    <t>Uf</t>
  </si>
  <si>
    <t>fframe</t>
  </si>
  <si>
    <t>v50</t>
  </si>
  <si>
    <t>#</t>
  </si>
  <si>
    <t>SolNESW 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</si>
</sst>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 * #,##0.00_ ;_ * \-#,##0.00_ ;_ * \-??_ ;_ @_ "/>
    <numFmt numFmtId="165" formatCode="0.000"/>
    <numFmt numFmtId="166" formatCode="0.0"/>
    <numFmt numFmtId="167" formatCode="0.0000E+00"/>
    <numFmt numFmtId="168" formatCode="0.00E+000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5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3"/>
      <color rgb="FF1F497D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i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DCE6F2"/>
        <bgColor rgb="FFF2F2F2"/>
      </patternFill>
    </fill>
    <fill>
      <patternFill patternType="solid">
        <fgColor rgb="FF95B3D7"/>
        <bgColor rgb="FFA7C0DE"/>
      </patternFill>
    </fill>
    <fill>
      <patternFill patternType="solid">
        <fgColor rgb="FFB9CDE5"/>
        <bgColor rgb="FFA7C0DE"/>
      </patternFill>
    </fill>
    <fill>
      <patternFill patternType="solid">
        <fgColor rgb="FFC0504D"/>
        <bgColor rgb="FF993366"/>
      </patternFill>
    </fill>
    <fill>
      <patternFill patternType="solid">
        <fgColor rgb="FFF2DCDB"/>
        <bgColor rgb="FFDCE6F2"/>
      </patternFill>
    </fill>
    <fill>
      <patternFill patternType="solid">
        <fgColor rgb="FF8064A2"/>
        <bgColor rgb="FF7F7F7F"/>
      </patternFill>
    </fill>
    <fill>
      <patternFill patternType="solid">
        <fgColor rgb="FFCCC1DA"/>
        <bgColor rgb="FFBFBFBF"/>
      </patternFill>
    </fill>
    <fill>
      <patternFill patternType="solid">
        <fgColor rgb="FFBFBFBF"/>
        <bgColor rgb="FFB7B7B7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2DCDB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B7B7B7"/>
      </patternFill>
    </fill>
    <fill>
      <patternFill patternType="solid">
        <fgColor rgb="FFC3D69B"/>
        <bgColor rgb="FFBFBFBF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 style="thick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auto="1"/>
      </left>
      <right/>
      <top style="thick">
        <color auto="1"/>
      </top>
      <bottom style="thick">
        <color rgb="FF95B3D7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9" fontId="22" fillId="0" borderId="0"/>
    <xf numFmtId="0" fontId="6" fillId="0" borderId="0"/>
    <xf numFmtId="0" fontId="23" fillId="0" borderId="21" applyNumberFormat="0" applyFill="0" applyAlignment="0" applyProtection="0"/>
    <xf numFmtId="0" fontId="24" fillId="17" borderId="22" applyNumberFormat="0" applyAlignment="0" applyProtection="0"/>
    <xf numFmtId="0" fontId="25" fillId="18" borderId="23" applyNumberFormat="0" applyAlignment="0" applyProtection="0"/>
    <xf numFmtId="0" fontId="3" fillId="19" borderId="0" applyNumberFormat="0" applyBorder="0" applyAlignment="0" applyProtection="0"/>
    <xf numFmtId="0" fontId="3" fillId="0" borderId="0"/>
    <xf numFmtId="0" fontId="3" fillId="20" borderId="0" applyNumberFormat="0" applyBorder="0" applyAlignment="0" applyProtection="0"/>
    <xf numFmtId="0" fontId="27" fillId="28" borderId="0" applyNumberFormat="0" applyBorder="0" applyAlignment="0" applyProtection="0"/>
    <xf numFmtId="0" fontId="28" fillId="29" borderId="0" applyNumberFormat="0" applyBorder="0" applyAlignment="0" applyProtection="0"/>
    <xf numFmtId="43" fontId="22" fillId="0" borderId="0" applyFont="0" applyFill="0" applyBorder="0" applyAlignment="0" applyProtection="0"/>
    <xf numFmtId="0" fontId="1" fillId="31" borderId="0" applyNumberFormat="0" applyBorder="0" applyAlignment="0" applyProtection="0"/>
  </cellStyleXfs>
  <cellXfs count="302">
    <xf numFmtId="0" fontId="0" fillId="0" borderId="0" xfId="0"/>
    <xf numFmtId="0" fontId="0" fillId="1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10" borderId="0" xfId="2" applyFont="1" applyFill="1" applyBorder="1" applyAlignment="1" applyProtection="1">
      <alignment horizontal="center"/>
    </xf>
    <xf numFmtId="0" fontId="6" fillId="0" borderId="4" xfId="2" applyFont="1" applyFill="1" applyBorder="1" applyAlignment="1" applyProtection="1"/>
    <xf numFmtId="0" fontId="0" fillId="3" borderId="5" xfId="2" applyFont="1" applyFill="1" applyBorder="1" applyAlignment="1" applyProtection="1"/>
    <xf numFmtId="0" fontId="22" fillId="3" borderId="6" xfId="2" applyFont="1" applyFill="1" applyBorder="1" applyAlignment="1" applyProtection="1"/>
    <xf numFmtId="2" fontId="22" fillId="3" borderId="6" xfId="2" applyNumberFormat="1" applyFont="1" applyFill="1" applyBorder="1" applyAlignment="1" applyProtection="1"/>
    <xf numFmtId="0" fontId="0" fillId="3" borderId="3" xfId="2" applyFont="1" applyFill="1" applyBorder="1" applyAlignment="1" applyProtection="1"/>
    <xf numFmtId="0" fontId="0" fillId="3" borderId="7" xfId="2" applyFont="1" applyFill="1" applyBorder="1" applyAlignment="1" applyProtection="1">
      <alignment horizontal="center"/>
    </xf>
    <xf numFmtId="0" fontId="0" fillId="3" borderId="4" xfId="2" applyFont="1" applyFill="1" applyBorder="1" applyAlignment="1" applyProtection="1">
      <alignment horizontal="center"/>
    </xf>
    <xf numFmtId="0" fontId="0" fillId="3" borderId="8" xfId="2" applyFont="1" applyFill="1" applyBorder="1" applyAlignment="1" applyProtection="1">
      <alignment horizontal="center"/>
    </xf>
    <xf numFmtId="2" fontId="6" fillId="0" borderId="0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 applyProtection="1"/>
    <xf numFmtId="0" fontId="6" fillId="10" borderId="0" xfId="2" applyFont="1" applyFill="1" applyBorder="1" applyAlignment="1" applyProtection="1"/>
    <xf numFmtId="0" fontId="0" fillId="3" borderId="7" xfId="2" applyFont="1" applyFill="1" applyBorder="1" applyAlignment="1" applyProtection="1"/>
    <xf numFmtId="0" fontId="22" fillId="3" borderId="4" xfId="2" applyFont="1" applyFill="1" applyBorder="1" applyAlignment="1" applyProtection="1"/>
    <xf numFmtId="0" fontId="0" fillId="3" borderId="4" xfId="2" applyFont="1" applyFill="1" applyBorder="1" applyAlignment="1" applyProtection="1">
      <alignment horizontal="right"/>
    </xf>
    <xf numFmtId="165" fontId="22" fillId="3" borderId="4" xfId="2" applyNumberFormat="1" applyFont="1" applyFill="1" applyBorder="1" applyAlignment="1" applyProtection="1">
      <alignment horizontal="center"/>
    </xf>
    <xf numFmtId="0" fontId="22" fillId="3" borderId="8" xfId="2" applyFont="1" applyFill="1" applyBorder="1" applyAlignment="1" applyProtection="1"/>
    <xf numFmtId="0" fontId="7" fillId="0" borderId="9" xfId="0" applyFont="1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2" fontId="6" fillId="0" borderId="0" xfId="2" applyNumberFormat="1" applyFont="1" applyFill="1" applyBorder="1" applyAlignment="1" applyProtection="1"/>
    <xf numFmtId="2" fontId="6" fillId="10" borderId="0" xfId="2" applyNumberFormat="1" applyFont="1" applyFill="1" applyBorder="1" applyAlignment="1" applyProtection="1"/>
    <xf numFmtId="0" fontId="0" fillId="0" borderId="7" xfId="0" applyBorder="1"/>
    <xf numFmtId="0" fontId="8" fillId="0" borderId="4" xfId="0" applyFont="1" applyBorder="1"/>
    <xf numFmtId="0" fontId="8" fillId="0" borderId="8" xfId="0" applyFont="1" applyBorder="1"/>
    <xf numFmtId="1" fontId="22" fillId="3" borderId="0" xfId="2" applyNumberFormat="1" applyFont="1" applyFill="1" applyBorder="1" applyAlignment="1" applyProtection="1"/>
    <xf numFmtId="0" fontId="0" fillId="3" borderId="0" xfId="2" applyFont="1" applyFill="1" applyBorder="1" applyAlignment="1" applyProtection="1"/>
    <xf numFmtId="0" fontId="0" fillId="0" borderId="2" xfId="0" applyFont="1" applyBorder="1"/>
    <xf numFmtId="10" fontId="0" fillId="0" borderId="0" xfId="0" applyNumberFormat="1" applyBorder="1"/>
    <xf numFmtId="2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165" fontId="0" fillId="0" borderId="0" xfId="0" applyNumberFormat="1" applyBorder="1"/>
    <xf numFmtId="0" fontId="0" fillId="0" borderId="5" xfId="0" applyFont="1" applyBorder="1"/>
    <xf numFmtId="166" fontId="0" fillId="0" borderId="6" xfId="0" applyNumberFormat="1" applyBorder="1"/>
    <xf numFmtId="0" fontId="0" fillId="0" borderId="6" xfId="0" applyFont="1" applyBorder="1"/>
    <xf numFmtId="0" fontId="0" fillId="0" borderId="2" xfId="0" applyFont="1" applyBorder="1"/>
    <xf numFmtId="166" fontId="0" fillId="0" borderId="0" xfId="0" applyNumberFormat="1" applyBorder="1"/>
    <xf numFmtId="0" fontId="0" fillId="0" borderId="0" xfId="0" applyFont="1" applyBorder="1"/>
    <xf numFmtId="10" fontId="0" fillId="0" borderId="0" xfId="0" applyNumberFormat="1" applyBorder="1"/>
    <xf numFmtId="2" fontId="0" fillId="0" borderId="11" xfId="0" applyNumberFormat="1" applyFont="1" applyBorder="1"/>
    <xf numFmtId="0" fontId="0" fillId="0" borderId="9" xfId="0" applyBorder="1"/>
    <xf numFmtId="165" fontId="0" fillId="0" borderId="10" xfId="0" applyNumberFormat="1" applyBorder="1"/>
    <xf numFmtId="0" fontId="0" fillId="0" borderId="12" xfId="0" applyBorder="1"/>
    <xf numFmtId="0" fontId="0" fillId="3" borderId="5" xfId="2" applyFont="1" applyFill="1" applyBorder="1" applyAlignment="1" applyProtection="1">
      <alignment horizontal="right"/>
    </xf>
    <xf numFmtId="0" fontId="0" fillId="0" borderId="2" xfId="0" applyFont="1" applyBorder="1" applyAlignment="1">
      <alignment horizontal="right"/>
    </xf>
    <xf numFmtId="2" fontId="0" fillId="0" borderId="0" xfId="0" applyNumberFormat="1" applyFont="1" applyBorder="1"/>
    <xf numFmtId="0" fontId="0" fillId="0" borderId="0" xfId="0" applyFont="1" applyBorder="1"/>
    <xf numFmtId="1" fontId="22" fillId="3" borderId="6" xfId="2" applyNumberFormat="1" applyFont="1" applyFill="1" applyBorder="1" applyAlignment="1" applyProtection="1"/>
    <xf numFmtId="0" fontId="0" fillId="0" borderId="11" xfId="0" applyFont="1" applyBorder="1"/>
    <xf numFmtId="9" fontId="0" fillId="0" borderId="0" xfId="1" applyFont="1" applyBorder="1" applyAlignment="1" applyProtection="1"/>
    <xf numFmtId="2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2" xfId="0" applyNumberFormat="1" applyFont="1" applyBorder="1"/>
    <xf numFmtId="165" fontId="0" fillId="0" borderId="6" xfId="0" applyNumberFormat="1" applyBorder="1"/>
    <xf numFmtId="0" fontId="0" fillId="0" borderId="3" xfId="0" applyBorder="1"/>
    <xf numFmtId="0" fontId="5" fillId="4" borderId="0" xfId="2" applyFont="1" applyFill="1" applyBorder="1" applyAlignment="1" applyProtection="1"/>
    <xf numFmtId="2" fontId="5" fillId="4" borderId="0" xfId="2" applyNumberFormat="1" applyFont="1" applyFill="1" applyBorder="1" applyAlignment="1" applyProtection="1"/>
    <xf numFmtId="0" fontId="0" fillId="0" borderId="10" xfId="0" applyBorder="1"/>
    <xf numFmtId="0" fontId="5" fillId="2" borderId="0" xfId="2" applyFont="1" applyFill="1" applyBorder="1" applyAlignment="1" applyProtection="1">
      <alignment horizontal="center"/>
    </xf>
    <xf numFmtId="0" fontId="22" fillId="5" borderId="0" xfId="2" applyFont="1" applyFill="1" applyBorder="1" applyAlignment="1" applyProtection="1">
      <alignment horizontal="center"/>
    </xf>
    <xf numFmtId="1" fontId="22" fillId="5" borderId="0" xfId="2" applyNumberFormat="1" applyFont="1" applyFill="1" applyBorder="1" applyAlignment="1" applyProtection="1">
      <alignment horizontal="center"/>
    </xf>
    <xf numFmtId="2" fontId="0" fillId="11" borderId="6" xfId="0" applyNumberFormat="1" applyFill="1" applyBorder="1"/>
    <xf numFmtId="166" fontId="22" fillId="5" borderId="0" xfId="2" applyNumberFormat="1" applyFont="1" applyFill="1" applyBorder="1" applyAlignment="1" applyProtection="1">
      <alignment horizontal="center"/>
    </xf>
    <xf numFmtId="0" fontId="22" fillId="5" borderId="0" xfId="2" applyFont="1" applyFill="1" applyBorder="1" applyAlignment="1" applyProtection="1"/>
    <xf numFmtId="0" fontId="0" fillId="0" borderId="3" xfId="0" applyFont="1" applyBorder="1"/>
    <xf numFmtId="0" fontId="0" fillId="0" borderId="0" xfId="0" applyAlignment="1">
      <alignment horizontal="right"/>
    </xf>
    <xf numFmtId="0" fontId="0" fillId="12" borderId="0" xfId="0" applyFill="1"/>
    <xf numFmtId="0" fontId="0" fillId="0" borderId="0" xfId="0"/>
    <xf numFmtId="0" fontId="13" fillId="0" borderId="1" xfId="2" applyFont="1" applyFill="1" applyBorder="1" applyAlignment="1" applyProtection="1"/>
    <xf numFmtId="0" fontId="5" fillId="6" borderId="0" xfId="2" applyFont="1" applyFill="1" applyBorder="1" applyAlignment="1" applyProtection="1"/>
    <xf numFmtId="0" fontId="0" fillId="7" borderId="0" xfId="2" applyFont="1" applyFill="1" applyBorder="1" applyAlignment="1" applyProtection="1"/>
    <xf numFmtId="1" fontId="0" fillId="0" borderId="0" xfId="0" applyNumberFormat="1"/>
    <xf numFmtId="2" fontId="22" fillId="7" borderId="0" xfId="2" applyNumberFormat="1" applyFont="1" applyFill="1" applyBorder="1" applyAlignment="1" applyProtection="1"/>
    <xf numFmtId="166" fontId="22" fillId="7" borderId="0" xfId="2" applyNumberFormat="1" applyFont="1" applyFill="1" applyBorder="1" applyAlignment="1" applyProtection="1"/>
    <xf numFmtId="9" fontId="22" fillId="7" borderId="0" xfId="2" applyNumberFormat="1" applyFont="1" applyFill="1" applyBorder="1" applyAlignment="1" applyProtection="1"/>
    <xf numFmtId="10" fontId="22" fillId="7" borderId="0" xfId="2" applyNumberFormat="1" applyFont="1" applyFill="1" applyBorder="1" applyAlignment="1" applyProtection="1"/>
    <xf numFmtId="0" fontId="5" fillId="8" borderId="0" xfId="2" applyFont="1" applyFill="1" applyBorder="1" applyAlignment="1" applyProtection="1"/>
    <xf numFmtId="0" fontId="0" fillId="9" borderId="0" xfId="2" applyFont="1" applyFill="1" applyBorder="1" applyAlignment="1" applyProtection="1"/>
    <xf numFmtId="2" fontId="0" fillId="11" borderId="0" xfId="0" applyNumberFormat="1" applyFill="1"/>
    <xf numFmtId="2" fontId="14" fillId="13" borderId="13" xfId="2" applyNumberFormat="1" applyFont="1" applyFill="1" applyBorder="1" applyAlignment="1" applyProtection="1"/>
    <xf numFmtId="2" fontId="0" fillId="11" borderId="5" xfId="0" applyNumberFormat="1" applyFill="1" applyBorder="1"/>
    <xf numFmtId="2" fontId="0" fillId="11" borderId="3" xfId="0" applyNumberFormat="1" applyFill="1" applyBorder="1"/>
    <xf numFmtId="2" fontId="0" fillId="11" borderId="2" xfId="0" applyNumberFormat="1" applyFill="1" applyBorder="1"/>
    <xf numFmtId="2" fontId="0" fillId="11" borderId="11" xfId="0" applyNumberFormat="1" applyFill="1" applyBorder="1"/>
    <xf numFmtId="2" fontId="15" fillId="0" borderId="2" xfId="2" applyNumberFormat="1" applyFont="1" applyBorder="1" applyAlignment="1" applyProtection="1"/>
    <xf numFmtId="2" fontId="0" fillId="11" borderId="0" xfId="0" applyNumberFormat="1" applyFill="1" applyBorder="1"/>
    <xf numFmtId="2" fontId="0" fillId="11" borderId="6" xfId="0" applyNumberFormat="1" applyFont="1" applyFill="1" applyBorder="1" applyAlignment="1">
      <alignment horizontal="left"/>
    </xf>
    <xf numFmtId="2" fontId="0" fillId="11" borderId="6" xfId="0" applyNumberFormat="1" applyFont="1" applyFill="1" applyBorder="1" applyAlignment="1">
      <alignment horizontal="right"/>
    </xf>
    <xf numFmtId="2" fontId="0" fillId="11" borderId="0" xfId="0" applyNumberFormat="1" applyFill="1" applyBorder="1" applyAlignment="1">
      <alignment horizontal="left"/>
    </xf>
    <xf numFmtId="2" fontId="0" fillId="11" borderId="0" xfId="0" applyNumberFormat="1" applyFill="1" applyBorder="1" applyAlignment="1">
      <alignment horizontal="right"/>
    </xf>
    <xf numFmtId="2" fontId="16" fillId="11" borderId="2" xfId="2" applyNumberFormat="1" applyFont="1" applyFill="1" applyBorder="1" applyAlignment="1" applyProtection="1"/>
    <xf numFmtId="2" fontId="0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14" fillId="13" borderId="14" xfId="2" applyNumberFormat="1" applyFont="1" applyFill="1" applyBorder="1" applyAlignment="1" applyProtection="1">
      <alignment horizontal="right"/>
    </xf>
    <xf numFmtId="2" fontId="17" fillId="14" borderId="14" xfId="2" applyNumberFormat="1" applyFont="1" applyFill="1" applyBorder="1" applyAlignment="1" applyProtection="1">
      <alignment horizontal="right"/>
    </xf>
    <xf numFmtId="2" fontId="18" fillId="15" borderId="0" xfId="0" applyNumberFormat="1" applyFont="1" applyFill="1" applyBorder="1" applyAlignment="1" applyProtection="1">
      <alignment horizontal="right"/>
    </xf>
    <xf numFmtId="2" fontId="0" fillId="11" borderId="9" xfId="0" applyNumberFormat="1" applyFill="1" applyBorder="1"/>
    <xf numFmtId="2" fontId="0" fillId="11" borderId="10" xfId="0" applyNumberFormat="1" applyFill="1" applyBorder="1"/>
    <xf numFmtId="2" fontId="0" fillId="11" borderId="12" xfId="0" applyNumberFormat="1" applyFill="1" applyBorder="1"/>
    <xf numFmtId="2" fontId="14" fillId="13" borderId="0" xfId="2" applyNumberFormat="1" applyFont="1" applyFill="1" applyBorder="1" applyAlignment="1" applyProtection="1">
      <alignment horizontal="right"/>
    </xf>
    <xf numFmtId="2" fontId="17" fillId="14" borderId="0" xfId="2" applyNumberFormat="1" applyFont="1" applyFill="1" applyBorder="1" applyAlignment="1" applyProtection="1">
      <alignment horizontal="right"/>
    </xf>
    <xf numFmtId="2" fontId="7" fillId="0" borderId="0" xfId="0" applyNumberFormat="1" applyFont="1" applyBorder="1"/>
    <xf numFmtId="2" fontId="8" fillId="0" borderId="0" xfId="0" applyNumberFormat="1" applyFont="1" applyBorder="1"/>
    <xf numFmtId="2" fontId="14" fillId="13" borderId="15" xfId="2" applyNumberFormat="1" applyFont="1" applyFill="1" applyBorder="1" applyAlignment="1" applyProtection="1"/>
    <xf numFmtId="2" fontId="17" fillId="14" borderId="15" xfId="2" applyNumberFormat="1" applyFont="1" applyFill="1" applyBorder="1" applyAlignment="1" applyProtection="1"/>
    <xf numFmtId="2" fontId="18" fillId="15" borderId="0" xfId="0" applyNumberFormat="1" applyFont="1" applyFill="1" applyBorder="1" applyAlignment="1" applyProtection="1"/>
    <xf numFmtId="2" fontId="6" fillId="0" borderId="0" xfId="0" applyNumberFormat="1" applyFont="1" applyBorder="1" applyAlignment="1" applyProtection="1">
      <alignment horizontal="left"/>
    </xf>
    <xf numFmtId="2" fontId="6" fillId="0" borderId="0" xfId="0" applyNumberFormat="1" applyFont="1" applyBorder="1" applyAlignment="1" applyProtection="1"/>
    <xf numFmtId="2" fontId="14" fillId="13" borderId="14" xfId="2" applyNumberFormat="1" applyFont="1" applyFill="1" applyBorder="1" applyAlignment="1" applyProtection="1"/>
    <xf numFmtId="2" fontId="17" fillId="14" borderId="14" xfId="2" applyNumberFormat="1" applyFont="1" applyFill="1" applyBorder="1" applyAlignment="1" applyProtection="1"/>
    <xf numFmtId="2" fontId="14" fillId="13" borderId="16" xfId="2" applyNumberFormat="1" applyFont="1" applyFill="1" applyBorder="1" applyAlignment="1" applyProtection="1"/>
    <xf numFmtId="2" fontId="18" fillId="15" borderId="2" xfId="0" applyNumberFormat="1" applyFont="1" applyFill="1" applyBorder="1" applyAlignment="1" applyProtection="1"/>
    <xf numFmtId="2" fontId="6" fillId="11" borderId="6" xfId="0" applyNumberFormat="1" applyFont="1" applyFill="1" applyBorder="1" applyAlignment="1" applyProtection="1"/>
    <xf numFmtId="2" fontId="7" fillId="11" borderId="2" xfId="0" applyNumberFormat="1" applyFont="1" applyFill="1" applyBorder="1"/>
    <xf numFmtId="2" fontId="14" fillId="13" borderId="17" xfId="2" applyNumberFormat="1" applyFont="1" applyFill="1" applyBorder="1" applyAlignment="1" applyProtection="1"/>
    <xf numFmtId="2" fontId="19" fillId="15" borderId="0" xfId="0" applyNumberFormat="1" applyFont="1" applyFill="1" applyBorder="1" applyAlignment="1" applyProtection="1"/>
    <xf numFmtId="2" fontId="16" fillId="16" borderId="18" xfId="2" applyNumberFormat="1" applyFont="1" applyFill="1" applyBorder="1" applyAlignment="1" applyProtection="1"/>
    <xf numFmtId="2" fontId="0" fillId="16" borderId="6" xfId="0" applyNumberFormat="1" applyFill="1" applyBorder="1"/>
    <xf numFmtId="2" fontId="0" fillId="16" borderId="3" xfId="0" applyNumberFormat="1" applyFill="1" applyBorder="1"/>
    <xf numFmtId="2" fontId="0" fillId="16" borderId="0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0" fillId="16" borderId="10" xfId="0" applyNumberFormat="1" applyFill="1" applyBorder="1"/>
    <xf numFmtId="2" fontId="0" fillId="16" borderId="12" xfId="0" applyNumberFormat="1" applyFill="1" applyBorder="1"/>
    <xf numFmtId="2" fontId="5" fillId="2" borderId="0" xfId="0" applyNumberFormat="1" applyFont="1" applyFill="1" applyBorder="1" applyAlignment="1" applyProtection="1"/>
    <xf numFmtId="2" fontId="0" fillId="0" borderId="2" xfId="0" applyNumberFormat="1" applyBorder="1"/>
    <xf numFmtId="2" fontId="17" fillId="14" borderId="19" xfId="2" applyNumberFormat="1" applyFont="1" applyFill="1" applyBorder="1" applyAlignment="1" applyProtection="1"/>
    <xf numFmtId="2" fontId="0" fillId="0" borderId="9" xfId="0" applyNumberFormat="1" applyBorder="1"/>
    <xf numFmtId="2" fontId="0" fillId="0" borderId="10" xfId="0" applyNumberFormat="1" applyBorder="1"/>
    <xf numFmtId="2" fontId="14" fillId="13" borderId="13" xfId="2" applyNumberFormat="1" applyFont="1" applyFill="1" applyBorder="1" applyAlignment="1" applyProtection="1">
      <alignment horizontal="right"/>
    </xf>
    <xf numFmtId="2" fontId="14" fillId="13" borderId="16" xfId="2" applyNumberFormat="1" applyFont="1" applyFill="1" applyBorder="1" applyAlignment="1" applyProtection="1">
      <alignment horizontal="right"/>
    </xf>
    <xf numFmtId="2" fontId="17" fillId="14" borderId="19" xfId="2" applyNumberFormat="1" applyFont="1" applyFill="1" applyBorder="1" applyAlignment="1" applyProtection="1">
      <alignment horizontal="right"/>
    </xf>
    <xf numFmtId="2" fontId="14" fillId="13" borderId="20" xfId="2" applyNumberFormat="1" applyFont="1" applyFill="1" applyBorder="1" applyAlignment="1" applyProtection="1"/>
    <xf numFmtId="2" fontId="7" fillId="0" borderId="2" xfId="0" applyNumberFormat="1" applyFont="1" applyBorder="1"/>
    <xf numFmtId="2" fontId="6" fillId="11" borderId="0" xfId="0" applyNumberFormat="1" applyFont="1" applyFill="1" applyBorder="1" applyAlignment="1" applyProtection="1"/>
    <xf numFmtId="0" fontId="7" fillId="0" borderId="0" xfId="0" applyFont="1"/>
    <xf numFmtId="0" fontId="20" fillId="0" borderId="0" xfId="0" applyFont="1"/>
    <xf numFmtId="0" fontId="21" fillId="0" borderId="0" xfId="0" applyFont="1"/>
    <xf numFmtId="2" fontId="0" fillId="0" borderId="0" xfId="0" applyNumberFormat="1"/>
    <xf numFmtId="0" fontId="6" fillId="0" borderId="0" xfId="2" applyFont="1" applyBorder="1" applyAlignment="1" applyProtection="1"/>
    <xf numFmtId="2" fontId="6" fillId="0" borderId="0" xfId="2" applyNumberFormat="1" applyBorder="1" applyAlignment="1" applyProtection="1"/>
    <xf numFmtId="167" fontId="0" fillId="0" borderId="0" xfId="0" applyNumberFormat="1"/>
    <xf numFmtId="168" fontId="0" fillId="0" borderId="0" xfId="0" applyNumberFormat="1"/>
    <xf numFmtId="0" fontId="25" fillId="18" borderId="23" xfId="5"/>
    <xf numFmtId="0" fontId="3" fillId="0" borderId="0" xfId="7"/>
    <xf numFmtId="0" fontId="23" fillId="0" borderId="21" xfId="3"/>
    <xf numFmtId="0" fontId="3" fillId="19" borderId="0" xfId="6"/>
    <xf numFmtId="165" fontId="3" fillId="19" borderId="0" xfId="6" applyNumberFormat="1"/>
    <xf numFmtId="0" fontId="3" fillId="20" borderId="0" xfId="8" quotePrefix="1"/>
    <xf numFmtId="0" fontId="3" fillId="20" borderId="0" xfId="8" applyFont="1"/>
    <xf numFmtId="0" fontId="3" fillId="20" borderId="0" xfId="8"/>
    <xf numFmtId="0" fontId="3" fillId="19" borderId="0" xfId="6" applyFont="1"/>
    <xf numFmtId="11" fontId="0" fillId="0" borderId="0" xfId="0" applyNumberFormat="1"/>
    <xf numFmtId="43" fontId="3" fillId="19" borderId="0" xfId="6" applyNumberFormat="1"/>
    <xf numFmtId="43" fontId="3" fillId="19" borderId="0" xfId="6" applyNumberFormat="1" applyFont="1"/>
    <xf numFmtId="0" fontId="24" fillId="17" borderId="22" xfId="4"/>
    <xf numFmtId="0" fontId="0" fillId="21" borderId="0" xfId="0" applyFill="1"/>
    <xf numFmtId="43" fontId="2" fillId="19" borderId="0" xfId="6" applyNumberFormat="1" applyFont="1"/>
    <xf numFmtId="0" fontId="0" fillId="23" borderId="0" xfId="0" applyFill="1"/>
    <xf numFmtId="0" fontId="7" fillId="23" borderId="9" xfId="0" applyFont="1" applyFill="1" applyBorder="1"/>
    <xf numFmtId="0" fontId="0" fillId="23" borderId="10" xfId="0" applyFill="1" applyBorder="1"/>
    <xf numFmtId="0" fontId="0" fillId="23" borderId="2" xfId="0" applyFill="1" applyBorder="1"/>
    <xf numFmtId="0" fontId="0" fillId="23" borderId="0" xfId="0" applyFill="1" applyBorder="1"/>
    <xf numFmtId="0" fontId="0" fillId="23" borderId="11" xfId="0" applyFill="1" applyBorder="1"/>
    <xf numFmtId="0" fontId="0" fillId="23" borderId="2" xfId="0" applyFont="1" applyFill="1" applyBorder="1"/>
    <xf numFmtId="10" fontId="0" fillId="23" borderId="0" xfId="0" applyNumberFormat="1" applyFill="1" applyBorder="1"/>
    <xf numFmtId="2" fontId="0" fillId="23" borderId="11" xfId="0" applyNumberFormat="1" applyFill="1" applyBorder="1"/>
    <xf numFmtId="0" fontId="0" fillId="23" borderId="5" xfId="0" applyFont="1" applyFill="1" applyBorder="1"/>
    <xf numFmtId="0" fontId="0" fillId="23" borderId="6" xfId="0" applyFont="1" applyFill="1" applyBorder="1"/>
    <xf numFmtId="166" fontId="0" fillId="23" borderId="0" xfId="0" applyNumberFormat="1" applyFill="1" applyBorder="1"/>
    <xf numFmtId="0" fontId="0" fillId="23" borderId="0" xfId="0" applyFont="1" applyFill="1" applyBorder="1"/>
    <xf numFmtId="2" fontId="0" fillId="23" borderId="11" xfId="0" applyNumberFormat="1" applyFont="1" applyFill="1" applyBorder="1"/>
    <xf numFmtId="0" fontId="0" fillId="23" borderId="2" xfId="0" applyFont="1" applyFill="1" applyBorder="1" applyAlignment="1">
      <alignment horizontal="right"/>
    </xf>
    <xf numFmtId="0" fontId="0" fillId="23" borderId="9" xfId="0" applyFill="1" applyBorder="1"/>
    <xf numFmtId="2" fontId="0" fillId="23" borderId="0" xfId="0" applyNumberFormat="1" applyFont="1" applyFill="1" applyBorder="1"/>
    <xf numFmtId="0" fontId="0" fillId="23" borderId="11" xfId="0" applyFont="1" applyFill="1" applyBorder="1"/>
    <xf numFmtId="9" fontId="0" fillId="23" borderId="0" xfId="1" applyFont="1" applyFill="1" applyBorder="1" applyAlignment="1" applyProtection="1"/>
    <xf numFmtId="2" fontId="0" fillId="23" borderId="0" xfId="0" applyNumberFormat="1" applyFill="1" applyBorder="1"/>
    <xf numFmtId="0" fontId="0" fillId="23" borderId="12" xfId="0" applyFill="1" applyBorder="1"/>
    <xf numFmtId="0" fontId="0" fillId="24" borderId="5" xfId="2" applyFont="1" applyFill="1" applyBorder="1" applyAlignment="1" applyProtection="1"/>
    <xf numFmtId="0" fontId="22" fillId="24" borderId="6" xfId="2" applyFont="1" applyFill="1" applyBorder="1" applyAlignment="1" applyProtection="1"/>
    <xf numFmtId="1" fontId="22" fillId="24" borderId="6" xfId="2" applyNumberFormat="1" applyFont="1" applyFill="1" applyBorder="1" applyAlignment="1" applyProtection="1"/>
    <xf numFmtId="0" fontId="0" fillId="24" borderId="0" xfId="2" applyFont="1" applyFill="1" applyBorder="1" applyAlignment="1" applyProtection="1"/>
    <xf numFmtId="0" fontId="0" fillId="24" borderId="5" xfId="2" applyFont="1" applyFill="1" applyBorder="1" applyAlignment="1" applyProtection="1">
      <alignment horizontal="right"/>
    </xf>
    <xf numFmtId="0" fontId="0" fillId="24" borderId="3" xfId="2" applyFont="1" applyFill="1" applyBorder="1" applyAlignment="1" applyProtection="1"/>
    <xf numFmtId="2" fontId="22" fillId="24" borderId="6" xfId="2" applyNumberFormat="1" applyFont="1" applyFill="1" applyBorder="1" applyAlignment="1" applyProtection="1"/>
    <xf numFmtId="0" fontId="0" fillId="24" borderId="4" xfId="2" applyFont="1" applyFill="1" applyBorder="1" applyAlignment="1" applyProtection="1">
      <alignment horizontal="center"/>
    </xf>
    <xf numFmtId="0" fontId="0" fillId="24" borderId="9" xfId="2" applyFont="1" applyFill="1" applyBorder="1" applyAlignment="1" applyProtection="1">
      <alignment horizontal="center"/>
    </xf>
    <xf numFmtId="0" fontId="0" fillId="24" borderId="10" xfId="2" applyFont="1" applyFill="1" applyBorder="1" applyAlignment="1" applyProtection="1">
      <alignment horizontal="center"/>
    </xf>
    <xf numFmtId="0" fontId="0" fillId="24" borderId="12" xfId="2" applyFont="1" applyFill="1" applyBorder="1" applyAlignment="1" applyProtection="1">
      <alignment horizontal="center"/>
    </xf>
    <xf numFmtId="0" fontId="0" fillId="23" borderId="5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2" fontId="0" fillId="23" borderId="6" xfId="0" applyNumberFormat="1" applyFill="1" applyBorder="1" applyAlignment="1">
      <alignment horizontal="center"/>
    </xf>
    <xf numFmtId="49" fontId="0" fillId="23" borderId="3" xfId="0" applyNumberFormat="1" applyFont="1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2" fontId="0" fillId="23" borderId="0" xfId="0" applyNumberFormat="1" applyFill="1" applyBorder="1" applyAlignment="1">
      <alignment horizontal="center"/>
    </xf>
    <xf numFmtId="49" fontId="0" fillId="23" borderId="11" xfId="0" applyNumberFormat="1" applyFont="1" applyFill="1" applyBorder="1" applyAlignment="1">
      <alignment horizontal="center"/>
    </xf>
    <xf numFmtId="164" fontId="4" fillId="23" borderId="0" xfId="2" applyNumberFormat="1" applyFont="1" applyFill="1" applyBorder="1" applyAlignment="1" applyProtection="1">
      <alignment vertical="center"/>
    </xf>
    <xf numFmtId="0" fontId="0" fillId="23" borderId="9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49" fontId="0" fillId="23" borderId="12" xfId="0" applyNumberFormat="1" applyFont="1" applyFill="1" applyBorder="1"/>
    <xf numFmtId="0" fontId="0" fillId="24" borderId="7" xfId="2" applyFont="1" applyFill="1" applyBorder="1" applyAlignment="1" applyProtection="1"/>
    <xf numFmtId="0" fontId="22" fillId="24" borderId="4" xfId="2" applyFont="1" applyFill="1" applyBorder="1" applyAlignment="1" applyProtection="1"/>
    <xf numFmtId="0" fontId="0" fillId="24" borderId="4" xfId="2" applyFont="1" applyFill="1" applyBorder="1" applyAlignment="1" applyProtection="1">
      <alignment horizontal="right"/>
    </xf>
    <xf numFmtId="165" fontId="22" fillId="24" borderId="4" xfId="2" applyNumberFormat="1" applyFont="1" applyFill="1" applyBorder="1" applyAlignment="1" applyProtection="1">
      <alignment horizontal="center"/>
    </xf>
    <xf numFmtId="0" fontId="22" fillId="24" borderId="8" xfId="2" applyFont="1" applyFill="1" applyBorder="1" applyAlignment="1" applyProtection="1"/>
    <xf numFmtId="0" fontId="6" fillId="23" borderId="10" xfId="2" applyFont="1" applyFill="1" applyBorder="1" applyAlignment="1" applyProtection="1"/>
    <xf numFmtId="0" fontId="6" fillId="23" borderId="0" xfId="2" applyFont="1" applyFill="1" applyBorder="1" applyAlignment="1" applyProtection="1"/>
    <xf numFmtId="2" fontId="0" fillId="23" borderId="0" xfId="0" applyNumberFormat="1" applyFill="1"/>
    <xf numFmtId="0" fontId="0" fillId="23" borderId="7" xfId="0" applyFill="1" applyBorder="1"/>
    <xf numFmtId="0" fontId="8" fillId="23" borderId="4" xfId="0" applyFont="1" applyFill="1" applyBorder="1"/>
    <xf numFmtId="0" fontId="8" fillId="23" borderId="8" xfId="0" applyFont="1" applyFill="1" applyBorder="1"/>
    <xf numFmtId="165" fontId="0" fillId="23" borderId="0" xfId="0" applyNumberFormat="1" applyFill="1" applyBorder="1"/>
    <xf numFmtId="0" fontId="6" fillId="27" borderId="0" xfId="2" applyFont="1" applyFill="1" applyBorder="1" applyAlignment="1" applyProtection="1"/>
    <xf numFmtId="165" fontId="0" fillId="23" borderId="10" xfId="0" applyNumberFormat="1" applyFill="1" applyBorder="1"/>
    <xf numFmtId="0" fontId="0" fillId="23" borderId="6" xfId="0" applyFill="1" applyBorder="1"/>
    <xf numFmtId="165" fontId="0" fillId="23" borderId="6" xfId="0" applyNumberFormat="1" applyFill="1" applyBorder="1"/>
    <xf numFmtId="0" fontId="0" fillId="23" borderId="3" xfId="0" applyFill="1" applyBorder="1"/>
    <xf numFmtId="0" fontId="0" fillId="23" borderId="3" xfId="0" applyFont="1" applyFill="1" applyBorder="1"/>
    <xf numFmtId="0" fontId="0" fillId="24" borderId="2" xfId="2" applyFont="1" applyFill="1" applyBorder="1" applyAlignment="1" applyProtection="1"/>
    <xf numFmtId="0" fontId="22" fillId="24" borderId="0" xfId="2" applyFont="1" applyFill="1" applyBorder="1" applyAlignment="1" applyProtection="1"/>
    <xf numFmtId="2" fontId="22" fillId="24" borderId="0" xfId="2" applyNumberFormat="1" applyFont="1" applyFill="1" applyBorder="1" applyAlignment="1" applyProtection="1"/>
    <xf numFmtId="0" fontId="0" fillId="24" borderId="11" xfId="2" applyFont="1" applyFill="1" applyBorder="1" applyAlignment="1" applyProtection="1"/>
    <xf numFmtId="0" fontId="27" fillId="28" borderId="0" xfId="9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30" borderId="0" xfId="0" applyFill="1"/>
    <xf numFmtId="11" fontId="0" fillId="30" borderId="0" xfId="0" applyNumberFormat="1" applyFill="1"/>
    <xf numFmtId="0" fontId="28" fillId="29" borderId="0" xfId="10"/>
    <xf numFmtId="11" fontId="28" fillId="29" borderId="0" xfId="10" applyNumberFormat="1" applyAlignment="1">
      <alignment horizontal="right"/>
    </xf>
    <xf numFmtId="11" fontId="28" fillId="29" borderId="0" xfId="10" applyNumberFormat="1"/>
    <xf numFmtId="165" fontId="28" fillId="29" borderId="0" xfId="10" applyNumberFormat="1" applyAlignment="1">
      <alignment horizontal="right"/>
    </xf>
    <xf numFmtId="2" fontId="28" fillId="29" borderId="0" xfId="10" applyNumberFormat="1" applyAlignment="1">
      <alignment horizontal="right"/>
    </xf>
    <xf numFmtId="1" fontId="28" fillId="29" borderId="0" xfId="10" applyNumberFormat="1" applyAlignment="1">
      <alignment horizontal="right"/>
    </xf>
    <xf numFmtId="0" fontId="28" fillId="29" borderId="0" xfId="10" applyAlignment="1">
      <alignment horizontal="right"/>
    </xf>
    <xf numFmtId="0" fontId="1" fillId="31" borderId="0" xfId="12" applyFont="1"/>
    <xf numFmtId="0" fontId="29" fillId="30" borderId="0" xfId="12" applyFont="1" applyFill="1"/>
    <xf numFmtId="0" fontId="1" fillId="31" borderId="0" xfId="12"/>
    <xf numFmtId="0" fontId="0" fillId="0" borderId="0" xfId="0" quotePrefix="1"/>
    <xf numFmtId="43" fontId="0" fillId="24" borderId="27" xfId="11" applyFont="1" applyFill="1" applyBorder="1" applyAlignment="1" applyProtection="1"/>
    <xf numFmtId="43" fontId="22" fillId="24" borderId="28" xfId="11" applyFont="1" applyFill="1" applyBorder="1" applyAlignment="1" applyProtection="1"/>
    <xf numFmtId="43" fontId="0" fillId="24" borderId="28" xfId="11" applyFont="1" applyFill="1" applyBorder="1" applyAlignment="1" applyProtection="1">
      <alignment horizontal="right"/>
    </xf>
    <xf numFmtId="165" fontId="22" fillId="24" borderId="28" xfId="11" applyNumberFormat="1" applyFont="1" applyFill="1" applyBorder="1" applyAlignment="1" applyProtection="1">
      <alignment horizontal="center"/>
    </xf>
    <xf numFmtId="0" fontId="22" fillId="24" borderId="29" xfId="11" applyNumberFormat="1" applyFont="1" applyFill="1" applyBorder="1" applyAlignment="1" applyProtection="1"/>
    <xf numFmtId="0" fontId="0" fillId="23" borderId="30" xfId="0" applyFill="1" applyBorder="1"/>
    <xf numFmtId="0" fontId="8" fillId="23" borderId="31" xfId="0" applyFont="1" applyFill="1" applyBorder="1"/>
    <xf numFmtId="0" fontId="0" fillId="23" borderId="32" xfId="0" applyFill="1" applyBorder="1"/>
    <xf numFmtId="0" fontId="0" fillId="23" borderId="33" xfId="0" applyFill="1" applyBorder="1"/>
    <xf numFmtId="0" fontId="0" fillId="23" borderId="34" xfId="0" applyFill="1" applyBorder="1"/>
    <xf numFmtId="0" fontId="0" fillId="23" borderId="35" xfId="0" applyFont="1" applyFill="1" applyBorder="1"/>
    <xf numFmtId="0" fontId="0" fillId="23" borderId="35" xfId="0" applyFill="1" applyBorder="1"/>
    <xf numFmtId="165" fontId="0" fillId="23" borderId="35" xfId="0" applyNumberFormat="1" applyFill="1" applyBorder="1"/>
    <xf numFmtId="0" fontId="0" fillId="23" borderId="36" xfId="0" applyFill="1" applyBorder="1"/>
    <xf numFmtId="0" fontId="22" fillId="7" borderId="0" xfId="2" applyNumberFormat="1" applyFont="1" applyFill="1" applyBorder="1" applyAlignment="1" applyProtection="1"/>
    <xf numFmtId="2" fontId="0" fillId="11" borderId="6" xfId="0" applyNumberFormat="1" applyFill="1" applyBorder="1"/>
    <xf numFmtId="0" fontId="0" fillId="30" borderId="0" xfId="0" applyFill="1" applyBorder="1"/>
    <xf numFmtId="2" fontId="0" fillId="11" borderId="6" xfId="0" applyNumberFormat="1" applyFill="1" applyBorder="1"/>
    <xf numFmtId="11" fontId="24" fillId="17" borderId="22" xfId="4" applyNumberFormat="1" applyAlignment="1">
      <alignment horizontal="right"/>
    </xf>
    <xf numFmtId="165" fontId="24" fillId="17" borderId="22" xfId="4" applyNumberFormat="1" applyAlignment="1">
      <alignment horizontal="right"/>
    </xf>
    <xf numFmtId="2" fontId="24" fillId="17" borderId="22" xfId="4" applyNumberFormat="1" applyAlignment="1">
      <alignment horizontal="right"/>
    </xf>
    <xf numFmtId="1" fontId="24" fillId="17" borderId="22" xfId="4" applyNumberFormat="1" applyAlignment="1">
      <alignment horizontal="right"/>
    </xf>
    <xf numFmtId="11" fontId="24" fillId="17" borderId="22" xfId="4" applyNumberFormat="1"/>
    <xf numFmtId="0" fontId="24" fillId="17" borderId="22" xfId="4" applyAlignment="1">
      <alignment horizontal="right"/>
    </xf>
    <xf numFmtId="0" fontId="0" fillId="32" borderId="0" xfId="0" applyFill="1"/>
    <xf numFmtId="0" fontId="28" fillId="32" borderId="0" xfId="10" applyFill="1"/>
    <xf numFmtId="11" fontId="28" fillId="32" borderId="0" xfId="10" applyNumberFormat="1" applyFill="1" applyAlignment="1">
      <alignment horizontal="right"/>
    </xf>
    <xf numFmtId="11" fontId="28" fillId="32" borderId="0" xfId="10" applyNumberFormat="1" applyFill="1"/>
    <xf numFmtId="11" fontId="0" fillId="32" borderId="0" xfId="0" applyNumberFormat="1" applyFill="1"/>
    <xf numFmtId="165" fontId="28" fillId="32" borderId="0" xfId="10" applyNumberFormat="1" applyFill="1" applyAlignment="1">
      <alignment horizontal="right"/>
    </xf>
    <xf numFmtId="2" fontId="28" fillId="32" borderId="0" xfId="10" applyNumberFormat="1" applyFill="1" applyAlignment="1">
      <alignment horizontal="right"/>
    </xf>
    <xf numFmtId="1" fontId="28" fillId="32" borderId="0" xfId="10" applyNumberFormat="1" applyFill="1" applyAlignment="1">
      <alignment horizontal="right"/>
    </xf>
    <xf numFmtId="0" fontId="28" fillId="32" borderId="0" xfId="10" applyFill="1" applyAlignment="1">
      <alignment horizontal="right"/>
    </xf>
    <xf numFmtId="2" fontId="0" fillId="11" borderId="3" xfId="0" applyNumberFormat="1" applyFont="1" applyFill="1" applyBorder="1"/>
    <xf numFmtId="2" fontId="0" fillId="11" borderId="6" xfId="0" applyNumberFormat="1" applyFill="1" applyBorder="1"/>
    <xf numFmtId="2" fontId="0" fillId="11" borderId="11" xfId="0" applyNumberFormat="1" applyFont="1" applyFill="1" applyBorder="1"/>
    <xf numFmtId="2" fontId="0" fillId="11" borderId="2" xfId="0" applyNumberFormat="1" applyFont="1" applyFill="1" applyBorder="1"/>
    <xf numFmtId="0" fontId="5" fillId="6" borderId="0" xfId="2" applyFont="1" applyFill="1" applyBorder="1" applyAlignment="1" applyProtection="1">
      <alignment horizontal="center"/>
    </xf>
    <xf numFmtId="2" fontId="0" fillId="11" borderId="6" xfId="0" applyNumberFormat="1" applyFont="1" applyFill="1" applyBorder="1"/>
    <xf numFmtId="2" fontId="0" fillId="22" borderId="3" xfId="0" applyNumberFormat="1" applyFont="1" applyFill="1" applyBorder="1"/>
    <xf numFmtId="2" fontId="26" fillId="25" borderId="24" xfId="0" applyNumberFormat="1" applyFont="1" applyFill="1" applyBorder="1" applyAlignment="1">
      <alignment horizontal="center"/>
    </xf>
    <xf numFmtId="2" fontId="26" fillId="25" borderId="25" xfId="0" applyNumberFormat="1" applyFont="1" applyFill="1" applyBorder="1" applyAlignment="1">
      <alignment horizontal="center"/>
    </xf>
    <xf numFmtId="2" fontId="26" fillId="25" borderId="26" xfId="0" applyNumberFormat="1" applyFont="1" applyFill="1" applyBorder="1" applyAlignment="1">
      <alignment horizontal="center"/>
    </xf>
    <xf numFmtId="0" fontId="0" fillId="26" borderId="24" xfId="0" applyFill="1" applyBorder="1" applyAlignment="1">
      <alignment horizontal="center"/>
    </xf>
    <xf numFmtId="0" fontId="0" fillId="26" borderId="25" xfId="0" applyFill="1" applyBorder="1" applyAlignment="1">
      <alignment horizontal="center"/>
    </xf>
    <xf numFmtId="0" fontId="0" fillId="26" borderId="26" xfId="0" applyFill="1" applyBorder="1" applyAlignment="1">
      <alignment horizontal="center"/>
    </xf>
  </cellXfs>
  <cellStyles count="13">
    <cellStyle name="20% - Accent1" xfId="6" builtinId="30"/>
    <cellStyle name="20% - Accent2" xfId="12" builtinId="34"/>
    <cellStyle name="40% - Accent1 2" xfId="8"/>
    <cellStyle name="Calculation" xfId="4" builtinId="22"/>
    <cellStyle name="Check Cell" xfId="5" builtinId="23"/>
    <cellStyle name="Comma" xfId="11" builtinId="3"/>
    <cellStyle name="Good" xfId="9" builtinId="26"/>
    <cellStyle name="Heading 1" xfId="3" builtinId="16"/>
    <cellStyle name="Neutral" xfId="10" builtinId="28"/>
    <cellStyle name="Normal" xfId="0" builtinId="0"/>
    <cellStyle name="Normal 2" xfId="7"/>
    <cellStyle name="Percent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5B3D7"/>
      <rgbColor rgb="FFC0504D"/>
      <rgbColor rgb="FFF2F2F2"/>
      <rgbColor rgb="FFDCE6F2"/>
      <rgbColor rgb="FF660066"/>
      <rgbColor rgb="FFA5A5A5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C3D69B"/>
      <rgbColor rgb="FFA7C0DE"/>
      <rgbColor rgb="FFB7B7B7"/>
      <rgbColor rgb="FFCCC1DA"/>
      <rgbColor rgb="FFFFCC99"/>
      <rgbColor rgb="FF4F81BD"/>
      <rgbColor rgb="FF33CCCC"/>
      <rgbColor rgb="FF9BBB59"/>
      <rgbColor rgb="FFFFCC00"/>
      <rgbColor rgb="FFFF9900"/>
      <rgbColor rgb="FFFA7D00"/>
      <rgbColor rgb="FF8064A2"/>
      <rgbColor rgb="FF878787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nl-BE" b="1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'Tabula data'!$B$3</c:f>
              <c:strCache>
                <c:ptCount val="1"/>
                <c:pt idx="0">
                  <c:v>Tabula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('Tabula data'!$A$4:$A$7,'Tabula data'!$A$10,'Tabula data'!$A$14:$A$20,'Tabula data'!$A$25)</c:f>
              <c:strCache>
                <c:ptCount val="13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Area Common wall</c:v>
                </c:pt>
                <c:pt idx="11">
                  <c:v>Doors</c:v>
                </c:pt>
                <c:pt idx="12">
                  <c:v>Total windows</c:v>
                </c:pt>
              </c:strCache>
            </c:strRef>
          </c:cat>
          <c:val>
            <c:numRef>
              <c:f>('Tabula data'!$B$4:$B$7,'Tabula data'!$B$10,'Tabula data'!$B$14:$B$20,'Tabula data'!$B$25)</c:f>
              <c:numCache>
                <c:formatCode>General</c:formatCode>
                <c:ptCount val="13"/>
                <c:pt idx="0">
                  <c:v>225.9</c:v>
                </c:pt>
                <c:pt idx="1">
                  <c:v>621.29999999999995</c:v>
                </c:pt>
                <c:pt idx="2">
                  <c:v>323</c:v>
                </c:pt>
                <c:pt idx="3">
                  <c:v>90</c:v>
                </c:pt>
                <c:pt idx="4" formatCode="0.0">
                  <c:v>116.3</c:v>
                </c:pt>
                <c:pt idx="5">
                  <c:v>75.699999999999989</c:v>
                </c:pt>
                <c:pt idx="6">
                  <c:v>3</c:v>
                </c:pt>
                <c:pt idx="7">
                  <c:v>2.7503320053120848</c:v>
                </c:pt>
                <c:pt idx="8">
                  <c:v>7.0476339932399812</c:v>
                </c:pt>
                <c:pt idx="9">
                  <c:v>10.741193437770841</c:v>
                </c:pt>
                <c:pt idx="10">
                  <c:v>177.25108852289571</c:v>
                </c:pt>
                <c:pt idx="11">
                  <c:v>9.5</c:v>
                </c:pt>
                <c:pt idx="12">
                  <c:v>31.5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'Tabula data'!$D$3</c:f>
              <c:strCache>
                <c:ptCount val="1"/>
                <c:pt idx="0">
                  <c:v>Allacker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('Tabula data'!$A$4:$A$7,'Tabula data'!$A$10,'Tabula data'!$A$14:$A$20,'Tabula data'!$A$25)</c:f>
              <c:strCache>
                <c:ptCount val="13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Area Common wall</c:v>
                </c:pt>
                <c:pt idx="11">
                  <c:v>Doors</c:v>
                </c:pt>
                <c:pt idx="12">
                  <c:v>Total windows</c:v>
                </c:pt>
              </c:strCache>
            </c:strRef>
          </c:cat>
          <c:val>
            <c:numRef>
              <c:f>('Tabula data'!$D$4:$D$7,'Tabula data'!$D$10,'Tabula data'!$D$14:$D$20,'Tabula data'!$D$25)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41504"/>
        <c:axId val="199543040"/>
      </c:barChart>
      <c:catAx>
        <c:axId val="19954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543040"/>
        <c:crossesAt val="0"/>
        <c:auto val="1"/>
        <c:lblAlgn val="ctr"/>
        <c:lblOffset val="100"/>
        <c:noMultiLvlLbl val="1"/>
      </c:catAx>
      <c:valAx>
        <c:axId val="19954304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crossAx val="199541504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2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3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4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5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6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7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5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7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9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1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3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7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455760</xdr:colOff>
      <xdr:row>9</xdr:row>
      <xdr:rowOff>181440</xdr:rowOff>
    </xdr:from>
    <xdr:to>
      <xdr:col>22</xdr:col>
      <xdr:colOff>112680</xdr:colOff>
      <xdr:row>31</xdr:row>
      <xdr:rowOff>142920</xdr:rowOff>
    </xdr:to>
    <xdr:graphicFrame macro="">
      <xdr:nvGraphicFramePr>
        <xdr:cNvPr id="4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9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9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3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bouweigenschappen%20SFH_T_2_2z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bouwgegevens Tabula"/>
      <sheetName val="Gebouwgegevens Allacker"/>
      <sheetName val="Tabula data"/>
      <sheetName val="Verwarming Allacker"/>
      <sheetName val="Verwarming Tabula"/>
      <sheetName val="Gebouwgegevens Tabula 2zone"/>
      <sheetName val="Tabula Ref1"/>
      <sheetName val="Tabula Ref2"/>
      <sheetName val="Tabula RefULG 1"/>
      <sheetName val="Tabula RefULG 2"/>
      <sheetName val="Verwarming Tabula 2zone"/>
      <sheetName val="Verwarming Tabula 2zone Ref1"/>
      <sheetName val="Verwarming Tabula 2zone Ref2"/>
      <sheetName val="Verwarming Tabula 2zone RefULG1"/>
      <sheetName val="Verwarming Tabula 2zone RefULG2"/>
      <sheetName val="PropertiesGB_Theoretical"/>
      <sheetName val="Sheet8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0">
          <cell r="B60">
            <v>11.344985915492959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51"/>
  <sheetViews>
    <sheetView zoomScale="90" zoomScaleNormal="90" workbookViewId="0">
      <selection activeCell="B7" sqref="B7"/>
    </sheetView>
  </sheetViews>
  <sheetFormatPr defaultRowHeight="15" x14ac:dyDescent="0.25"/>
  <cols>
    <col min="1" max="1" width="20.5703125"/>
    <col min="2" max="2" width="12.28515625"/>
    <col min="4" max="4" width="22.140625"/>
    <col min="6" max="6" width="7.140625"/>
    <col min="7" max="7" width="5.5703125"/>
    <col min="8" max="8" width="7.7109375"/>
    <col min="9" max="9" width="9.140625" style="1"/>
    <col min="11" max="11" width="10.42578125" style="2"/>
    <col min="12" max="12" width="8" style="2"/>
    <col min="13" max="13" width="16.85546875" style="2"/>
    <col min="14" max="14" width="12.5703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</cols>
  <sheetData>
    <row r="1" spans="1:33" ht="20.25" customHeight="1" x14ac:dyDescent="0.25">
      <c r="A1" s="292" t="s">
        <v>0</v>
      </c>
      <c r="B1" s="292"/>
      <c r="C1" s="292"/>
      <c r="D1" s="292"/>
      <c r="E1" s="292"/>
      <c r="F1" s="292"/>
      <c r="G1" s="292"/>
    </row>
    <row r="3" spans="1:33" x14ac:dyDescent="0.25">
      <c r="A3" s="289" t="s">
        <v>1</v>
      </c>
      <c r="B3" s="289"/>
      <c r="C3" s="289"/>
      <c r="D3" s="289"/>
      <c r="E3" s="289"/>
      <c r="F3" s="289"/>
      <c r="G3" s="289"/>
      <c r="H3" s="289"/>
      <c r="J3" s="289" t="s">
        <v>2</v>
      </c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4"/>
      <c r="V3" s="289" t="s">
        <v>3</v>
      </c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</row>
    <row r="4" spans="1:33" ht="15.75" customHeight="1" x14ac:dyDescent="0.25">
      <c r="Y4" s="5" t="s">
        <v>4</v>
      </c>
      <c r="Z4" s="5">
        <v>1.7</v>
      </c>
      <c r="AA4" s="5" t="s">
        <v>5</v>
      </c>
    </row>
    <row r="5" spans="1:33" ht="15" customHeight="1" x14ac:dyDescent="0.25">
      <c r="A5" s="6" t="s">
        <v>6</v>
      </c>
      <c r="B5" s="7">
        <v>766</v>
      </c>
      <c r="C5" s="7" t="s">
        <v>7</v>
      </c>
      <c r="D5" s="6" t="s">
        <v>8</v>
      </c>
      <c r="E5" s="7"/>
      <c r="F5" s="7"/>
      <c r="G5" s="8">
        <f>SUM(H7:H14)</f>
        <v>41.199999999999996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33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'Tabula data'!B10*0.55/2</f>
        <v>31.982500000000002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70.432953721166399</v>
      </c>
      <c r="R6" s="30">
        <f t="shared" ref="R6:R28" si="2">VLOOKUP(M6,$W$5:$AD$391,8,0)*N6</f>
        <v>14388287.100000001</v>
      </c>
      <c r="S6" s="30">
        <f t="shared" ref="S6:S28" si="3">R6/N6</f>
        <v>449880</v>
      </c>
      <c r="T6" s="30">
        <f t="shared" ref="T6:T28" si="4">VLOOKUP(M6,$W$5:$AF$391,10,0)*N6</f>
        <v>14388287.100000001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</row>
    <row r="7" spans="1:33" ht="15" customHeight="1" x14ac:dyDescent="0.25">
      <c r="A7" s="6" t="s">
        <v>34</v>
      </c>
      <c r="B7" s="35">
        <v>279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0.26213592233009714</v>
      </c>
      <c r="G7" s="24" t="s">
        <v>37</v>
      </c>
      <c r="H7" s="39">
        <v>10.8</v>
      </c>
      <c r="J7" t="s">
        <v>38</v>
      </c>
      <c r="K7" s="40">
        <v>0</v>
      </c>
      <c r="L7" s="41">
        <v>1</v>
      </c>
      <c r="M7" s="41" t="s">
        <v>25</v>
      </c>
      <c r="N7" s="42">
        <f>'Tabula data'!B10*0.45*0.5</f>
        <v>26.1675</v>
      </c>
      <c r="O7" s="43" t="s">
        <v>39</v>
      </c>
      <c r="P7" s="30">
        <f t="shared" si="0"/>
        <v>2.2022341505875525</v>
      </c>
      <c r="Q7" s="30">
        <f t="shared" si="1"/>
        <v>57.626962135499781</v>
      </c>
      <c r="R7" s="30">
        <f t="shared" si="2"/>
        <v>11772234.9</v>
      </c>
      <c r="S7" s="30">
        <f t="shared" si="3"/>
        <v>449880</v>
      </c>
      <c r="T7" s="30">
        <f t="shared" si="4"/>
        <v>11772234.9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</row>
    <row r="8" spans="1:33" ht="15" customHeight="1" x14ac:dyDescent="0.25">
      <c r="A8" s="45" t="s">
        <v>42</v>
      </c>
      <c r="B8" s="46">
        <f>B7-B9</f>
        <v>167.39999999999998</v>
      </c>
      <c r="C8" s="47" t="s">
        <v>9</v>
      </c>
      <c r="D8" s="37" t="s">
        <v>43</v>
      </c>
      <c r="E8" s="24" t="s">
        <v>36</v>
      </c>
      <c r="F8" s="38">
        <f t="shared" si="5"/>
        <v>0.22572815533980586</v>
      </c>
      <c r="G8" s="24" t="s">
        <v>37</v>
      </c>
      <c r="H8" s="39">
        <v>9.3000000000000007</v>
      </c>
      <c r="J8" t="s">
        <v>44</v>
      </c>
      <c r="K8" s="40">
        <v>0</v>
      </c>
      <c r="L8" s="41">
        <v>1</v>
      </c>
      <c r="M8" s="41" t="s">
        <v>25</v>
      </c>
      <c r="N8" s="42">
        <f>N6</f>
        <v>31.982500000000002</v>
      </c>
      <c r="O8" s="43" t="s">
        <v>45</v>
      </c>
      <c r="P8" s="30">
        <f t="shared" si="0"/>
        <v>2.2022341505875525</v>
      </c>
      <c r="Q8" s="30">
        <f t="shared" si="1"/>
        <v>70.432953721166399</v>
      </c>
      <c r="R8" s="30">
        <f t="shared" si="2"/>
        <v>14388287.100000001</v>
      </c>
      <c r="S8" s="30">
        <f t="shared" si="3"/>
        <v>449880</v>
      </c>
      <c r="T8" s="30">
        <f t="shared" si="4"/>
        <v>14388287.100000001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33" ht="15" customHeight="1" x14ac:dyDescent="0.25">
      <c r="A9" s="48" t="s">
        <v>47</v>
      </c>
      <c r="B9" s="49">
        <f>0.4*B7</f>
        <v>111.60000000000001</v>
      </c>
      <c r="C9" s="24"/>
      <c r="D9" s="37" t="s">
        <v>48</v>
      </c>
      <c r="E9" s="24" t="s">
        <v>36</v>
      </c>
      <c r="F9" s="38">
        <f t="shared" si="5"/>
        <v>0.29611650485436897</v>
      </c>
      <c r="G9" s="24" t="s">
        <v>37</v>
      </c>
      <c r="H9" s="39">
        <v>12.2</v>
      </c>
      <c r="J9" t="s">
        <v>49</v>
      </c>
      <c r="K9" s="40">
        <v>0</v>
      </c>
      <c r="L9" s="41">
        <v>1</v>
      </c>
      <c r="M9" s="41" t="s">
        <v>25</v>
      </c>
      <c r="N9" s="42">
        <f>N7</f>
        <v>26.1675</v>
      </c>
      <c r="O9" s="43" t="s">
        <v>50</v>
      </c>
      <c r="P9" s="30">
        <f t="shared" si="0"/>
        <v>2.2022341505875525</v>
      </c>
      <c r="Q9" s="30">
        <f t="shared" si="1"/>
        <v>57.626962135499781</v>
      </c>
      <c r="R9" s="30">
        <f t="shared" si="2"/>
        <v>11772234.9</v>
      </c>
      <c r="S9" s="30">
        <f t="shared" si="3"/>
        <v>449880</v>
      </c>
      <c r="T9" s="30">
        <f t="shared" si="4"/>
        <v>11772234.9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33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0.2160194174757282</v>
      </c>
      <c r="G10" s="24" t="s">
        <v>37</v>
      </c>
      <c r="H10" s="39">
        <v>8.9</v>
      </c>
      <c r="J10" t="s">
        <v>53</v>
      </c>
      <c r="K10" s="40">
        <v>0</v>
      </c>
      <c r="L10" s="41">
        <v>1</v>
      </c>
      <c r="M10" s="41" t="s">
        <v>54</v>
      </c>
      <c r="N10" s="42">
        <f>H7</f>
        <v>10.8</v>
      </c>
      <c r="O10" s="43" t="s">
        <v>26</v>
      </c>
      <c r="P10" s="30">
        <f t="shared" si="0"/>
        <v>5</v>
      </c>
      <c r="Q10" s="30">
        <f t="shared" si="1"/>
        <v>54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33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9.3000000000000007</v>
      </c>
      <c r="O11" s="43" t="s">
        <v>39</v>
      </c>
      <c r="P11" s="30">
        <f t="shared" si="0"/>
        <v>5</v>
      </c>
      <c r="Q11" s="30">
        <f t="shared" si="1"/>
        <v>46.5</v>
      </c>
      <c r="R11" s="30">
        <f t="shared" si="2"/>
        <v>0</v>
      </c>
      <c r="S11" s="30">
        <f t="shared" si="3"/>
        <v>0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33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</v>
      </c>
      <c r="G12" s="24"/>
      <c r="H12" s="52">
        <v>0</v>
      </c>
      <c r="J12" t="s">
        <v>59</v>
      </c>
      <c r="K12" s="40">
        <v>0</v>
      </c>
      <c r="L12" s="41">
        <v>1</v>
      </c>
      <c r="M12" s="41" t="s">
        <v>54</v>
      </c>
      <c r="N12" s="42">
        <f>H9</f>
        <v>12.2</v>
      </c>
      <c r="O12" s="43" t="s">
        <v>45</v>
      </c>
      <c r="P12" s="30">
        <f t="shared" si="0"/>
        <v>5</v>
      </c>
      <c r="Q12" s="30">
        <f t="shared" si="1"/>
        <v>61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33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f>H10</f>
        <v>8.9</v>
      </c>
      <c r="O13" s="43" t="s">
        <v>50</v>
      </c>
      <c r="P13" s="30">
        <f t="shared" si="0"/>
        <v>5</v>
      </c>
      <c r="Q13" s="30">
        <f t="shared" si="1"/>
        <v>44.5</v>
      </c>
      <c r="R13" s="30">
        <f t="shared" si="2"/>
        <v>0</v>
      </c>
      <c r="S13" s="30">
        <f t="shared" si="3"/>
        <v>0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33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'Tabula data'!B14</f>
        <v>75.699999999999989</v>
      </c>
      <c r="O14" s="43"/>
      <c r="P14" s="30">
        <f t="shared" si="0"/>
        <v>2.5990099009900991</v>
      </c>
      <c r="Q14" s="30">
        <f t="shared" si="1"/>
        <v>196.74504950495046</v>
      </c>
      <c r="R14" s="30">
        <f t="shared" si="2"/>
        <v>34038353.599999994</v>
      </c>
      <c r="S14" s="30">
        <f t="shared" si="3"/>
        <v>449648</v>
      </c>
      <c r="T14" s="30">
        <f t="shared" si="4"/>
        <v>34038353.599999994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SUM(AD17:AD19)</f>
        <v>449880</v>
      </c>
      <c r="AG14" s="14"/>
    </row>
    <row r="15" spans="1:33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f>'Tabula data'!B7</f>
        <v>90</v>
      </c>
      <c r="O15" s="43"/>
      <c r="P15" s="30">
        <f t="shared" si="0"/>
        <v>1.6975498473547073</v>
      </c>
      <c r="Q15" s="30">
        <f t="shared" si="1"/>
        <v>152.77948626192367</v>
      </c>
      <c r="R15" s="30">
        <f t="shared" si="2"/>
        <v>7013700</v>
      </c>
      <c r="S15" s="30">
        <f t="shared" si="3"/>
        <v>77930</v>
      </c>
      <c r="T15" s="30">
        <f t="shared" si="4"/>
        <v>3800700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33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'Tabula data'!B20</f>
        <v>9.5</v>
      </c>
      <c r="O16" s="43"/>
      <c r="P16" s="30">
        <f t="shared" si="0"/>
        <v>4</v>
      </c>
      <c r="Q16" s="30">
        <f t="shared" si="1"/>
        <v>38</v>
      </c>
      <c r="R16" s="30">
        <f t="shared" si="2"/>
        <v>346940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1.2783711615487316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v>0</v>
      </c>
      <c r="C18" s="7" t="s">
        <v>9</v>
      </c>
      <c r="D18" s="37" t="s">
        <v>74</v>
      </c>
      <c r="E18" s="24"/>
      <c r="F18" s="58">
        <f>B27/B24</f>
        <v>2.1476702508960575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v>0</v>
      </c>
      <c r="O18" s="43" t="s">
        <v>39</v>
      </c>
      <c r="P18" s="30">
        <f t="shared" si="0"/>
        <v>2.2022341505875525</v>
      </c>
      <c r="Q18" s="30">
        <f t="shared" si="1"/>
        <v>0</v>
      </c>
      <c r="R18" s="30">
        <f t="shared" si="2"/>
        <v>0</v>
      </c>
      <c r="S18" s="30" t="e">
        <f t="shared" si="3"/>
        <v>#DIV/0!</v>
      </c>
      <c r="T18" s="30">
        <f t="shared" si="4"/>
        <v>0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v>0</v>
      </c>
      <c r="C19" s="24"/>
      <c r="D19" s="37" t="s">
        <v>78</v>
      </c>
      <c r="E19" s="24"/>
      <c r="F19" s="58">
        <f>B27/B7</f>
        <v>2.1476702508960575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0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v>0</v>
      </c>
      <c r="O20" s="43" t="s">
        <v>50</v>
      </c>
      <c r="P20" s="30">
        <f t="shared" si="0"/>
        <v>2.2022341505875525</v>
      </c>
      <c r="Q20" s="30">
        <f t="shared" si="1"/>
        <v>0</v>
      </c>
      <c r="R20" s="30">
        <f t="shared" si="2"/>
        <v>0</v>
      </c>
      <c r="S20" s="30" t="e">
        <f t="shared" si="3"/>
        <v>#DIV/0!</v>
      </c>
      <c r="T20" s="30">
        <f t="shared" si="4"/>
        <v>0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0.14767025089605734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SUM(AD23:AD25)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0.14767025089605734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0</v>
      </c>
      <c r="O22" s="43" t="s">
        <v>39</v>
      </c>
      <c r="P22" s="30">
        <f t="shared" si="0"/>
        <v>5</v>
      </c>
      <c r="Q22" s="30">
        <f t="shared" si="1"/>
        <v>0</v>
      </c>
      <c r="R22" s="30">
        <f t="shared" si="2"/>
        <v>0</v>
      </c>
      <c r="S22" s="30" t="e">
        <f t="shared" si="3"/>
        <v>#DIV/0!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6.875834445927903E-2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279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</v>
      </c>
      <c r="C25" s="24"/>
      <c r="D25" s="23" t="s">
        <v>95</v>
      </c>
      <c r="E25" s="24"/>
      <c r="F25" s="63">
        <f>B9/B7</f>
        <v>0.4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v>0</v>
      </c>
      <c r="O25" s="43" t="s">
        <v>97</v>
      </c>
      <c r="P25" s="30">
        <f t="shared" si="0"/>
        <v>1.6975498473547073</v>
      </c>
      <c r="Q25" s="30">
        <f t="shared" si="1"/>
        <v>0</v>
      </c>
      <c r="R25" s="30">
        <f t="shared" si="2"/>
        <v>0</v>
      </c>
      <c r="S25" s="30" t="e">
        <f t="shared" si="3"/>
        <v>#DIV/0!</v>
      </c>
      <c r="T25" s="30">
        <f t="shared" si="4"/>
        <v>0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'Tabula data'!B4-'Tabula data'!B14</f>
        <v>150.20000000000002</v>
      </c>
      <c r="O26" s="43"/>
      <c r="P26" s="30">
        <f t="shared" si="0"/>
        <v>2.0224719101123596</v>
      </c>
      <c r="Q26" s="30">
        <f t="shared" si="1"/>
        <v>303.77528089887647</v>
      </c>
      <c r="R26" s="30">
        <f t="shared" si="2"/>
        <v>25280162.000000004</v>
      </c>
      <c r="S26" s="30">
        <f t="shared" si="3"/>
        <v>168310</v>
      </c>
      <c r="T26" s="30">
        <f t="shared" si="4"/>
        <v>25280162.000000004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v>599.20000000000005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SUM(N6:N9)</f>
        <v>116.30000000000001</v>
      </c>
      <c r="O27" s="43"/>
      <c r="P27" s="30">
        <f t="shared" si="0"/>
        <v>1.9926199261992623</v>
      </c>
      <c r="Q27" s="30">
        <f t="shared" si="1"/>
        <v>231.74169741697423</v>
      </c>
      <c r="R27" s="30">
        <f t="shared" si="2"/>
        <v>17486868</v>
      </c>
      <c r="S27" s="30">
        <f t="shared" si="3"/>
        <v>150359.99999999997</v>
      </c>
      <c r="T27" s="30">
        <f t="shared" si="4"/>
        <v>17486868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2.0224719101123596</v>
      </c>
      <c r="AA27" s="17" t="s">
        <v>5</v>
      </c>
      <c r="AB27" s="17"/>
      <c r="AC27" s="17" t="s">
        <v>22</v>
      </c>
      <c r="AD27" s="20">
        <f>SUM(AD29:AD33)</f>
        <v>168310</v>
      </c>
      <c r="AE27" s="14" t="s">
        <v>23</v>
      </c>
      <c r="AF27" s="14">
        <f>SUM(AD29:AD32)</f>
        <v>168310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v>0</v>
      </c>
      <c r="O28" s="43"/>
      <c r="P28" s="30">
        <f t="shared" si="0"/>
        <v>1.9926199261992623</v>
      </c>
      <c r="Q28" s="30">
        <f t="shared" si="1"/>
        <v>0</v>
      </c>
      <c r="R28" s="30">
        <f t="shared" si="2"/>
        <v>0</v>
      </c>
      <c r="S28" s="30" t="e">
        <f t="shared" si="3"/>
        <v>#DIV/0!</v>
      </c>
      <c r="T28" s="30">
        <f t="shared" si="4"/>
        <v>0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0.9</v>
      </c>
      <c r="AA29" s="47">
        <v>1950</v>
      </c>
      <c r="AB29" s="47">
        <v>840</v>
      </c>
      <c r="AC29" s="67">
        <f>Y29/Z29</f>
        <v>2.2222222222222223E-2</v>
      </c>
      <c r="AD29" s="68">
        <f>Y29*AA29*AB29</f>
        <v>32760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70">
        <f>SUM(Q4:Q28)</f>
        <v>1385.161345796057</v>
      </c>
      <c r="R31" s="69" t="s">
        <v>107</v>
      </c>
      <c r="W31" s="23"/>
      <c r="X31" s="24" t="s">
        <v>108</v>
      </c>
      <c r="Y31" s="24">
        <v>0.02</v>
      </c>
      <c r="Z31" s="24">
        <v>0.9</v>
      </c>
      <c r="AA31" s="24">
        <v>1950</v>
      </c>
      <c r="AB31" s="24">
        <v>840</v>
      </c>
      <c r="AC31" s="44">
        <f>Y31/Z31</f>
        <v>2.2222222222222223E-2</v>
      </c>
      <c r="AD31" s="25">
        <f>Y31*AA31*AB31</f>
        <v>32760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289" t="s">
        <v>112</v>
      </c>
      <c r="F34" s="289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3.2*G35</f>
        <v>535.67999999999995</v>
      </c>
      <c r="C35" s="73"/>
      <c r="D35" s="73" t="s">
        <v>42</v>
      </c>
      <c r="E35" s="290">
        <v>21</v>
      </c>
      <c r="F35" s="290"/>
      <c r="G35" s="76">
        <f>VLOOKUP(D35,A7:B23,2,0)</f>
        <v>167.39999999999998</v>
      </c>
      <c r="K35"/>
      <c r="L35"/>
      <c r="M35" t="s">
        <v>114</v>
      </c>
      <c r="N35" s="3">
        <f>SUM(Q6:Q9,Q15)</f>
        <v>408.89931797525605</v>
      </c>
      <c r="O35" s="3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2.2*G36</f>
        <v>245.52000000000004</v>
      </c>
      <c r="C36" s="73"/>
      <c r="D36" s="73" t="s">
        <v>116</v>
      </c>
      <c r="E36" s="77">
        <v>16</v>
      </c>
      <c r="F36" s="77"/>
      <c r="G36" s="76">
        <f>VLOOKUP(D36,A8:B24,2,0)</f>
        <v>111.60000000000001</v>
      </c>
      <c r="K36"/>
      <c r="L36"/>
      <c r="M36" t="s">
        <v>117</v>
      </c>
      <c r="N36" s="3">
        <f>SUM(Q10:Q13)</f>
        <v>206</v>
      </c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0</v>
      </c>
      <c r="C37" s="73"/>
      <c r="D37" s="73" t="s">
        <v>118</v>
      </c>
      <c r="E37" s="291" t="s">
        <v>119</v>
      </c>
      <c r="F37" s="291"/>
      <c r="G37" s="76">
        <f>B18</f>
        <v>0</v>
      </c>
      <c r="K37"/>
      <c r="L37"/>
      <c r="M37" t="s">
        <v>120</v>
      </c>
      <c r="N37" s="3">
        <f>'Verwarming Tabula'!B60</f>
        <v>138.03320000000002</v>
      </c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N38" s="3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 t="s">
        <v>122</v>
      </c>
      <c r="N39" s="3">
        <f>B5*1.204*1012*5/1000000</f>
        <v>4.6666558399999998</v>
      </c>
      <c r="O39" t="s">
        <v>123</v>
      </c>
      <c r="Q39"/>
      <c r="AE39" s="14"/>
      <c r="AF39" s="14"/>
      <c r="AG39" s="14"/>
    </row>
    <row r="40" spans="1:33" ht="15" customHeight="1" x14ac:dyDescent="0.25">
      <c r="K40"/>
      <c r="L40"/>
      <c r="M40" t="s">
        <v>124</v>
      </c>
      <c r="N40" s="3">
        <f>SUM(R6:R9,R15)/1000000</f>
        <v>59.334744000000001</v>
      </c>
      <c r="O40" t="s">
        <v>125</v>
      </c>
      <c r="P40" s="3">
        <f>SUM(T6:T9,T15)/1000000</f>
        <v>56.121744</v>
      </c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SUM(AD42:AD45)</f>
        <v>449648</v>
      </c>
      <c r="AG40" s="14"/>
    </row>
    <row r="41" spans="1:33" ht="15" customHeight="1" x14ac:dyDescent="0.25">
      <c r="K41"/>
      <c r="L41"/>
      <c r="M41" t="s">
        <v>126</v>
      </c>
      <c r="N41" s="3">
        <f>SUM(R26:R27)/1000000</f>
        <v>42.767029999999998</v>
      </c>
      <c r="O41" t="s">
        <v>125</v>
      </c>
      <c r="P41" s="3">
        <f>SUM(T26:T27)/1000000</f>
        <v>42.767029999999998</v>
      </c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 t="s">
        <v>127</v>
      </c>
      <c r="N42" s="3">
        <f>R14/1000000</f>
        <v>34.038353599999994</v>
      </c>
      <c r="P42" s="3">
        <f>T14/1000000</f>
        <v>34.038353599999994</v>
      </c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DH122"/>
  <sheetViews>
    <sheetView tabSelected="1" topLeftCell="Q1" zoomScale="70" zoomScaleNormal="70" workbookViewId="0">
      <selection activeCell="AP50" sqref="AP4:AP50"/>
    </sheetView>
  </sheetViews>
  <sheetFormatPr defaultRowHeight="16.5" thickTop="1" thickBottom="1" x14ac:dyDescent="0.3"/>
  <cols>
    <col min="1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2"/>
    <col min="19" max="21" width="9.140625" style="81"/>
    <col min="22" max="22" width="9.140625" style="1"/>
    <col min="23" max="34" width="9.140625" style="172" customWidth="1"/>
    <col min="35" max="35" width="9.140625" style="81" customWidth="1"/>
    <col min="36" max="37" width="9.140625" style="157" customWidth="1"/>
    <col min="38" max="38" width="9.140625" style="158" customWidth="1"/>
    <col min="39" max="39" width="10.28515625" style="158" customWidth="1"/>
    <col min="40" max="41" width="9.140625" style="81" customWidth="1"/>
    <col min="42" max="42" width="12.7109375" style="81" customWidth="1"/>
    <col min="43" max="43" width="12.7109375" style="81" hidden="1" customWidth="1"/>
    <col min="44" max="47" width="9.140625" style="81" hidden="1" customWidth="1"/>
    <col min="48" max="51" width="9.140625" style="160" hidden="1" customWidth="1"/>
    <col min="52" max="52" width="14.7109375" style="161" hidden="1" customWidth="1"/>
    <col min="53" max="53" width="9.140625" style="160" hidden="1" customWidth="1"/>
    <col min="54" max="54" width="9.140625" style="170" hidden="1" customWidth="1"/>
    <col min="55" max="67" width="9.140625" style="81" hidden="1" customWidth="1"/>
    <col min="68" max="68" width="15.42578125" style="81" hidden="1" customWidth="1"/>
    <col min="69" max="69" width="9.140625" style="81" hidden="1" customWidth="1"/>
    <col min="70" max="70" width="9.140625" style="170" hidden="1" customWidth="1"/>
    <col min="71" max="82" width="9.140625" style="81" hidden="1" customWidth="1"/>
    <col min="83" max="83" width="15" style="81" hidden="1" customWidth="1"/>
    <col min="84" max="85" width="9.140625" style="81" hidden="1" customWidth="1"/>
    <col min="86" max="86" width="9.140625" style="238" hidden="1" customWidth="1"/>
    <col min="87" max="92" width="9.140625" style="81" hidden="1" customWidth="1"/>
    <col min="93" max="99" width="9.140625" style="243" hidden="1" customWidth="1"/>
    <col min="100" max="100" width="0" style="81" hidden="1" customWidth="1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6" max="107" width="9.140625" style="81"/>
    <col min="108" max="112" width="9.140625" style="169"/>
    <col min="113" max="16384" width="9.140625" style="81"/>
  </cols>
  <sheetData>
    <row r="1" spans="2:112" ht="20.25" customHeight="1" thickTop="1" thickBot="1" x14ac:dyDescent="0.35">
      <c r="B1" s="292" t="s">
        <v>307</v>
      </c>
      <c r="C1" s="292"/>
      <c r="D1" s="292"/>
      <c r="E1" s="292"/>
      <c r="F1" s="292"/>
      <c r="G1" s="292"/>
      <c r="H1" s="292"/>
      <c r="AO1" s="159" t="s">
        <v>309</v>
      </c>
      <c r="BS1" s="81" t="s">
        <v>427</v>
      </c>
    </row>
    <row r="2" spans="2:112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</row>
    <row r="3" spans="2:112" thickTop="1" thickBot="1" x14ac:dyDescent="0.3">
      <c r="B3" s="296" t="s">
        <v>1</v>
      </c>
      <c r="C3" s="297"/>
      <c r="D3" s="297"/>
      <c r="E3" s="297"/>
      <c r="F3" s="297"/>
      <c r="G3" s="297"/>
      <c r="H3" s="297"/>
      <c r="I3" s="298"/>
      <c r="K3" s="289" t="s">
        <v>2</v>
      </c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4"/>
      <c r="W3" s="295" t="s">
        <v>3</v>
      </c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0.22</v>
      </c>
      <c r="CF3" s="167" t="s">
        <v>317</v>
      </c>
      <c r="CI3" s="81" t="s">
        <v>316</v>
      </c>
      <c r="CJ3" s="239">
        <f>AZ4</f>
        <v>9.673910950452673E-2</v>
      </c>
      <c r="CK3" s="239">
        <f>BP4</f>
        <v>0.18</v>
      </c>
      <c r="CL3" s="239">
        <f>CE3</f>
        <v>0.22</v>
      </c>
      <c r="CO3" s="243" t="s">
        <v>513</v>
      </c>
      <c r="CP3" s="243" t="s">
        <v>374</v>
      </c>
      <c r="CQ3" s="243" t="s">
        <v>441</v>
      </c>
      <c r="CW3" s="245" t="s">
        <v>459</v>
      </c>
      <c r="DD3" s="245" t="s">
        <v>514</v>
      </c>
    </row>
    <row r="4" spans="2:112" ht="15.75" customHeight="1" thickTop="1" thickBot="1" x14ac:dyDescent="0.3">
      <c r="B4" s="234" t="s">
        <v>6</v>
      </c>
      <c r="C4" s="235">
        <f>'Tabula data'!B5</f>
        <v>621.29999999999995</v>
      </c>
      <c r="D4" s="235" t="s">
        <v>7</v>
      </c>
      <c r="E4" s="234" t="s">
        <v>8</v>
      </c>
      <c r="F4" s="235"/>
      <c r="G4" s="235"/>
      <c r="H4" s="236">
        <f>SUM(I6:I13)</f>
        <v>31.5</v>
      </c>
      <c r="I4" s="237" t="s">
        <v>9</v>
      </c>
      <c r="L4" s="299" t="s">
        <v>432</v>
      </c>
      <c r="M4" s="300"/>
      <c r="N4" s="300"/>
      <c r="O4" s="300"/>
      <c r="P4" s="301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SUM(O6:O9)/(SUM($O$6:$O$14,$O$26,O30)+2*SUM($O$27))</f>
        <v>9.673910950452673E-2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9.673910950452673E-2</v>
      </c>
      <c r="BA4" s="167" t="s">
        <v>317</v>
      </c>
      <c r="BC4" s="81" t="s">
        <v>373</v>
      </c>
      <c r="BD4" s="81" t="s">
        <v>376</v>
      </c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0.45400000000000001</v>
      </c>
      <c r="CF4" s="167" t="s">
        <v>317</v>
      </c>
      <c r="CI4" s="81" t="s">
        <v>319</v>
      </c>
      <c r="CJ4" s="239">
        <f t="shared" ref="CJ4:CJ49" si="1">AZ5</f>
        <v>0.48835547545639596</v>
      </c>
      <c r="CK4" s="239">
        <f t="shared" ref="CK4:CK49" si="2">BP5</f>
        <v>0.33600000000000002</v>
      </c>
      <c r="CL4" s="239">
        <f t="shared" ref="CL4:CL49" si="3">CE4</f>
        <v>0.45400000000000001</v>
      </c>
      <c r="CO4" s="243" t="s">
        <v>373</v>
      </c>
      <c r="CP4" s="243" t="s">
        <v>376</v>
      </c>
    </row>
    <row r="5" spans="2:112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s="81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1/(1/10+SUM(AD7:AD11)+1/23)</f>
        <v>0.27481053799679722</v>
      </c>
      <c r="AB5" s="217" t="s">
        <v>5</v>
      </c>
      <c r="AC5" s="217"/>
      <c r="AD5" s="217" t="s">
        <v>22</v>
      </c>
      <c r="AE5" s="220">
        <f>SUM(AE7:AE11)</f>
        <v>85322</v>
      </c>
      <c r="AF5" s="222" t="s">
        <v>23</v>
      </c>
      <c r="AG5" s="222">
        <f>SUM(AE10:AE11)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(2*O27+O30)/(SUM($O$6:$O$14,$O$26,O30)+2*SUM($O$27))</f>
        <v>0.48835547545639596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0.48835547545639596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5.8500000000000003E-2</v>
      </c>
      <c r="CF5" s="167" t="s">
        <v>317</v>
      </c>
      <c r="CI5" s="81" t="s">
        <v>320</v>
      </c>
      <c r="CJ5" s="239">
        <f t="shared" si="1"/>
        <v>3.9095185682712946E-2</v>
      </c>
      <c r="CK5" s="239">
        <f t="shared" si="2"/>
        <v>0.33700000000000002</v>
      </c>
      <c r="CL5" s="239">
        <f t="shared" si="3"/>
        <v>5.8500000000000003E-2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W5" s="245" t="s">
        <v>460</v>
      </c>
      <c r="CX5" s="246" t="s">
        <v>461</v>
      </c>
      <c r="CY5" s="246" t="s">
        <v>318</v>
      </c>
      <c r="CZ5" s="247">
        <f>CQ11</f>
        <v>0.215</v>
      </c>
      <c r="DA5" s="245" t="s">
        <v>317</v>
      </c>
      <c r="DD5" s="169" t="s">
        <v>460</v>
      </c>
      <c r="DE5" s="274" t="s">
        <v>461</v>
      </c>
      <c r="DF5" s="274" t="s">
        <v>318</v>
      </c>
      <c r="DG5" s="169">
        <f>O11*Z38*AP4</f>
        <v>0.17959615679515387</v>
      </c>
      <c r="DH5" s="169" t="s">
        <v>317</v>
      </c>
    </row>
    <row r="6" spans="2:112" ht="15" customHeight="1" thickTop="1" thickBot="1" x14ac:dyDescent="0.3">
      <c r="B6" s="193" t="s">
        <v>34</v>
      </c>
      <c r="C6" s="195">
        <f>'Tabula data'!B4</f>
        <v>225.9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0.13333333333333333</v>
      </c>
      <c r="H6" s="176"/>
      <c r="I6" s="180">
        <f>'Tabula data'!B21*'Tabula RefULG 2'!D45</f>
        <v>4.2</v>
      </c>
      <c r="K6" s="81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19.486299247454621</v>
      </c>
      <c r="P6" s="207" t="s">
        <v>26</v>
      </c>
      <c r="Q6" s="30">
        <f t="shared" ref="Q6:Q27" si="7">VLOOKUP(N6,$X$5:$AA$392,4,0)</f>
        <v>0.29666979362101314</v>
      </c>
      <c r="R6" s="30">
        <f t="shared" ref="R6:R27" si="8">Q6*O6</f>
        <v>5.7809963761796661</v>
      </c>
      <c r="S6" s="30">
        <f t="shared" ref="S6:S14" si="9">VLOOKUP(N6,$X$5:$AE$392,8,0)*O6</f>
        <v>8818629.9504515249</v>
      </c>
      <c r="T6" s="30">
        <f t="shared" ref="T6:T14" si="10">S6/O6</f>
        <v>452555.4</v>
      </c>
      <c r="U6" s="30">
        <f t="shared" ref="U6:U14" si="11">VLOOKUP(N6,$X$5:$AG$391,10,0)*O6</f>
        <v>7889612.839309427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SUM(O10:O13)/(SUM($O$6:$O$14,$O$26,O30)+2*SUM($O$27))</f>
        <v>3.9095185682712946E-2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3.9095185682712946E-2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290</v>
      </c>
      <c r="BV6" s="166">
        <v>0.105</v>
      </c>
      <c r="BW6" s="81">
        <v>2755.29</v>
      </c>
      <c r="BX6" s="81" t="s">
        <v>384</v>
      </c>
      <c r="BY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0.152</v>
      </c>
      <c r="CF6" s="167" t="s">
        <v>317</v>
      </c>
      <c r="CI6" s="81" t="s">
        <v>321</v>
      </c>
      <c r="CJ6" s="239">
        <f t="shared" si="1"/>
        <v>0.18790511467818219</v>
      </c>
      <c r="CK6" s="239">
        <f t="shared" si="2"/>
        <v>0.10299999999999999</v>
      </c>
      <c r="CL6" s="239">
        <f t="shared" si="3"/>
        <v>0.152</v>
      </c>
      <c r="CO6" s="243" t="s">
        <v>373</v>
      </c>
      <c r="CP6" s="243" t="s">
        <v>383</v>
      </c>
      <c r="CQ6" s="244">
        <v>291</v>
      </c>
      <c r="CR6" s="244">
        <v>0.2</v>
      </c>
      <c r="CS6" s="243">
        <v>1456.22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0.35299999999999998</v>
      </c>
      <c r="DA6" s="245" t="s">
        <v>317</v>
      </c>
      <c r="DD6" s="169" t="s">
        <v>460</v>
      </c>
      <c r="DE6" s="274" t="s">
        <v>462</v>
      </c>
      <c r="DF6" s="274" t="s">
        <v>318</v>
      </c>
      <c r="DG6" s="169">
        <f>O10*Z38*AP4</f>
        <v>0.19096300216193576</v>
      </c>
      <c r="DH6" s="169" t="s">
        <v>317</v>
      </c>
    </row>
    <row r="7" spans="2:112" ht="15" customHeight="1" thickTop="1" thickBot="1" x14ac:dyDescent="0.3">
      <c r="B7" s="178" t="s">
        <v>42</v>
      </c>
      <c r="C7" s="183">
        <f>'Tabula data'!B14</f>
        <v>75.699999999999989</v>
      </c>
      <c r="D7" s="189" t="s">
        <v>9</v>
      </c>
      <c r="E7" s="178" t="s">
        <v>43</v>
      </c>
      <c r="F7" s="176" t="s">
        <v>36</v>
      </c>
      <c r="G7" s="179">
        <f t="shared" si="6"/>
        <v>0.1253968253968254</v>
      </c>
      <c r="H7" s="176"/>
      <c r="I7" s="180">
        <f>'Tabula data'!B22*'Tabula RefULG 2'!D45</f>
        <v>3.95</v>
      </c>
      <c r="K7" s="81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0</v>
      </c>
      <c r="P7" s="211" t="s">
        <v>39</v>
      </c>
      <c r="Q7" s="30">
        <f t="shared" si="7"/>
        <v>0.29666979362101314</v>
      </c>
      <c r="R7" s="30">
        <f t="shared" si="8"/>
        <v>0</v>
      </c>
      <c r="S7" s="30">
        <f t="shared" si="9"/>
        <v>0</v>
      </c>
      <c r="T7" s="30" t="e">
        <f t="shared" si="10"/>
        <v>#DIV/0!</v>
      </c>
      <c r="U7" s="30">
        <f t="shared" si="11"/>
        <v>0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SUM(O14)/(SUM($O$6:$O$14,$O$26,O30)+2*SUM($O$27))</f>
        <v>0.18790511467818219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0.18790511467818219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286</v>
      </c>
      <c r="BV7" s="166">
        <v>5.2200000000000003E-2</v>
      </c>
      <c r="BW7" s="81">
        <v>5486.87</v>
      </c>
      <c r="BX7" s="81" t="s">
        <v>384</v>
      </c>
      <c r="BY7" s="81" t="s">
        <v>385</v>
      </c>
      <c r="CA7" s="167"/>
      <c r="CB7" s="167"/>
      <c r="CC7" s="167"/>
      <c r="CD7" s="168"/>
      <c r="CE7" s="161"/>
      <c r="CF7" s="167"/>
      <c r="CJ7" s="240"/>
      <c r="CK7" s="240"/>
      <c r="CL7" s="240"/>
      <c r="CO7" s="243" t="s">
        <v>373</v>
      </c>
      <c r="CP7" s="243" t="s">
        <v>386</v>
      </c>
      <c r="CQ7" s="244">
        <v>287</v>
      </c>
      <c r="CR7" s="244">
        <v>6.2799999999999995E-2</v>
      </c>
      <c r="CS7" s="243">
        <v>4564.41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47">
        <f t="shared" si="12"/>
        <v>0.221</v>
      </c>
      <c r="DA7" s="245" t="s">
        <v>317</v>
      </c>
      <c r="DD7" s="169" t="s">
        <v>460</v>
      </c>
      <c r="DE7" s="275" t="s">
        <v>463</v>
      </c>
      <c r="DF7" s="274" t="s">
        <v>318</v>
      </c>
      <c r="DG7" s="169">
        <f>O12*Z38*AP4</f>
        <v>0.18414289494186661</v>
      </c>
      <c r="DH7" s="169" t="s">
        <v>317</v>
      </c>
    </row>
    <row r="8" spans="2:112" ht="15" customHeight="1" thickTop="1" thickBot="1" x14ac:dyDescent="0.3">
      <c r="B8" s="178" t="s">
        <v>47</v>
      </c>
      <c r="C8" s="183">
        <f>C6-C7</f>
        <v>150.20000000000002</v>
      </c>
      <c r="D8" s="176" t="s">
        <v>9</v>
      </c>
      <c r="E8" s="178" t="s">
        <v>48</v>
      </c>
      <c r="F8" s="176" t="s">
        <v>36</v>
      </c>
      <c r="G8" s="179">
        <f t="shared" si="6"/>
        <v>0.12857142857142856</v>
      </c>
      <c r="H8" s="176"/>
      <c r="I8" s="180">
        <f>'Tabula data'!B23*D45</f>
        <v>4.05</v>
      </c>
      <c r="K8" s="81" t="s">
        <v>44</v>
      </c>
      <c r="L8" s="208">
        <v>0</v>
      </c>
      <c r="M8" s="209">
        <v>1</v>
      </c>
      <c r="N8" s="209" t="s">
        <v>25</v>
      </c>
      <c r="O8" s="210">
        <f>O6</f>
        <v>19.486299247454621</v>
      </c>
      <c r="P8" s="211" t="s">
        <v>45</v>
      </c>
      <c r="Q8" s="30">
        <f t="shared" si="7"/>
        <v>0.29666979362101314</v>
      </c>
      <c r="R8" s="30">
        <f t="shared" si="8"/>
        <v>5.7809963761796661</v>
      </c>
      <c r="S8" s="30">
        <f t="shared" si="9"/>
        <v>8818629.9504515249</v>
      </c>
      <c r="T8" s="30">
        <f t="shared" si="10"/>
        <v>452555.4</v>
      </c>
      <c r="U8" s="30">
        <f t="shared" si="11"/>
        <v>7889612.839309427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295</v>
      </c>
      <c r="BV8" s="166">
        <v>8.5800000000000001E-2</v>
      </c>
      <c r="BW8" s="81">
        <v>3431.93</v>
      </c>
      <c r="BX8" s="81" t="s">
        <v>384</v>
      </c>
      <c r="BY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161">
        <f>BU19</f>
        <v>2910000</v>
      </c>
      <c r="CF8" s="167" t="s">
        <v>317</v>
      </c>
      <c r="CI8" s="81" t="s">
        <v>322</v>
      </c>
      <c r="CJ8" s="241">
        <f t="shared" si="1"/>
        <v>1095632.3788579016</v>
      </c>
      <c r="CK8" s="241">
        <f t="shared" si="2"/>
        <v>2900000</v>
      </c>
      <c r="CL8" s="241">
        <f t="shared" si="3"/>
        <v>2910000</v>
      </c>
      <c r="CO8" s="243" t="s">
        <v>373</v>
      </c>
      <c r="CP8" s="243" t="s">
        <v>387</v>
      </c>
      <c r="CQ8" s="244">
        <v>295</v>
      </c>
      <c r="CR8" s="244">
        <v>7.1400000000000005E-2</v>
      </c>
      <c r="CS8" s="243">
        <v>4133.95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47">
        <f t="shared" si="12"/>
        <v>0.17699999999999999</v>
      </c>
      <c r="DA8" s="245" t="s">
        <v>317</v>
      </c>
      <c r="DD8" s="169" t="s">
        <v>460</v>
      </c>
      <c r="DE8" s="276" t="s">
        <v>464</v>
      </c>
      <c r="DF8" s="274" t="s">
        <v>318</v>
      </c>
      <c r="DG8" s="169">
        <f>O13*Z38*AP4</f>
        <v>0.16140920420830285</v>
      </c>
      <c r="DH8" s="169" t="s">
        <v>317</v>
      </c>
    </row>
    <row r="9" spans="2:112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0.11269841269841269</v>
      </c>
      <c r="H9" s="176"/>
      <c r="I9" s="180">
        <f>'Tabula data'!B24*'Tabula RefULG 2'!D45</f>
        <v>3.55</v>
      </c>
      <c r="K9" s="81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0</v>
      </c>
      <c r="P9" s="211" t="s">
        <v>50</v>
      </c>
      <c r="Q9" s="30">
        <f t="shared" si="7"/>
        <v>0.29666979362101314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223"/>
      <c r="X9" s="175"/>
      <c r="Y9" s="176" t="s">
        <v>508</v>
      </c>
      <c r="Z9" s="272">
        <v>0.11</v>
      </c>
      <c r="AA9" s="176">
        <v>3.5999999999999997E-2</v>
      </c>
      <c r="AB9" s="176">
        <v>80</v>
      </c>
      <c r="AC9" s="176">
        <v>840</v>
      </c>
      <c r="AD9" s="227">
        <f>Z9/AA9</f>
        <v>3.0555555555555558</v>
      </c>
      <c r="AE9" s="177">
        <f>Z9*AB9*AC9</f>
        <v>7392.0000000000009</v>
      </c>
      <c r="AF9" s="222"/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1095632.3788579016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1095632.3788579016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288</v>
      </c>
      <c r="BV9" s="166">
        <v>0.16300000000000001</v>
      </c>
      <c r="BW9" s="81">
        <v>1771.76</v>
      </c>
      <c r="BX9" s="81" t="s">
        <v>384</v>
      </c>
      <c r="BY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161">
        <f t="shared" ref="CE9:CE10" si="13">BU20</f>
        <v>95200000</v>
      </c>
      <c r="CF9" s="167" t="s">
        <v>317</v>
      </c>
      <c r="CI9" s="81" t="s">
        <v>323</v>
      </c>
      <c r="CJ9" s="241">
        <f t="shared" si="1"/>
        <v>15779225.678618854</v>
      </c>
      <c r="CK9" s="241">
        <f t="shared" si="2"/>
        <v>50500000</v>
      </c>
      <c r="CL9" s="241">
        <f t="shared" si="3"/>
        <v>95200000</v>
      </c>
      <c r="CO9" s="243" t="s">
        <v>373</v>
      </c>
      <c r="CP9" s="243" t="s">
        <v>388</v>
      </c>
      <c r="CQ9" s="244">
        <v>292</v>
      </c>
      <c r="CR9" s="244">
        <v>0.14899999999999999</v>
      </c>
      <c r="CS9" s="243">
        <v>1960.83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47">
        <f t="shared" si="12"/>
        <v>1.1599999999999999</v>
      </c>
      <c r="DA9" s="245" t="s">
        <v>317</v>
      </c>
      <c r="DD9" s="169" t="s">
        <v>460</v>
      </c>
      <c r="DE9" s="276" t="s">
        <v>465</v>
      </c>
      <c r="DF9" s="274" t="s">
        <v>318</v>
      </c>
      <c r="DG9" s="169">
        <f>O11*Z38*AP5</f>
        <v>0.90663194018479909</v>
      </c>
      <c r="DH9" s="169" t="s">
        <v>317</v>
      </c>
    </row>
    <row r="10" spans="2:112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0.13333333333333333</v>
      </c>
      <c r="H10" s="176"/>
      <c r="I10" s="185">
        <f>'Tabula data'!B21*(1-D45)</f>
        <v>4.2</v>
      </c>
      <c r="K10" s="81" t="s">
        <v>53</v>
      </c>
      <c r="L10" s="208">
        <v>0</v>
      </c>
      <c r="M10" s="209">
        <v>1</v>
      </c>
      <c r="N10" s="209" t="s">
        <v>54</v>
      </c>
      <c r="O10" s="210">
        <f>I6</f>
        <v>4.2</v>
      </c>
      <c r="P10" s="211" t="s">
        <v>26</v>
      </c>
      <c r="Q10" s="30">
        <f t="shared" si="7"/>
        <v>2</v>
      </c>
      <c r="R10" s="30">
        <f t="shared" si="8"/>
        <v>8.4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75"/>
      <c r="Y10" s="184" t="s">
        <v>55</v>
      </c>
      <c r="Z10" s="176">
        <v>2.5000000000000001E-2</v>
      </c>
      <c r="AA10" s="176">
        <v>0.11</v>
      </c>
      <c r="AB10" s="176">
        <v>550</v>
      </c>
      <c r="AC10" s="176">
        <v>1880</v>
      </c>
      <c r="AD10" s="227">
        <f>Z10/AA10</f>
        <v>0.22727272727272729</v>
      </c>
      <c r="AE10" s="177">
        <f>Z10*AB10*AC10</f>
        <v>25850</v>
      </c>
      <c r="AF10" s="228" t="s">
        <v>270</v>
      </c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15779225.678618854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4">AP10</f>
        <v>15779225.678618854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5">BE19</f>
        <v>50500000</v>
      </c>
      <c r="BQ10" s="167" t="s">
        <v>317</v>
      </c>
      <c r="BS10" s="81" t="s">
        <v>373</v>
      </c>
      <c r="BT10" s="81" t="s">
        <v>389</v>
      </c>
      <c r="BU10" s="166">
        <v>288</v>
      </c>
      <c r="BV10" s="166">
        <v>6.7900000000000002E-2</v>
      </c>
      <c r="BW10" s="81">
        <v>4246.6099999999997</v>
      </c>
      <c r="BX10" s="81" t="s">
        <v>384</v>
      </c>
      <c r="BY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161">
        <f t="shared" si="13"/>
        <v>22100000</v>
      </c>
      <c r="CF10" s="167" t="s">
        <v>317</v>
      </c>
      <c r="CI10" s="81" t="s">
        <v>324</v>
      </c>
      <c r="CJ10" s="241">
        <f t="shared" si="1"/>
        <v>10264369.896848613</v>
      </c>
      <c r="CK10" s="241">
        <f t="shared" si="2"/>
        <v>32700000</v>
      </c>
      <c r="CL10" s="241">
        <f t="shared" si="3"/>
        <v>22100000</v>
      </c>
      <c r="CO10" s="243" t="s">
        <v>373</v>
      </c>
      <c r="CP10" s="243" t="s">
        <v>389</v>
      </c>
      <c r="CQ10" s="244">
        <v>287</v>
      </c>
      <c r="CR10" s="244">
        <v>5.6000000000000001E-2</v>
      </c>
      <c r="CS10" s="243">
        <v>5126.76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1.17</v>
      </c>
      <c r="DA10" s="245" t="s">
        <v>317</v>
      </c>
      <c r="DD10" s="169" t="s">
        <v>460</v>
      </c>
      <c r="DE10" s="276" t="s">
        <v>466</v>
      </c>
      <c r="DF10" s="274" t="s">
        <v>318</v>
      </c>
      <c r="DG10" s="169">
        <f>O10*Z38*AP5</f>
        <v>0.96401370855092561</v>
      </c>
      <c r="DH10" s="169" t="s">
        <v>317</v>
      </c>
    </row>
    <row r="11" spans="2:112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0.1253968253968254</v>
      </c>
      <c r="H11" s="176"/>
      <c r="I11" s="185">
        <f>'Tabula data'!B22*(1-'Tabula RefULG 2'!D45)</f>
        <v>3.95</v>
      </c>
      <c r="K11" s="81" t="s">
        <v>57</v>
      </c>
      <c r="L11" s="208">
        <v>0</v>
      </c>
      <c r="M11" s="209">
        <v>1</v>
      </c>
      <c r="N11" s="209" t="s">
        <v>54</v>
      </c>
      <c r="O11" s="210">
        <f>I7</f>
        <v>3.95</v>
      </c>
      <c r="P11" s="211" t="s">
        <v>39</v>
      </c>
      <c r="Q11" s="30">
        <f t="shared" si="7"/>
        <v>2</v>
      </c>
      <c r="R11" s="30">
        <f t="shared" si="8"/>
        <v>7.9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87"/>
      <c r="Y11" s="174" t="s">
        <v>433</v>
      </c>
      <c r="Z11" s="174">
        <v>0.02</v>
      </c>
      <c r="AA11" s="174">
        <v>0.6</v>
      </c>
      <c r="AB11" s="174">
        <v>975</v>
      </c>
      <c r="AC11" s="174">
        <v>840</v>
      </c>
      <c r="AD11" s="229">
        <f>Z11/AA11</f>
        <v>3.3333333333333333E-2</v>
      </c>
      <c r="AE11" s="192">
        <f>Z11*AB11*AC11</f>
        <v>16380</v>
      </c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SUM(U27,U30)/2</f>
        <v>10264369.896848613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4"/>
        <v>10264369.896848613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5"/>
        <v>32700000</v>
      </c>
      <c r="BQ11" s="167" t="s">
        <v>317</v>
      </c>
      <c r="BS11" s="81" t="s">
        <v>373</v>
      </c>
      <c r="BT11" s="81" t="s">
        <v>390</v>
      </c>
      <c r="BU11" s="166">
        <v>0.22</v>
      </c>
      <c r="BV11" s="166">
        <v>7.8100000000000001E-4</v>
      </c>
      <c r="BW11" s="81">
        <v>281.52</v>
      </c>
      <c r="BX11" s="81" t="s">
        <v>384</v>
      </c>
      <c r="BY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161">
        <f>BU17</f>
        <v>995000000</v>
      </c>
      <c r="CF11" s="167" t="s">
        <v>317</v>
      </c>
      <c r="CI11" s="81" t="s">
        <v>325</v>
      </c>
      <c r="CJ11" s="241">
        <f t="shared" si="1"/>
        <v>8399671.9999999981</v>
      </c>
      <c r="CK11" s="241">
        <f t="shared" si="2"/>
        <v>14000000</v>
      </c>
      <c r="CL11" s="241">
        <f t="shared" si="3"/>
        <v>995000000</v>
      </c>
      <c r="CO11" s="243" t="s">
        <v>373</v>
      </c>
      <c r="CP11" s="243" t="s">
        <v>442</v>
      </c>
      <c r="CQ11" s="244">
        <v>0.215</v>
      </c>
      <c r="CR11" s="244">
        <v>4.6899999999999997E-3</v>
      </c>
      <c r="CS11" s="243">
        <v>45.85</v>
      </c>
      <c r="CT11" s="243" t="s">
        <v>420</v>
      </c>
      <c r="CU11" s="244">
        <v>2E-16</v>
      </c>
      <c r="CV11" s="81" t="s">
        <v>385</v>
      </c>
      <c r="CW11" s="245" t="s">
        <v>460</v>
      </c>
      <c r="CX11" s="249" t="s">
        <v>467</v>
      </c>
      <c r="CY11" s="246" t="s">
        <v>318</v>
      </c>
      <c r="CZ11" s="247">
        <f t="shared" si="12"/>
        <v>1.1000000000000001</v>
      </c>
      <c r="DA11" s="245" t="s">
        <v>317</v>
      </c>
      <c r="DD11" s="169" t="s">
        <v>460</v>
      </c>
      <c r="DE11" s="276" t="s">
        <v>467</v>
      </c>
      <c r="DF11" s="274" t="s">
        <v>318</v>
      </c>
      <c r="DG11" s="169">
        <f>O12*Z38*AP5</f>
        <v>0.92958464753124959</v>
      </c>
      <c r="DH11" s="169" t="s">
        <v>317</v>
      </c>
    </row>
    <row r="12" spans="2:112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0.12857142857142856</v>
      </c>
      <c r="H12" s="176"/>
      <c r="I12" s="185">
        <f>'Tabula data'!B23*(1-'Tabula RefULG 2'!D45)</f>
        <v>4.05</v>
      </c>
      <c r="K12" s="81" t="s">
        <v>59</v>
      </c>
      <c r="L12" s="208">
        <v>0</v>
      </c>
      <c r="M12" s="209">
        <v>1</v>
      </c>
      <c r="N12" s="209" t="s">
        <v>54</v>
      </c>
      <c r="O12" s="210">
        <f>I8</f>
        <v>4.05</v>
      </c>
      <c r="P12" s="211" t="s">
        <v>45</v>
      </c>
      <c r="Q12" s="30">
        <f t="shared" si="7"/>
        <v>2</v>
      </c>
      <c r="R12" s="30">
        <f t="shared" si="8"/>
        <v>8.1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X12" s="176"/>
      <c r="Y12" s="176"/>
      <c r="Z12" s="230"/>
      <c r="AA12" s="230"/>
      <c r="AB12" s="230"/>
      <c r="AC12" s="176"/>
      <c r="AD12" s="227"/>
      <c r="AE12" s="176"/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8399671.9999999981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4"/>
        <v>8399671.9999999981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0.45400000000000001</v>
      </c>
      <c r="BV12" s="166">
        <v>1.67E-3</v>
      </c>
      <c r="BW12" s="81">
        <v>272.11</v>
      </c>
      <c r="BX12" s="81" t="s">
        <v>384</v>
      </c>
      <c r="BY12" s="81" t="s">
        <v>385</v>
      </c>
      <c r="CA12" s="167"/>
      <c r="CB12" s="167"/>
      <c r="CC12" s="167"/>
      <c r="CD12" s="168"/>
      <c r="CE12" s="161"/>
      <c r="CF12" s="167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0.35299999999999998</v>
      </c>
      <c r="CR12" s="244">
        <v>1.8100000000000002E-2</v>
      </c>
      <c r="CS12" s="243">
        <v>19.46</v>
      </c>
      <c r="CT12" s="243" t="s">
        <v>420</v>
      </c>
      <c r="CU12" s="244">
        <v>2E-16</v>
      </c>
      <c r="CV12" s="81" t="s">
        <v>385</v>
      </c>
      <c r="CW12" s="245" t="s">
        <v>460</v>
      </c>
      <c r="CX12" s="248" t="s">
        <v>468</v>
      </c>
      <c r="CY12" s="246" t="s">
        <v>318</v>
      </c>
      <c r="CZ12" s="247">
        <f t="shared" si="12"/>
        <v>1.02</v>
      </c>
      <c r="DA12" s="245" t="s">
        <v>317</v>
      </c>
      <c r="DD12" s="169" t="s">
        <v>460</v>
      </c>
      <c r="DE12" s="275" t="s">
        <v>468</v>
      </c>
      <c r="DF12" s="274" t="s">
        <v>318</v>
      </c>
      <c r="DG12" s="169">
        <f>O13*Z38*AP5</f>
        <v>0.81482111079899655</v>
      </c>
      <c r="DH12" s="169" t="s">
        <v>317</v>
      </c>
    </row>
    <row r="13" spans="2:112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0.11269841269841269</v>
      </c>
      <c r="H13" s="176"/>
      <c r="I13" s="185">
        <f>'Tabula data'!B24*(1-'Tabula RefULG 2'!D45)</f>
        <v>3.55</v>
      </c>
      <c r="K13" s="81" t="s">
        <v>60</v>
      </c>
      <c r="L13" s="208">
        <v>0</v>
      </c>
      <c r="M13" s="209">
        <v>1</v>
      </c>
      <c r="N13" s="209" t="s">
        <v>54</v>
      </c>
      <c r="O13" s="210">
        <f>I9</f>
        <v>3.55</v>
      </c>
      <c r="P13" s="211" t="s">
        <v>50</v>
      </c>
      <c r="Q13" s="30">
        <f t="shared" si="7"/>
        <v>2</v>
      </c>
      <c r="R13" s="30">
        <f t="shared" si="8"/>
        <v>7.1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Z13" s="221" t="s">
        <v>4</v>
      </c>
      <c r="AA13" s="221">
        <v>2.2000000000000002</v>
      </c>
      <c r="AB13" s="221" t="s">
        <v>5</v>
      </c>
      <c r="AF13" s="222"/>
      <c r="AG13" s="222"/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5.8500000000000003E-2</v>
      </c>
      <c r="BV13" s="166">
        <v>7.0000000000000001E-3</v>
      </c>
      <c r="BW13" s="81">
        <v>8.35</v>
      </c>
      <c r="BX13" s="81" t="s">
        <v>384</v>
      </c>
      <c r="BY13" s="81" t="s">
        <v>385</v>
      </c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BU27</f>
        <v>8.2900000000000001E-2</v>
      </c>
      <c r="CF13" s="167" t="s">
        <v>317</v>
      </c>
      <c r="CI13" s="81" t="s">
        <v>326</v>
      </c>
      <c r="CJ13" s="239">
        <f t="shared" si="1"/>
        <v>2.9021732851358017E-2</v>
      </c>
      <c r="CK13" s="239">
        <f t="shared" si="2"/>
        <v>0.128</v>
      </c>
      <c r="CL13" s="239">
        <f t="shared" si="3"/>
        <v>8.2900000000000001E-2</v>
      </c>
      <c r="CO13" s="243" t="s">
        <v>373</v>
      </c>
      <c r="CP13" s="243" t="s">
        <v>443</v>
      </c>
      <c r="CQ13" s="244">
        <v>0.221</v>
      </c>
      <c r="CR13" s="244">
        <v>2.32E-3</v>
      </c>
      <c r="CS13" s="243">
        <v>95.41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0.55400000000000005</v>
      </c>
      <c r="DA13" s="245" t="s">
        <v>317</v>
      </c>
      <c r="DD13" s="169" t="s">
        <v>460</v>
      </c>
      <c r="DE13" s="277" t="s">
        <v>469</v>
      </c>
      <c r="DF13" s="274" t="s">
        <v>318</v>
      </c>
      <c r="DG13" s="169">
        <f>O11*Z38*AP6</f>
        <v>7.2580212219956586E-2</v>
      </c>
      <c r="DH13" s="169" t="s">
        <v>317</v>
      </c>
    </row>
    <row r="14" spans="2:112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s="81" t="s">
        <v>61</v>
      </c>
      <c r="L14" s="208" t="s">
        <v>62</v>
      </c>
      <c r="M14" s="209">
        <v>1</v>
      </c>
      <c r="N14" s="209" t="s">
        <v>63</v>
      </c>
      <c r="O14" s="210">
        <f>C7</f>
        <v>75.699999999999989</v>
      </c>
      <c r="P14" s="211"/>
      <c r="Q14" s="30">
        <f t="shared" si="7"/>
        <v>0.25127131319174395</v>
      </c>
      <c r="R14" s="30">
        <f t="shared" si="8"/>
        <v>19.021238408615016</v>
      </c>
      <c r="S14" s="30">
        <f t="shared" si="9"/>
        <v>28720330.189999998</v>
      </c>
      <c r="T14" s="30">
        <f t="shared" si="10"/>
        <v>379396.7</v>
      </c>
      <c r="U14" s="30">
        <f t="shared" si="11"/>
        <v>8399671.9999999981</v>
      </c>
      <c r="V14" s="31"/>
      <c r="W14" s="223"/>
      <c r="X14" s="216" t="s">
        <v>64</v>
      </c>
      <c r="Y14" s="217"/>
      <c r="Z14" s="218" t="s">
        <v>21</v>
      </c>
      <c r="AA14" s="219">
        <f>1/(1/8+SUM(AD16:AD20)+1/23)</f>
        <v>0.29666979362101314</v>
      </c>
      <c r="AB14" s="217" t="s">
        <v>5</v>
      </c>
      <c r="AC14" s="217"/>
      <c r="AD14" s="217" t="s">
        <v>22</v>
      </c>
      <c r="AE14" s="220">
        <f>SUM(AE16:AE21)</f>
        <v>452555.4</v>
      </c>
      <c r="AF14" s="222" t="s">
        <v>23</v>
      </c>
      <c r="AG14" s="222">
        <f>SUM(AE19:AE20)</f>
        <v>404880</v>
      </c>
      <c r="AH14" s="222"/>
      <c r="AM14" s="158" t="s">
        <v>314</v>
      </c>
      <c r="AN14" s="81" t="s">
        <v>315</v>
      </c>
      <c r="AO14" s="81" t="s">
        <v>326</v>
      </c>
      <c r="AP14" s="81">
        <f>AP4*0.3</f>
        <v>2.9021732851358017E-2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2.9021732851358017E-2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0.152</v>
      </c>
      <c r="BV14" s="166">
        <v>3.9300000000000001E-4</v>
      </c>
      <c r="BW14" s="81">
        <v>386.97</v>
      </c>
      <c r="BX14" s="81" t="s">
        <v>384</v>
      </c>
      <c r="BY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 t="shared" ref="CE14:CE16" si="16">BU28</f>
        <v>0.16500000000000001</v>
      </c>
      <c r="CF14" s="167" t="s">
        <v>317</v>
      </c>
      <c r="CI14" s="81" t="s">
        <v>327</v>
      </c>
      <c r="CJ14" s="239">
        <f t="shared" si="1"/>
        <v>0.14650664263691879</v>
      </c>
      <c r="CK14" s="239">
        <f t="shared" si="2"/>
        <v>0.23499999999999999</v>
      </c>
      <c r="CL14" s="239">
        <f t="shared" si="3"/>
        <v>0.16500000000000001</v>
      </c>
      <c r="CO14" s="243" t="s">
        <v>373</v>
      </c>
      <c r="CP14" s="243" t="s">
        <v>444</v>
      </c>
      <c r="CQ14" s="244">
        <v>0.17699999999999999</v>
      </c>
      <c r="CR14" s="244">
        <v>4.2199999999999998E-3</v>
      </c>
      <c r="CS14" s="243">
        <v>41.91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0.20899999999999999</v>
      </c>
      <c r="DA14" s="245" t="s">
        <v>317</v>
      </c>
      <c r="DD14" s="169" t="s">
        <v>460</v>
      </c>
      <c r="DE14" s="277" t="s">
        <v>470</v>
      </c>
      <c r="DF14" s="274" t="s">
        <v>318</v>
      </c>
      <c r="DG14" s="169">
        <f>O10*Z38*AP6</f>
        <v>7.7173896537675354E-2</v>
      </c>
      <c r="DH14" s="169" t="s">
        <v>317</v>
      </c>
    </row>
    <row r="15" spans="2:112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s="81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0.27481053799679722</v>
      </c>
      <c r="R15" s="30">
        <f t="shared" si="8"/>
        <v>0</v>
      </c>
      <c r="S15" s="30">
        <f>VLOOKUP(N15,$X$5:$AE$392,8,0)*O25</f>
        <v>7678980</v>
      </c>
      <c r="T15" s="30">
        <f>S15/O25</f>
        <v>85322</v>
      </c>
      <c r="U15" s="30">
        <f>VLOOKUP(N15,$X$5:$AG$391,10,0)*O25</f>
        <v>3800700</v>
      </c>
      <c r="V15" s="31"/>
      <c r="W15" s="223"/>
      <c r="X15" s="224"/>
      <c r="Y15" s="225" t="s">
        <v>27</v>
      </c>
      <c r="Z15" s="225" t="s">
        <v>28</v>
      </c>
      <c r="AA15" s="225" t="s">
        <v>29</v>
      </c>
      <c r="AB15" s="225" t="s">
        <v>30</v>
      </c>
      <c r="AC15" s="225" t="s">
        <v>31</v>
      </c>
      <c r="AD15" s="225" t="s">
        <v>32</v>
      </c>
      <c r="AE15" s="226" t="s">
        <v>33</v>
      </c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AP5*0.3</f>
        <v>0.14650664263691879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0.14650664263691879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7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7.9000000000000001E-2</v>
      </c>
      <c r="BV15" s="166">
        <v>5.5000000000000003E-4</v>
      </c>
      <c r="BW15" s="81">
        <v>143.72</v>
      </c>
      <c r="BX15" s="81" t="s">
        <v>384</v>
      </c>
      <c r="BY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 t="shared" si="16"/>
        <v>0.71599999999999997</v>
      </c>
      <c r="CF15" s="167" t="s">
        <v>317</v>
      </c>
      <c r="CI15" s="81" t="s">
        <v>328</v>
      </c>
      <c r="CJ15" s="239">
        <f t="shared" si="1"/>
        <v>0.71172855570481386</v>
      </c>
      <c r="CK15" s="239">
        <f t="shared" si="2"/>
        <v>0.53700000000000003</v>
      </c>
      <c r="CL15" s="239">
        <f t="shared" si="3"/>
        <v>0.71599999999999997</v>
      </c>
      <c r="CO15" s="243" t="s">
        <v>373</v>
      </c>
      <c r="CP15" s="243" t="s">
        <v>445</v>
      </c>
      <c r="CQ15" s="244">
        <v>1.1599999999999999</v>
      </c>
      <c r="CR15" s="244">
        <v>1.67E-2</v>
      </c>
      <c r="CS15" s="243">
        <v>69.53</v>
      </c>
      <c r="CT15" s="243" t="s">
        <v>420</v>
      </c>
      <c r="CU15" s="244">
        <v>2E-16</v>
      </c>
      <c r="CV15" s="81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7.5800000000000006E-2</v>
      </c>
      <c r="DA15" s="245" t="s">
        <v>317</v>
      </c>
      <c r="DD15" s="169" t="s">
        <v>460</v>
      </c>
      <c r="DE15" s="277" t="s">
        <v>471</v>
      </c>
      <c r="DF15" s="274" t="s">
        <v>318</v>
      </c>
      <c r="DG15" s="169">
        <f>O12*Z38*AP6</f>
        <v>7.4417685947044079E-2</v>
      </c>
      <c r="DH15" s="169" t="s">
        <v>317</v>
      </c>
    </row>
    <row r="16" spans="2:112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1.9235294117647057</v>
      </c>
      <c r="H16" s="184" t="s">
        <v>70</v>
      </c>
      <c r="I16" s="177"/>
      <c r="K16" s="81" t="s">
        <v>67</v>
      </c>
      <c r="L16" s="208">
        <v>0</v>
      </c>
      <c r="M16" s="209">
        <v>1</v>
      </c>
      <c r="N16" s="209" t="s">
        <v>68</v>
      </c>
      <c r="O16" s="210">
        <f>'Tabula data'!B20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7" si="18">VLOOKUP(N16,$X$5:$AE$392,8,0)*O16</f>
        <v>346940</v>
      </c>
      <c r="T16" s="30">
        <f t="shared" ref="T16:T27" si="19">S16/O16</f>
        <v>36520</v>
      </c>
      <c r="U16" s="30">
        <f t="shared" ref="U16:U27" si="20">VLOOKUP(N16,$X$5:$AG$391,10,0)*O16</f>
        <v>0</v>
      </c>
      <c r="V16" s="31"/>
      <c r="W16" s="223"/>
      <c r="X16" s="175"/>
      <c r="Y16" s="176"/>
      <c r="Z16" s="176"/>
      <c r="AA16" s="176"/>
      <c r="AB16" s="176"/>
      <c r="AC16" s="184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AP6*0.3+0.7</f>
        <v>0.71172855570481386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0.71172855570481386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7"/>
        <v>0.53700000000000003</v>
      </c>
      <c r="BQ16" s="167" t="s">
        <v>317</v>
      </c>
      <c r="BS16" s="81" t="s">
        <v>373</v>
      </c>
      <c r="BT16" s="81" t="s">
        <v>303</v>
      </c>
      <c r="BU16" s="166">
        <v>537000000</v>
      </c>
      <c r="BV16" s="166">
        <v>49100000</v>
      </c>
      <c r="BW16" s="81">
        <v>10.92</v>
      </c>
      <c r="BX16" s="81" t="s">
        <v>384</v>
      </c>
      <c r="BY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 t="shared" si="16"/>
        <v>5.5E-2</v>
      </c>
      <c r="CF16" s="167" t="s">
        <v>317</v>
      </c>
      <c r="CI16" s="81" t="s">
        <v>329</v>
      </c>
      <c r="CJ16" s="239">
        <f t="shared" si="1"/>
        <v>5.6371534403454653E-2</v>
      </c>
      <c r="CK16" s="239">
        <f t="shared" si="2"/>
        <v>7.7399999999999997E-2</v>
      </c>
      <c r="CL16" s="239">
        <f t="shared" si="3"/>
        <v>5.5E-2</v>
      </c>
      <c r="CO16" s="243" t="s">
        <v>373</v>
      </c>
      <c r="CP16" s="243" t="s">
        <v>337</v>
      </c>
      <c r="CQ16" s="244">
        <v>1.17</v>
      </c>
      <c r="CR16" s="244">
        <v>5.6599999999999998E-2</v>
      </c>
      <c r="CS16" s="243">
        <v>20.65</v>
      </c>
      <c r="CT16" s="244" t="s">
        <v>420</v>
      </c>
      <c r="CU16" s="244">
        <v>2E-16</v>
      </c>
      <c r="CV16" s="81" t="s">
        <v>385</v>
      </c>
      <c r="CW16" s="245" t="s">
        <v>460</v>
      </c>
      <c r="CX16" s="250" t="s">
        <v>472</v>
      </c>
      <c r="CY16" s="246" t="s">
        <v>318</v>
      </c>
      <c r="CZ16" s="247">
        <f t="shared" si="12"/>
        <v>0.49299999999999999</v>
      </c>
      <c r="DA16" s="245" t="s">
        <v>317</v>
      </c>
      <c r="DD16" s="169" t="s">
        <v>460</v>
      </c>
      <c r="DE16" s="277" t="s">
        <v>472</v>
      </c>
      <c r="DF16" s="274" t="s">
        <v>318</v>
      </c>
      <c r="DG16" s="169">
        <f>O13*Z38*AP6</f>
        <v>6.5230317311606542E-2</v>
      </c>
      <c r="DH16" s="169" t="s">
        <v>317</v>
      </c>
    </row>
    <row r="17" spans="2:112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1.4298362107127047</v>
      </c>
      <c r="H17" s="184"/>
      <c r="I17" s="177"/>
      <c r="K17" s="81" t="s">
        <v>71</v>
      </c>
      <c r="L17" s="208">
        <v>0</v>
      </c>
      <c r="M17" s="209">
        <v>2</v>
      </c>
      <c r="N17" s="209" t="s">
        <v>25</v>
      </c>
      <c r="O17" s="210">
        <f>'Tabula data'!B10*'Tabula RefULG 2'!D42/2*(1-'Tabula RefULG 2'!D43)</f>
        <v>38.663700752545374</v>
      </c>
      <c r="P17" s="211" t="s">
        <v>26</v>
      </c>
      <c r="Q17" s="30">
        <f t="shared" si="7"/>
        <v>0.29666979362101314</v>
      </c>
      <c r="R17" s="30">
        <f t="shared" si="8"/>
        <v>11.470352122882247</v>
      </c>
      <c r="S17" s="30">
        <f t="shared" si="18"/>
        <v>17497466.559548475</v>
      </c>
      <c r="T17" s="30">
        <f t="shared" si="19"/>
        <v>452555.40000000008</v>
      </c>
      <c r="U17" s="30">
        <f t="shared" si="20"/>
        <v>15654159.16069057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2"/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AP7*0.3</f>
        <v>5.6371534403454653E-2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5.6371534403454653E-2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7"/>
        <v>7.7399999999999997E-2</v>
      </c>
      <c r="BQ17" s="167" t="s">
        <v>317</v>
      </c>
      <c r="BS17" s="81" t="s">
        <v>373</v>
      </c>
      <c r="BT17" s="81" t="s">
        <v>299</v>
      </c>
      <c r="BU17" s="166">
        <v>995000000</v>
      </c>
      <c r="BV17" s="166">
        <v>18600000</v>
      </c>
      <c r="BW17" s="81">
        <v>53.42</v>
      </c>
      <c r="BX17" s="81" t="s">
        <v>384</v>
      </c>
      <c r="BY17" s="81" t="s">
        <v>385</v>
      </c>
      <c r="CA17" s="167"/>
      <c r="CB17" s="167"/>
      <c r="CC17" s="167"/>
      <c r="CD17" s="168"/>
      <c r="CE17" s="161"/>
      <c r="CF17" s="167"/>
      <c r="CJ17" s="240"/>
      <c r="CK17" s="240"/>
      <c r="CL17" s="240"/>
      <c r="CO17" s="243" t="s">
        <v>373</v>
      </c>
      <c r="CP17" s="243" t="s">
        <v>446</v>
      </c>
      <c r="CQ17" s="244">
        <v>1.1000000000000001</v>
      </c>
      <c r="CR17" s="244">
        <v>9.0299999999999998E-3</v>
      </c>
      <c r="CS17" s="243">
        <v>122.18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0.51800000000000002</v>
      </c>
      <c r="DA17" s="245" t="s">
        <v>317</v>
      </c>
      <c r="DD17" s="169" t="s">
        <v>460</v>
      </c>
      <c r="DE17" s="277" t="s">
        <v>473</v>
      </c>
      <c r="DF17" s="274" t="s">
        <v>318</v>
      </c>
      <c r="DG17" s="169">
        <f>O11*Z38*AP7</f>
        <v>0.34884584540004526</v>
      </c>
      <c r="DH17" s="169" t="s">
        <v>317</v>
      </c>
    </row>
    <row r="18" spans="2:112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1.4298362107127047</v>
      </c>
      <c r="H18" s="184"/>
      <c r="I18" s="177"/>
      <c r="K18" s="81" t="s">
        <v>75</v>
      </c>
      <c r="L18" s="208">
        <v>0</v>
      </c>
      <c r="M18" s="209">
        <v>2</v>
      </c>
      <c r="N18" s="209" t="s">
        <v>25</v>
      </c>
      <c r="O18" s="210">
        <f>'Tabula data'!B10*(1-'Tabula RefULG 2'!D42)/2*(1-'Tabula RefULG 2'!D44)</f>
        <v>0</v>
      </c>
      <c r="P18" s="211" t="s">
        <v>39</v>
      </c>
      <c r="Q18" s="30">
        <f t="shared" si="7"/>
        <v>0.29666979362101314</v>
      </c>
      <c r="R18" s="30">
        <f t="shared" si="8"/>
        <v>0</v>
      </c>
      <c r="S18" s="30">
        <f t="shared" si="18"/>
        <v>0</v>
      </c>
      <c r="T18" s="30" t="e">
        <f t="shared" si="19"/>
        <v>#DIV/0!</v>
      </c>
      <c r="U18" s="30">
        <f t="shared" si="20"/>
        <v>0</v>
      </c>
      <c r="V18" s="31"/>
      <c r="W18" s="223"/>
      <c r="X18" s="175"/>
      <c r="Y18" s="172" t="s">
        <v>280</v>
      </c>
      <c r="Z18" s="243">
        <v>7.0000000000000007E-2</v>
      </c>
      <c r="AA18" s="172">
        <v>2.4E-2</v>
      </c>
      <c r="AB18" s="172">
        <v>26</v>
      </c>
      <c r="AC18" s="172">
        <v>1470</v>
      </c>
      <c r="AD18" s="227">
        <f>Z18/AA18</f>
        <v>2.916666666666667</v>
      </c>
      <c r="AE18" s="177">
        <f>Z18*AB18*AC18</f>
        <v>2675.4000000000005</v>
      </c>
      <c r="AF18" s="228" t="s">
        <v>271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>
        <v>21</v>
      </c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BU32</f>
        <v>505</v>
      </c>
      <c r="CF18" s="167" t="s">
        <v>317</v>
      </c>
      <c r="CI18" s="81" t="s">
        <v>330</v>
      </c>
      <c r="CJ18" s="242">
        <f t="shared" si="1"/>
        <v>101.06842831685697</v>
      </c>
      <c r="CK18" s="242">
        <f t="shared" si="2"/>
        <v>958</v>
      </c>
      <c r="CL18" s="242">
        <f t="shared" si="3"/>
        <v>505</v>
      </c>
      <c r="CO18" s="243" t="s">
        <v>373</v>
      </c>
      <c r="CP18" s="243" t="s">
        <v>447</v>
      </c>
      <c r="CQ18" s="244">
        <v>1.02</v>
      </c>
      <c r="CR18" s="244">
        <v>1.5100000000000001E-2</v>
      </c>
      <c r="CS18" s="243">
        <v>67.180000000000007</v>
      </c>
      <c r="CT18" s="243" t="s">
        <v>420</v>
      </c>
      <c r="CU18" s="244">
        <v>2E-16</v>
      </c>
      <c r="CV18" s="81" t="s">
        <v>385</v>
      </c>
      <c r="CW18" s="245" t="s">
        <v>460</v>
      </c>
      <c r="CX18" s="250" t="s">
        <v>474</v>
      </c>
      <c r="CY18" s="246" t="s">
        <v>318</v>
      </c>
      <c r="CZ18" s="247">
        <f t="shared" si="12"/>
        <v>0.125</v>
      </c>
      <c r="DA18" s="245" t="s">
        <v>317</v>
      </c>
      <c r="DD18" s="169" t="s">
        <v>460</v>
      </c>
      <c r="DE18" s="277" t="s">
        <v>474</v>
      </c>
      <c r="DF18" s="274" t="s">
        <v>318</v>
      </c>
      <c r="DG18" s="169">
        <f>O10*Z38*AP7</f>
        <v>0.37092469637473163</v>
      </c>
      <c r="DH18" s="169" t="s">
        <v>317</v>
      </c>
    </row>
    <row r="19" spans="2:112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s="81" t="s">
        <v>79</v>
      </c>
      <c r="L19" s="208">
        <v>0</v>
      </c>
      <c r="M19" s="209">
        <v>2</v>
      </c>
      <c r="N19" s="209" t="s">
        <v>25</v>
      </c>
      <c r="O19" s="210">
        <f>'Tabula data'!B10*'Tabula RefULG 2'!D42/2*(1-'Tabula RefULG 2'!D43)</f>
        <v>38.663700752545374</v>
      </c>
      <c r="P19" s="211" t="s">
        <v>45</v>
      </c>
      <c r="Q19" s="30">
        <f t="shared" si="7"/>
        <v>0.29666979362101314</v>
      </c>
      <c r="R19" s="30">
        <f t="shared" si="8"/>
        <v>11.470352122882247</v>
      </c>
      <c r="S19" s="30">
        <f t="shared" si="18"/>
        <v>17497466.559548475</v>
      </c>
      <c r="T19" s="30">
        <f t="shared" si="19"/>
        <v>452555.40000000008</v>
      </c>
      <c r="U19" s="30">
        <f t="shared" si="20"/>
        <v>15654159.16069057</v>
      </c>
      <c r="V19" s="31"/>
      <c r="W19" s="223"/>
      <c r="X19" s="175"/>
      <c r="Y19" s="184" t="s">
        <v>76</v>
      </c>
      <c r="Z19" s="176">
        <v>0.25</v>
      </c>
      <c r="AA19" s="176">
        <v>1.1000000000000001</v>
      </c>
      <c r="AB19" s="176">
        <v>1850</v>
      </c>
      <c r="AC19" s="184">
        <v>840</v>
      </c>
      <c r="AD19" s="227">
        <f>Z19/AA19</f>
        <v>0.22727272727272727</v>
      </c>
      <c r="AE19" s="177">
        <f>Z19*AB19*AC19</f>
        <v>388500</v>
      </c>
      <c r="AF19" s="222" t="s">
        <v>272</v>
      </c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SUM(O6:O9)*(1/(SUM(AD19:AD20)+1/8))</f>
        <v>101.06842831685697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101.06842831685697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395</v>
      </c>
      <c r="BU19" s="166">
        <v>2910000</v>
      </c>
      <c r="BV19" s="166">
        <v>32100</v>
      </c>
      <c r="BW19" s="81">
        <v>90.66</v>
      </c>
      <c r="BX19" s="81" t="s">
        <v>384</v>
      </c>
      <c r="BY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 t="shared" ref="CE19:CE21" si="21">BU33</f>
        <v>194</v>
      </c>
      <c r="CF19" s="167" t="s">
        <v>317</v>
      </c>
      <c r="CI19" s="81" t="s">
        <v>331</v>
      </c>
      <c r="CJ19" s="242">
        <f t="shared" si="1"/>
        <v>240.86363636363635</v>
      </c>
      <c r="CK19" s="242">
        <f t="shared" si="2"/>
        <v>737</v>
      </c>
      <c r="CL19" s="242">
        <f t="shared" si="3"/>
        <v>194</v>
      </c>
      <c r="CO19" s="243" t="s">
        <v>373</v>
      </c>
      <c r="CP19" s="243" t="s">
        <v>448</v>
      </c>
      <c r="CQ19" s="244">
        <v>0.55400000000000005</v>
      </c>
      <c r="CR19" s="244">
        <v>0.20499999999999999</v>
      </c>
      <c r="CS19" s="243">
        <v>2.71</v>
      </c>
      <c r="CT19" s="244">
        <v>6.7999999999999996E-3</v>
      </c>
      <c r="CU19" s="243" t="s">
        <v>398</v>
      </c>
      <c r="CW19" s="245" t="s">
        <v>460</v>
      </c>
      <c r="CX19" s="248" t="s">
        <v>475</v>
      </c>
      <c r="CY19" s="246" t="s">
        <v>318</v>
      </c>
      <c r="CZ19" s="247">
        <f t="shared" si="12"/>
        <v>0.48499999999999999</v>
      </c>
      <c r="DA19" s="245" t="s">
        <v>317</v>
      </c>
      <c r="DD19" s="169" t="s">
        <v>460</v>
      </c>
      <c r="DE19" s="275" t="s">
        <v>475</v>
      </c>
      <c r="DF19" s="274" t="s">
        <v>318</v>
      </c>
      <c r="DG19" s="169">
        <f>O12*Z38*AP7</f>
        <v>0.35767738578991976</v>
      </c>
      <c r="DH19" s="169" t="s">
        <v>317</v>
      </c>
    </row>
    <row r="20" spans="2:112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0.1394422310756972</v>
      </c>
      <c r="H20" s="184"/>
      <c r="I20" s="177"/>
      <c r="K20" s="81" t="s">
        <v>82</v>
      </c>
      <c r="L20" s="208">
        <v>0</v>
      </c>
      <c r="M20" s="209">
        <v>2</v>
      </c>
      <c r="N20" s="209" t="s">
        <v>25</v>
      </c>
      <c r="O20" s="210">
        <f>'Tabula data'!B10*(1-'Tabula RefULG 2'!D42)/2*(1-'Tabula RefULG 2'!D44)</f>
        <v>0</v>
      </c>
      <c r="P20" s="211" t="s">
        <v>50</v>
      </c>
      <c r="Q20" s="30">
        <f t="shared" si="7"/>
        <v>0.29666979362101314</v>
      </c>
      <c r="R20" s="30">
        <f t="shared" si="8"/>
        <v>0</v>
      </c>
      <c r="S20" s="30">
        <f t="shared" si="18"/>
        <v>0</v>
      </c>
      <c r="T20" s="30" t="e">
        <f t="shared" si="19"/>
        <v>#DIV/0!</v>
      </c>
      <c r="U20" s="30">
        <f t="shared" si="20"/>
        <v>0</v>
      </c>
      <c r="V20" s="31"/>
      <c r="W20" s="223"/>
      <c r="X20" s="187"/>
      <c r="Y20" s="174" t="s">
        <v>273</v>
      </c>
      <c r="Z20" s="174">
        <v>0.02</v>
      </c>
      <c r="AA20" s="174">
        <v>0.6</v>
      </c>
      <c r="AB20" s="174">
        <v>975</v>
      </c>
      <c r="AC20" s="174">
        <v>840</v>
      </c>
      <c r="AD20" s="229">
        <f>Z20/AA20</f>
        <v>3.3333333333333333E-2</v>
      </c>
      <c r="AE20" s="192">
        <f>Z20*AB20*AC20</f>
        <v>16380</v>
      </c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SUM(O14)*1/(SUM(AD43:AD44)+1/6)</f>
        <v>240.86363636363635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22">AP20</f>
        <v>240.86363636363635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3">BE32</f>
        <v>737</v>
      </c>
      <c r="BQ20" s="167" t="s">
        <v>317</v>
      </c>
      <c r="BS20" s="81" t="s">
        <v>373</v>
      </c>
      <c r="BT20" s="81" t="s">
        <v>296</v>
      </c>
      <c r="BU20" s="166">
        <v>95200000</v>
      </c>
      <c r="BV20" s="166">
        <v>2180000</v>
      </c>
      <c r="BW20" s="81">
        <v>43.68</v>
      </c>
      <c r="BX20" s="81" t="s">
        <v>384</v>
      </c>
      <c r="BY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 t="shared" si="21"/>
        <v>644</v>
      </c>
      <c r="CF20" s="167" t="s">
        <v>317</v>
      </c>
      <c r="CI20" s="81" t="s">
        <v>332</v>
      </c>
      <c r="CJ20" s="242">
        <f t="shared" si="1"/>
        <v>274.84124214018959</v>
      </c>
      <c r="CK20" s="242">
        <f t="shared" si="2"/>
        <v>2190</v>
      </c>
      <c r="CL20" s="242">
        <f t="shared" si="3"/>
        <v>644</v>
      </c>
      <c r="CO20" s="243" t="s">
        <v>373</v>
      </c>
      <c r="CP20" s="243" t="s">
        <v>338</v>
      </c>
      <c r="CQ20" s="244">
        <v>0.20899999999999999</v>
      </c>
      <c r="CR20" s="244">
        <v>0.32700000000000001</v>
      </c>
      <c r="CS20" s="243">
        <v>0.64</v>
      </c>
      <c r="CT20" s="243">
        <v>0.52259999999999995</v>
      </c>
      <c r="CW20" s="245" t="s">
        <v>460</v>
      </c>
      <c r="CX20" s="249" t="s">
        <v>476</v>
      </c>
      <c r="CY20" s="246" t="s">
        <v>318</v>
      </c>
      <c r="CZ20" s="247">
        <f t="shared" si="12"/>
        <v>0.442</v>
      </c>
      <c r="DA20" s="245" t="s">
        <v>317</v>
      </c>
      <c r="DD20" s="169" t="s">
        <v>460</v>
      </c>
      <c r="DE20" s="276" t="s">
        <v>476</v>
      </c>
      <c r="DF20" s="274" t="s">
        <v>318</v>
      </c>
      <c r="DG20" s="169">
        <f>O13*Z38*AP7</f>
        <v>0.31351968384054696</v>
      </c>
      <c r="DH20" s="169" t="s">
        <v>317</v>
      </c>
    </row>
    <row r="21" spans="2:112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0.1394422310756972</v>
      </c>
      <c r="H21" s="184"/>
      <c r="I21" s="177"/>
      <c r="K21" s="81" t="s">
        <v>84</v>
      </c>
      <c r="L21" s="208">
        <v>0</v>
      </c>
      <c r="M21" s="209">
        <v>2</v>
      </c>
      <c r="N21" s="209" t="s">
        <v>54</v>
      </c>
      <c r="O21" s="210">
        <f>I10</f>
        <v>4.2</v>
      </c>
      <c r="P21" s="211" t="s">
        <v>26</v>
      </c>
      <c r="Q21" s="30">
        <f t="shared" si="7"/>
        <v>2</v>
      </c>
      <c r="R21" s="30">
        <f t="shared" si="8"/>
        <v>8.4</v>
      </c>
      <c r="S21" s="30">
        <f t="shared" si="18"/>
        <v>0</v>
      </c>
      <c r="T21" s="30">
        <f t="shared" si="19"/>
        <v>0</v>
      </c>
      <c r="U21" s="30">
        <f t="shared" si="20"/>
        <v>0</v>
      </c>
      <c r="V21" s="31"/>
      <c r="W21" s="223"/>
      <c r="AF21" s="222"/>
      <c r="AG21" s="222"/>
      <c r="AH21" s="222"/>
      <c r="AM21" s="158" t="s">
        <v>314</v>
      </c>
      <c r="AN21" s="81" t="s">
        <v>315</v>
      </c>
      <c r="AO21" s="81" t="s">
        <v>332</v>
      </c>
      <c r="AP21" s="81">
        <f>2*AA22*O27+O30*1*AA54</f>
        <v>274.84124214018959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22"/>
        <v>274.84124214018959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3"/>
        <v>2190</v>
      </c>
      <c r="BQ21" s="167" t="s">
        <v>317</v>
      </c>
      <c r="BS21" s="81" t="s">
        <v>373</v>
      </c>
      <c r="BT21" s="81" t="s">
        <v>298</v>
      </c>
      <c r="BU21" s="166">
        <v>22100000</v>
      </c>
      <c r="BV21" s="166">
        <v>378000</v>
      </c>
      <c r="BW21" s="81">
        <v>58.53</v>
      </c>
      <c r="BX21" s="81" t="s">
        <v>384</v>
      </c>
      <c r="BY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 t="shared" si="21"/>
        <v>260</v>
      </c>
      <c r="CF21" s="167" t="s">
        <v>317</v>
      </c>
      <c r="CI21" s="81" t="s">
        <v>333</v>
      </c>
      <c r="CJ21" s="242">
        <f t="shared" si="1"/>
        <v>80.540337317397075</v>
      </c>
      <c r="CK21" s="242">
        <f t="shared" si="2"/>
        <v>251</v>
      </c>
      <c r="CL21" s="242">
        <f t="shared" si="3"/>
        <v>260</v>
      </c>
      <c r="CO21" s="243" t="s">
        <v>373</v>
      </c>
      <c r="CP21" s="243" t="s">
        <v>449</v>
      </c>
      <c r="CQ21" s="244">
        <v>7.5800000000000006E-2</v>
      </c>
      <c r="CR21" s="244">
        <v>0.125</v>
      </c>
      <c r="CS21" s="243">
        <v>0.6</v>
      </c>
      <c r="CT21" s="243">
        <v>0.54549999999999998</v>
      </c>
      <c r="CW21" s="245" t="s">
        <v>460</v>
      </c>
      <c r="CX21" s="249" t="s">
        <v>477</v>
      </c>
      <c r="CY21" s="246" t="s">
        <v>318</v>
      </c>
      <c r="CZ21" s="247">
        <f t="shared" si="12"/>
        <v>0.20200000000000001</v>
      </c>
      <c r="DA21" s="245" t="s">
        <v>317</v>
      </c>
      <c r="DD21" s="169" t="s">
        <v>460</v>
      </c>
      <c r="DE21" s="276" t="s">
        <v>477</v>
      </c>
      <c r="DF21" s="274" t="s">
        <v>318</v>
      </c>
      <c r="DG21" s="169">
        <f>O11*Z38*AP42</f>
        <v>0.34884584540004526</v>
      </c>
      <c r="DH21" s="169" t="s">
        <v>317</v>
      </c>
    </row>
    <row r="22" spans="2:112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9.7523219814241488E-2</v>
      </c>
      <c r="H22" s="176"/>
      <c r="I22" s="177"/>
      <c r="K22" s="81" t="s">
        <v>87</v>
      </c>
      <c r="L22" s="208">
        <v>0</v>
      </c>
      <c r="M22" s="209">
        <v>2</v>
      </c>
      <c r="N22" s="209" t="s">
        <v>54</v>
      </c>
      <c r="O22" s="210">
        <f>I11</f>
        <v>3.95</v>
      </c>
      <c r="P22" s="211" t="s">
        <v>39</v>
      </c>
      <c r="Q22" s="30">
        <f t="shared" si="7"/>
        <v>2</v>
      </c>
      <c r="R22" s="30">
        <f t="shared" si="8"/>
        <v>7.9</v>
      </c>
      <c r="S22" s="30">
        <f t="shared" si="18"/>
        <v>0</v>
      </c>
      <c r="T22" s="30">
        <f t="shared" si="19"/>
        <v>0</v>
      </c>
      <c r="U22" s="30">
        <f t="shared" si="20"/>
        <v>0</v>
      </c>
      <c r="V22" s="31"/>
      <c r="W22" s="223"/>
      <c r="X22" s="216" t="s">
        <v>85</v>
      </c>
      <c r="Y22" s="217"/>
      <c r="Z22" s="218" t="s">
        <v>21</v>
      </c>
      <c r="AA22" s="219">
        <f>(1/(1/4+SUM(AD24:AD26)+1/4))</f>
        <v>1.330049261083744</v>
      </c>
      <c r="AB22" s="217" t="s">
        <v>5</v>
      </c>
      <c r="AC22" s="217"/>
      <c r="AD22" s="217" t="s">
        <v>22</v>
      </c>
      <c r="AE22" s="220">
        <f>SUM(AE24:AE27)</f>
        <v>150360</v>
      </c>
      <c r="AF22" s="222" t="s">
        <v>23</v>
      </c>
      <c r="AG22" s="222">
        <f>SUM(AE24:AE26)</f>
        <v>150360</v>
      </c>
      <c r="AH22" s="222"/>
      <c r="AM22" s="158" t="s">
        <v>314</v>
      </c>
      <c r="AN22" s="81" t="s">
        <v>315</v>
      </c>
      <c r="AO22" s="81" t="s">
        <v>333</v>
      </c>
      <c r="AP22" s="152">
        <f>'Verwarming Tabula 2zone Ref1'!B60+SUM(R10:R13)+R16</f>
        <v>80.540337317397075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22"/>
        <v>80.540337317397075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3"/>
        <v>251</v>
      </c>
      <c r="BQ22" s="167" t="s">
        <v>317</v>
      </c>
      <c r="BS22" s="81" t="s">
        <v>373</v>
      </c>
      <c r="BT22" s="81" t="s">
        <v>396</v>
      </c>
      <c r="BU22" s="166">
        <v>-8.51</v>
      </c>
      <c r="BV22" s="166">
        <v>0.16800000000000001</v>
      </c>
      <c r="BW22" s="81">
        <v>-50.8</v>
      </c>
      <c r="BX22" s="81" t="s">
        <v>384</v>
      </c>
      <c r="BY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1/BU41</f>
        <v>1992.0318725099603</v>
      </c>
      <c r="CF22" s="167" t="s">
        <v>317</v>
      </c>
      <c r="CI22" s="81" t="s">
        <v>334</v>
      </c>
      <c r="CJ22" s="242">
        <f t="shared" si="1"/>
        <v>13.055513029002245</v>
      </c>
      <c r="CK22" s="242">
        <f t="shared" si="2"/>
        <v>884.95575221238948</v>
      </c>
      <c r="CL22" s="242">
        <f t="shared" si="3"/>
        <v>1992.0318725099603</v>
      </c>
      <c r="CO22" s="243" t="s">
        <v>373</v>
      </c>
      <c r="CP22" s="243" t="s">
        <v>450</v>
      </c>
      <c r="CQ22" s="244">
        <v>0.49299999999999999</v>
      </c>
      <c r="CR22" s="244">
        <v>0.20399999999999999</v>
      </c>
      <c r="CS22" s="243">
        <v>2.42</v>
      </c>
      <c r="CT22" s="243">
        <v>1.5699999999999999E-2</v>
      </c>
      <c r="CU22" s="243" t="s">
        <v>418</v>
      </c>
      <c r="CW22" s="245" t="s">
        <v>460</v>
      </c>
      <c r="CX22" s="249" t="s">
        <v>478</v>
      </c>
      <c r="CY22" s="246" t="s">
        <v>318</v>
      </c>
      <c r="CZ22" s="247">
        <f t="shared" si="12"/>
        <v>4.65E-2</v>
      </c>
      <c r="DA22" s="245" t="s">
        <v>317</v>
      </c>
      <c r="DD22" s="169" t="s">
        <v>460</v>
      </c>
      <c r="DE22" s="276" t="s">
        <v>478</v>
      </c>
      <c r="DF22" s="274" t="s">
        <v>318</v>
      </c>
      <c r="DG22" s="169">
        <f>O10*Z38*AP42</f>
        <v>0.37092469637473163</v>
      </c>
      <c r="DH22" s="169" t="s">
        <v>317</v>
      </c>
    </row>
    <row r="23" spans="2:112" ht="15" customHeight="1" thickTop="1" thickBot="1" x14ac:dyDescent="0.3">
      <c r="B23" s="193" t="s">
        <v>91</v>
      </c>
      <c r="C23" s="195">
        <f>C17+C6</f>
        <v>225.9</v>
      </c>
      <c r="D23" s="194" t="s">
        <v>9</v>
      </c>
      <c r="E23" s="175"/>
      <c r="F23" s="176"/>
      <c r="G23" s="176"/>
      <c r="H23" s="176"/>
      <c r="I23" s="177"/>
      <c r="K23" s="81" t="s">
        <v>89</v>
      </c>
      <c r="L23" s="208">
        <v>0</v>
      </c>
      <c r="M23" s="209">
        <v>2</v>
      </c>
      <c r="N23" s="209" t="s">
        <v>54</v>
      </c>
      <c r="O23" s="210">
        <f>I12</f>
        <v>4.05</v>
      </c>
      <c r="P23" s="211" t="s">
        <v>45</v>
      </c>
      <c r="Q23" s="30">
        <f t="shared" si="7"/>
        <v>2</v>
      </c>
      <c r="R23" s="30">
        <f t="shared" si="8"/>
        <v>8.1</v>
      </c>
      <c r="S23" s="30">
        <f t="shared" si="18"/>
        <v>0</v>
      </c>
      <c r="T23" s="30">
        <f t="shared" si="19"/>
        <v>0</v>
      </c>
      <c r="U23" s="30">
        <f t="shared" si="20"/>
        <v>0</v>
      </c>
      <c r="V23" s="31"/>
      <c r="W23" s="223"/>
      <c r="X23" s="224"/>
      <c r="Y23" s="225" t="s">
        <v>27</v>
      </c>
      <c r="Z23" s="225" t="s">
        <v>28</v>
      </c>
      <c r="AA23" s="225" t="s">
        <v>29</v>
      </c>
      <c r="AB23" s="225" t="s">
        <v>30</v>
      </c>
      <c r="AC23" s="225" t="s">
        <v>31</v>
      </c>
      <c r="AD23" s="225" t="s">
        <v>32</v>
      </c>
      <c r="AE23" s="226" t="s">
        <v>33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SUM(O6:O9)*1/(SUM(AD17:AD18)+1/23)</f>
        <v>13.055513029002245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22"/>
        <v>13.055513029002245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397</v>
      </c>
      <c r="BU23" s="166">
        <v>-16.7</v>
      </c>
      <c r="BV23" s="166">
        <v>5.94</v>
      </c>
      <c r="BW23" s="81">
        <v>-2.81</v>
      </c>
      <c r="BX23" s="81">
        <v>4.8999999999999998E-3</v>
      </c>
      <c r="BY23" s="81" t="s">
        <v>398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BU44</f>
        <v>530</v>
      </c>
      <c r="CF23" s="167" t="s">
        <v>317</v>
      </c>
      <c r="CI23" s="81" t="s">
        <v>335</v>
      </c>
      <c r="CJ23" s="242">
        <f t="shared" si="1"/>
        <v>20.283253588516747</v>
      </c>
      <c r="CK23" s="242">
        <f t="shared" si="2"/>
        <v>301</v>
      </c>
      <c r="CL23" s="242">
        <f t="shared" si="3"/>
        <v>530</v>
      </c>
      <c r="CO23" s="243" t="s">
        <v>373</v>
      </c>
      <c r="CP23" s="243" t="s">
        <v>451</v>
      </c>
      <c r="CQ23" s="244">
        <v>0.51800000000000002</v>
      </c>
      <c r="CR23" s="244">
        <v>5.3400000000000001E-3</v>
      </c>
      <c r="CS23" s="243">
        <v>96.93</v>
      </c>
      <c r="CT23" s="243" t="s">
        <v>420</v>
      </c>
      <c r="CU23" s="244">
        <v>2E-16</v>
      </c>
      <c r="CV23" s="81" t="s">
        <v>385</v>
      </c>
      <c r="CW23" s="245" t="s">
        <v>460</v>
      </c>
      <c r="CX23" s="248" t="s">
        <v>479</v>
      </c>
      <c r="CY23" s="246" t="s">
        <v>318</v>
      </c>
      <c r="CZ23" s="247">
        <f t="shared" si="12"/>
        <v>0.20899999999999999</v>
      </c>
      <c r="DA23" s="245" t="s">
        <v>317</v>
      </c>
      <c r="DD23" s="169" t="s">
        <v>460</v>
      </c>
      <c r="DE23" s="275" t="s">
        <v>479</v>
      </c>
      <c r="DF23" s="274" t="s">
        <v>318</v>
      </c>
      <c r="DG23" s="169">
        <f>O12*Z38*AP42</f>
        <v>0.35767738578991976</v>
      </c>
      <c r="DH23" s="169" t="s">
        <v>317</v>
      </c>
    </row>
    <row r="24" spans="2:112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0.66489597166888015</v>
      </c>
      <c r="H24" s="176"/>
      <c r="I24" s="177"/>
      <c r="K24" s="81" t="s">
        <v>92</v>
      </c>
      <c r="L24" s="208">
        <v>0</v>
      </c>
      <c r="M24" s="209">
        <v>2</v>
      </c>
      <c r="N24" s="209" t="s">
        <v>54</v>
      </c>
      <c r="O24" s="210">
        <f>I13</f>
        <v>3.55</v>
      </c>
      <c r="P24" s="211" t="s">
        <v>50</v>
      </c>
      <c r="Q24" s="30">
        <f t="shared" si="7"/>
        <v>2</v>
      </c>
      <c r="R24" s="30">
        <f t="shared" si="8"/>
        <v>7.1</v>
      </c>
      <c r="S24" s="30">
        <f t="shared" si="18"/>
        <v>0</v>
      </c>
      <c r="T24" s="30">
        <f t="shared" si="19"/>
        <v>0</v>
      </c>
      <c r="U24" s="30">
        <f t="shared" si="20"/>
        <v>0</v>
      </c>
      <c r="V24" s="31"/>
      <c r="W24" s="223"/>
      <c r="X24" s="175"/>
      <c r="Y24" s="176" t="s">
        <v>433</v>
      </c>
      <c r="Z24" s="176">
        <v>0.02</v>
      </c>
      <c r="AA24" s="176">
        <v>0.6</v>
      </c>
      <c r="AB24" s="176">
        <v>975</v>
      </c>
      <c r="AC24" s="176">
        <v>840</v>
      </c>
      <c r="AD24" s="227">
        <f>Z24/AA24</f>
        <v>3.3333333333333333E-2</v>
      </c>
      <c r="AE24" s="177">
        <f>Z24*AB24*AC24</f>
        <v>16380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SUM(O14)*1/(SUM(AD45:AD47))</f>
        <v>20.283253588516747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22"/>
        <v>20.283253588516747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399</v>
      </c>
      <c r="BU24" s="166">
        <v>-12.4</v>
      </c>
      <c r="BV24" s="166">
        <v>4.4400000000000004</v>
      </c>
      <c r="BW24" s="81">
        <v>-2.8</v>
      </c>
      <c r="BX24" s="81">
        <v>5.1000000000000004E-3</v>
      </c>
      <c r="BY24" s="81" t="s">
        <v>398</v>
      </c>
      <c r="CA24" s="167"/>
      <c r="CB24" s="167"/>
      <c r="CC24" s="167"/>
      <c r="CD24" s="168"/>
      <c r="CE24" s="161"/>
      <c r="CF24" s="167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0.125</v>
      </c>
      <c r="CR24" s="244">
        <v>1.9199999999999998E-2</v>
      </c>
      <c r="CS24" s="243">
        <v>6.53</v>
      </c>
      <c r="CT24" s="244">
        <v>7.1E-11</v>
      </c>
      <c r="CU24" s="243" t="s">
        <v>385</v>
      </c>
      <c r="CW24" s="245" t="s">
        <v>460</v>
      </c>
      <c r="CX24" s="246" t="s">
        <v>480</v>
      </c>
      <c r="CY24" s="246" t="s">
        <v>318</v>
      </c>
      <c r="CZ24" s="247">
        <f t="shared" si="12"/>
        <v>0.17799999999999999</v>
      </c>
      <c r="DA24" s="245" t="s">
        <v>317</v>
      </c>
      <c r="DD24" s="169" t="s">
        <v>460</v>
      </c>
      <c r="DE24" s="274" t="s">
        <v>480</v>
      </c>
      <c r="DF24" s="274" t="s">
        <v>318</v>
      </c>
      <c r="DG24" s="169">
        <f>O13*Z38*AP42</f>
        <v>0.31351968384054696</v>
      </c>
      <c r="DH24" s="169" t="s">
        <v>317</v>
      </c>
    </row>
    <row r="25" spans="2:112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s="81" t="s">
        <v>96</v>
      </c>
      <c r="L25" s="208">
        <v>0</v>
      </c>
      <c r="M25" s="209">
        <v>2</v>
      </c>
      <c r="N25" s="209" t="s">
        <v>20</v>
      </c>
      <c r="O25" s="210">
        <f>'Tabula data'!B7</f>
        <v>90</v>
      </c>
      <c r="P25" s="211" t="s">
        <v>97</v>
      </c>
      <c r="Q25" s="30">
        <f t="shared" si="7"/>
        <v>0.27481053799679722</v>
      </c>
      <c r="R25" s="30">
        <f t="shared" si="8"/>
        <v>24.73294841971175</v>
      </c>
      <c r="S25" s="30">
        <f t="shared" si="18"/>
        <v>7678980</v>
      </c>
      <c r="T25" s="30">
        <f t="shared" si="19"/>
        <v>85322</v>
      </c>
      <c r="U25" s="30">
        <f t="shared" si="20"/>
        <v>3800700</v>
      </c>
      <c r="V25" s="31"/>
      <c r="W25" s="223"/>
      <c r="X25" s="175"/>
      <c r="Y25" s="176" t="s">
        <v>434</v>
      </c>
      <c r="Z25" s="176">
        <v>0.1</v>
      </c>
      <c r="AA25" s="176">
        <v>0.54</v>
      </c>
      <c r="AB25" s="176">
        <v>1400</v>
      </c>
      <c r="AC25" s="176">
        <v>840</v>
      </c>
      <c r="AD25" s="227">
        <f>Z25/AA25</f>
        <v>0.18518518518518517</v>
      </c>
      <c r="AE25" s="177">
        <f>Z25*AB25*AC25</f>
        <v>117600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L25" s="167"/>
      <c r="BM25" s="167"/>
      <c r="BN25" s="167"/>
      <c r="BO25" s="168"/>
      <c r="BP25" s="161"/>
      <c r="BQ25" s="167"/>
      <c r="BS25" s="81" t="s">
        <v>373</v>
      </c>
      <c r="BT25" s="81" t="s">
        <v>400</v>
      </c>
      <c r="BU25" s="166">
        <v>-17.8</v>
      </c>
      <c r="BV25" s="166">
        <v>5.5</v>
      </c>
      <c r="BW25" s="81">
        <v>-3.24</v>
      </c>
      <c r="BX25" s="81">
        <v>1.1999999999999999E-3</v>
      </c>
      <c r="BY25" s="81" t="s">
        <v>398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BU53</f>
        <v>0.42799999999999999</v>
      </c>
      <c r="CF25" s="167" t="s">
        <v>317</v>
      </c>
      <c r="CI25" s="81" t="s">
        <v>336</v>
      </c>
      <c r="CJ25" s="239">
        <f t="shared" si="1"/>
        <v>0.20964687111625821</v>
      </c>
      <c r="CK25" s="239">
        <f t="shared" si="2"/>
        <v>0.01</v>
      </c>
      <c r="CL25" s="239">
        <f t="shared" si="3"/>
        <v>0.42799999999999999</v>
      </c>
      <c r="CO25" s="243" t="s">
        <v>373</v>
      </c>
      <c r="CP25" s="243" t="s">
        <v>453</v>
      </c>
      <c r="CQ25" s="244">
        <v>0.48499999999999999</v>
      </c>
      <c r="CR25" s="244">
        <v>3.0400000000000002E-3</v>
      </c>
      <c r="CS25" s="243">
        <v>159.69</v>
      </c>
      <c r="CT25" s="243" t="s">
        <v>420</v>
      </c>
      <c r="CU25" s="244">
        <v>2E-16</v>
      </c>
      <c r="CV25" s="81" t="s">
        <v>385</v>
      </c>
      <c r="CY25" s="246"/>
      <c r="DF25" s="274"/>
    </row>
    <row r="26" spans="2:112" ht="15" customHeight="1" thickTop="1" thickBot="1" x14ac:dyDescent="0.3">
      <c r="B26" s="193" t="s">
        <v>100</v>
      </c>
      <c r="C26" s="199">
        <f>'Tabula data'!B6</f>
        <v>323</v>
      </c>
      <c r="D26" s="198" t="s">
        <v>9</v>
      </c>
      <c r="E26" s="175"/>
      <c r="F26" s="176"/>
      <c r="G26" s="176"/>
      <c r="H26" s="176"/>
      <c r="I26" s="177"/>
      <c r="K26" s="81" t="s">
        <v>98</v>
      </c>
      <c r="L26" s="208">
        <v>1</v>
      </c>
      <c r="M26" s="209">
        <v>2</v>
      </c>
      <c r="N26" s="209" t="s">
        <v>99</v>
      </c>
      <c r="O26" s="210">
        <f>O14</f>
        <v>75.699999999999989</v>
      </c>
      <c r="P26" s="211"/>
      <c r="Q26" s="30">
        <f t="shared" si="7"/>
        <v>0.91717620900500274</v>
      </c>
      <c r="R26" s="30">
        <f t="shared" si="8"/>
        <v>69.430239021678702</v>
      </c>
      <c r="S26" s="30">
        <f t="shared" si="18"/>
        <v>4370917.9999999991</v>
      </c>
      <c r="T26" s="30">
        <f t="shared" si="19"/>
        <v>57740</v>
      </c>
      <c r="U26" s="30">
        <f t="shared" si="20"/>
        <v>4370917.9999999991</v>
      </c>
      <c r="V26" s="31"/>
      <c r="W26" s="223"/>
      <c r="X26" s="187"/>
      <c r="Y26" s="174" t="s">
        <v>433</v>
      </c>
      <c r="Z26" s="174">
        <v>0.02</v>
      </c>
      <c r="AA26" s="174">
        <v>0.6</v>
      </c>
      <c r="AB26" s="174">
        <v>975</v>
      </c>
      <c r="AC26" s="174">
        <v>840</v>
      </c>
      <c r="AD26" s="229">
        <f>Z26/AA26</f>
        <v>3.3333333333333333E-2</v>
      </c>
      <c r="AE26" s="192">
        <f>Z26*AB26*AC26</f>
        <v>16380</v>
      </c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SUM(O17:O20,O25)/SUM(O$17:O$25,2*O$28,O$26,O31,2*O29)</f>
        <v>0.20964687111625821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0.20964687111625821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401</v>
      </c>
      <c r="BU26" s="166">
        <v>-18.8</v>
      </c>
      <c r="BV26" s="166">
        <v>6.12</v>
      </c>
      <c r="BW26" s="81">
        <v>-3.06</v>
      </c>
      <c r="BX26" s="81">
        <v>2.2000000000000001E-3</v>
      </c>
      <c r="BY26" s="81" t="s">
        <v>398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 t="shared" ref="CE26:CE27" si="24">BU54</f>
        <v>0.161</v>
      </c>
      <c r="CF26" s="167" t="s">
        <v>317</v>
      </c>
      <c r="CI26" s="81" t="s">
        <v>337</v>
      </c>
      <c r="CJ26" s="239">
        <f t="shared" si="1"/>
        <v>0.67577412872519027</v>
      </c>
      <c r="CK26" s="239">
        <f t="shared" si="2"/>
        <v>1.0200000000000001E-2</v>
      </c>
      <c r="CL26" s="239">
        <f t="shared" si="3"/>
        <v>0.161</v>
      </c>
      <c r="CO26" s="243" t="s">
        <v>373</v>
      </c>
      <c r="CP26" s="243" t="s">
        <v>454</v>
      </c>
      <c r="CQ26" s="244">
        <v>0.442</v>
      </c>
      <c r="CR26" s="244">
        <v>5.2900000000000004E-3</v>
      </c>
      <c r="CS26" s="243">
        <v>83.51</v>
      </c>
      <c r="CT26" s="243" t="s">
        <v>420</v>
      </c>
      <c r="CU26" s="244">
        <v>2E-16</v>
      </c>
      <c r="CV26" s="81" t="s">
        <v>385</v>
      </c>
      <c r="CX26" s="246"/>
      <c r="CY26" s="246"/>
      <c r="CZ26" s="247"/>
      <c r="DE26" s="274"/>
      <c r="DF26" s="274"/>
    </row>
    <row r="27" spans="2:112" ht="15" customHeight="1" thickTop="1" thickBot="1" x14ac:dyDescent="0.3">
      <c r="B27" s="175"/>
      <c r="C27" s="191">
        <f>SUM(O6:O25)</f>
        <v>323</v>
      </c>
      <c r="D27" s="177" t="s">
        <v>70</v>
      </c>
      <c r="E27" s="175"/>
      <c r="F27" s="176"/>
      <c r="G27" s="176"/>
      <c r="H27" s="176"/>
      <c r="I27" s="177"/>
      <c r="K27" s="81" t="s">
        <v>101</v>
      </c>
      <c r="L27" s="208">
        <v>1</v>
      </c>
      <c r="M27" s="209">
        <v>1</v>
      </c>
      <c r="N27" s="209" t="s">
        <v>85</v>
      </c>
      <c r="O27" s="210">
        <f>SUM(O6:O9)+O30/2</f>
        <v>68.671375389958385</v>
      </c>
      <c r="P27" s="211"/>
      <c r="Q27" s="30">
        <f t="shared" si="7"/>
        <v>1.330049261083744</v>
      </c>
      <c r="R27" s="30">
        <f t="shared" si="8"/>
        <v>91.336312095018556</v>
      </c>
      <c r="S27" s="30">
        <f t="shared" si="18"/>
        <v>10325428.003634144</v>
      </c>
      <c r="T27" s="30">
        <f t="shared" si="19"/>
        <v>150360</v>
      </c>
      <c r="U27" s="30">
        <f t="shared" si="20"/>
        <v>10325428.003634144</v>
      </c>
      <c r="V27" s="31"/>
      <c r="W27" s="223"/>
      <c r="AF27" s="222"/>
      <c r="AG27" s="222"/>
      <c r="AH27" s="222"/>
      <c r="AM27" s="158" t="s">
        <v>314</v>
      </c>
      <c r="AN27" s="81" t="s">
        <v>315</v>
      </c>
      <c r="AO27" s="81" t="s">
        <v>337</v>
      </c>
      <c r="AP27" s="81">
        <f>SUM(2*O28,2*O29,O31)/SUM(O$17:O$25,2*O$28,O$26,O31,2*O29)</f>
        <v>0.67577412872519027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5">AP27</f>
        <v>0.67577412872519027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6">BE53</f>
        <v>1.0200000000000001E-2</v>
      </c>
      <c r="BQ27" s="167" t="s">
        <v>317</v>
      </c>
      <c r="BS27" s="81" t="s">
        <v>373</v>
      </c>
      <c r="BT27" s="81" t="s">
        <v>402</v>
      </c>
      <c r="BU27" s="166">
        <v>8.2900000000000001E-2</v>
      </c>
      <c r="BV27" s="166">
        <v>2.0799999999999999E-4</v>
      </c>
      <c r="BW27" s="81">
        <v>398.4</v>
      </c>
      <c r="BX27" s="81" t="s">
        <v>384</v>
      </c>
      <c r="BY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 t="shared" si="24"/>
        <v>8.0100000000000005E-2</v>
      </c>
      <c r="CF27" s="167" t="s">
        <v>317</v>
      </c>
      <c r="CI27" s="81" t="s">
        <v>338</v>
      </c>
      <c r="CJ27" s="239">
        <f t="shared" si="1"/>
        <v>1.9733398059017901E-2</v>
      </c>
      <c r="CK27" s="239">
        <f t="shared" si="2"/>
        <v>0.69799999999999995</v>
      </c>
      <c r="CL27" s="239">
        <f t="shared" si="3"/>
        <v>8.0100000000000005E-2</v>
      </c>
      <c r="CO27" s="243" t="s">
        <v>373</v>
      </c>
      <c r="CP27" s="243" t="s">
        <v>455</v>
      </c>
      <c r="CQ27" s="244">
        <v>0.20200000000000001</v>
      </c>
      <c r="CR27" s="244">
        <v>4.3400000000000001E-3</v>
      </c>
      <c r="CS27" s="243">
        <v>46.5</v>
      </c>
      <c r="CT27" s="243" t="s">
        <v>420</v>
      </c>
      <c r="CU27" s="244">
        <v>2E-16</v>
      </c>
      <c r="CV27" s="81" t="s">
        <v>385</v>
      </c>
      <c r="CW27" s="245" t="s">
        <v>460</v>
      </c>
      <c r="CX27" s="246" t="s">
        <v>325</v>
      </c>
      <c r="CY27" s="246" t="s">
        <v>318</v>
      </c>
      <c r="CZ27" s="247">
        <f>CQ32</f>
        <v>283000000</v>
      </c>
      <c r="DA27" s="245" t="s">
        <v>317</v>
      </c>
      <c r="DD27" s="169" t="s">
        <v>460</v>
      </c>
      <c r="DE27" s="274" t="s">
        <v>325</v>
      </c>
      <c r="DF27" s="274" t="s">
        <v>318</v>
      </c>
      <c r="DG27" s="278">
        <f>AP12</f>
        <v>8399671.9999999981</v>
      </c>
      <c r="DH27" s="169" t="s">
        <v>317</v>
      </c>
    </row>
    <row r="28" spans="2:112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s="81" t="s">
        <v>102</v>
      </c>
      <c r="L28" s="208">
        <v>2</v>
      </c>
      <c r="M28" s="209">
        <v>2</v>
      </c>
      <c r="N28" s="209" t="s">
        <v>85</v>
      </c>
      <c r="O28" s="210">
        <f>SUM(O17:O20)+O31/2</f>
        <v>136.25416887148947</v>
      </c>
      <c r="P28" s="211"/>
      <c r="Q28" s="30">
        <f>VLOOKUP(N28,$X$5:$AA$392,4,0)</f>
        <v>1.330049261083744</v>
      </c>
      <c r="R28" s="30">
        <f>Q28*O28</f>
        <v>181.22475662710423</v>
      </c>
      <c r="S28" s="30">
        <f>VLOOKUP(N28,$X$5:$AE$392,8,0)*O28</f>
        <v>20487176.831517156</v>
      </c>
      <c r="T28" s="30">
        <f>S28/O28</f>
        <v>150360</v>
      </c>
      <c r="U28" s="30">
        <f>VLOOKUP(N28,$X$5:$AG$391,10,0)*O28</f>
        <v>20487176.831517156</v>
      </c>
      <c r="V28" s="31"/>
      <c r="W28" s="223"/>
      <c r="X28" s="216" t="s">
        <v>99</v>
      </c>
      <c r="Y28" s="217"/>
      <c r="Z28" s="218" t="s">
        <v>21</v>
      </c>
      <c r="AA28" s="219">
        <f>1/(1/5+SUM(AD30:AD33)+1/3)</f>
        <v>0.91717620900500274</v>
      </c>
      <c r="AB28" s="217" t="s">
        <v>5</v>
      </c>
      <c r="AC28" s="217"/>
      <c r="AD28" s="217" t="s">
        <v>22</v>
      </c>
      <c r="AE28" s="220">
        <f>SUM(AE30:AE34)</f>
        <v>57740</v>
      </c>
      <c r="AF28" s="222" t="s">
        <v>23</v>
      </c>
      <c r="AG28" s="222">
        <f>SUM(AE30:AE33)</f>
        <v>57740</v>
      </c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SUM(O21:O24)/SUM(O$17:O$25,2*O$28,O$26,O31,2*O29)</f>
        <v>1.9733398059017901E-2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5"/>
        <v>1.9733398059017901E-2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6"/>
        <v>0.69799999999999995</v>
      </c>
      <c r="BQ28" s="167" t="s">
        <v>317</v>
      </c>
      <c r="BS28" s="81" t="s">
        <v>373</v>
      </c>
      <c r="BT28" s="81" t="s">
        <v>403</v>
      </c>
      <c r="BU28" s="166">
        <v>0.16500000000000001</v>
      </c>
      <c r="BV28" s="166">
        <v>4.26E-4</v>
      </c>
      <c r="BW28" s="81">
        <v>388.6</v>
      </c>
      <c r="BX28" s="81" t="s">
        <v>384</v>
      </c>
      <c r="BY28" s="81" t="s">
        <v>385</v>
      </c>
      <c r="CA28" s="167"/>
      <c r="CB28" s="167"/>
      <c r="CC28" s="167"/>
      <c r="CD28" s="168"/>
      <c r="CE28" s="161"/>
      <c r="CF28" s="167"/>
      <c r="CJ28" s="240"/>
      <c r="CK28" s="240"/>
      <c r="CL28" s="240"/>
      <c r="CO28" s="243" t="s">
        <v>373</v>
      </c>
      <c r="CP28" s="243" t="s">
        <v>355</v>
      </c>
      <c r="CQ28" s="244">
        <v>4.65E-2</v>
      </c>
      <c r="CR28" s="244">
        <v>1.4999999999999999E-2</v>
      </c>
      <c r="CS28" s="243">
        <v>3.1</v>
      </c>
      <c r="CT28" s="243">
        <v>1.9E-3</v>
      </c>
      <c r="CU28" s="243" t="s">
        <v>398</v>
      </c>
      <c r="CW28" s="245" t="s">
        <v>460</v>
      </c>
      <c r="CX28" s="249" t="s">
        <v>322</v>
      </c>
      <c r="CY28" s="246" t="s">
        <v>318</v>
      </c>
      <c r="CZ28" s="247">
        <f t="shared" ref="CZ28:CZ30" si="27">CQ33</f>
        <v>1880000</v>
      </c>
      <c r="DA28" s="245" t="s">
        <v>317</v>
      </c>
      <c r="DD28" s="169" t="s">
        <v>460</v>
      </c>
      <c r="DE28" s="276" t="s">
        <v>322</v>
      </c>
      <c r="DF28" s="274" t="s">
        <v>318</v>
      </c>
      <c r="DG28" s="278">
        <f>AP9</f>
        <v>1095632.3788579016</v>
      </c>
      <c r="DH28" s="169" t="s">
        <v>317</v>
      </c>
    </row>
    <row r="29" spans="2:112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08">
        <v>2</v>
      </c>
      <c r="M29" s="209">
        <v>2</v>
      </c>
      <c r="N29" s="209" t="s">
        <v>99</v>
      </c>
      <c r="O29" s="210">
        <f>C8-C7</f>
        <v>74.500000000000028</v>
      </c>
      <c r="P29" s="211"/>
      <c r="Q29" s="30">
        <f t="shared" ref="Q29:Q31" si="28">VLOOKUP(N29,$X$5:$AA$392,4,0)</f>
        <v>0.91717620900500274</v>
      </c>
      <c r="R29" s="30">
        <f t="shared" ref="R29:R31" si="29">Q29*O29</f>
        <v>68.329627570872731</v>
      </c>
      <c r="S29" s="30">
        <f t="shared" ref="S29:S31" si="30">VLOOKUP(N29,$X$5:$AE$392,8,0)*O29</f>
        <v>4301630.0000000019</v>
      </c>
      <c r="T29" s="30">
        <f t="shared" ref="T29:T31" si="31">S29/O29</f>
        <v>57740</v>
      </c>
      <c r="U29" s="30">
        <f t="shared" ref="U29:U31" si="32">VLOOKUP(N29,$X$5:$AG$391,10,0)*O29</f>
        <v>4301630.0000000019</v>
      </c>
      <c r="X29" s="224"/>
      <c r="Y29" s="225" t="s">
        <v>27</v>
      </c>
      <c r="Z29" s="225" t="s">
        <v>28</v>
      </c>
      <c r="AA29" s="225" t="s">
        <v>29</v>
      </c>
      <c r="AB29" s="225" t="s">
        <v>30</v>
      </c>
      <c r="AC29" s="225" t="s">
        <v>31</v>
      </c>
      <c r="AD29" s="225" t="s">
        <v>32</v>
      </c>
      <c r="AE29" s="226" t="s">
        <v>33</v>
      </c>
      <c r="AF29" s="222"/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404</v>
      </c>
      <c r="BU29" s="166">
        <v>0.71599999999999997</v>
      </c>
      <c r="BV29" s="166">
        <v>3.2699999999999999E-3</v>
      </c>
      <c r="BW29" s="81">
        <v>219.17</v>
      </c>
      <c r="BX29" s="81" t="s">
        <v>384</v>
      </c>
      <c r="BY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BU58</f>
        <v>1470000</v>
      </c>
      <c r="CF29" s="167" t="s">
        <v>317</v>
      </c>
      <c r="CI29" s="81" t="s">
        <v>339</v>
      </c>
      <c r="CJ29" s="241">
        <f t="shared" si="1"/>
        <v>2173896.7411420983</v>
      </c>
      <c r="CK29" s="241">
        <f t="shared" si="2"/>
        <v>3800000</v>
      </c>
      <c r="CL29" s="241">
        <f t="shared" si="3"/>
        <v>1470000</v>
      </c>
      <c r="CO29" s="243" t="s">
        <v>373</v>
      </c>
      <c r="CP29" s="243" t="s">
        <v>456</v>
      </c>
      <c r="CQ29" s="244">
        <v>0.20899999999999999</v>
      </c>
      <c r="CR29" s="244">
        <v>2.3900000000000002E-3</v>
      </c>
      <c r="CS29" s="243">
        <v>87.2</v>
      </c>
      <c r="CT29" s="243" t="s">
        <v>420</v>
      </c>
      <c r="CU29" s="244">
        <v>2E-16</v>
      </c>
      <c r="CV29" s="81" t="s">
        <v>385</v>
      </c>
      <c r="CW29" s="245" t="s">
        <v>460</v>
      </c>
      <c r="CX29" s="249" t="s">
        <v>323</v>
      </c>
      <c r="CY29" s="246" t="s">
        <v>318</v>
      </c>
      <c r="CZ29" s="247">
        <f t="shared" si="27"/>
        <v>15800000</v>
      </c>
      <c r="DA29" s="245" t="s">
        <v>317</v>
      </c>
      <c r="DD29" s="169" t="s">
        <v>460</v>
      </c>
      <c r="DE29" s="276" t="s">
        <v>323</v>
      </c>
      <c r="DF29" s="274" t="s">
        <v>318</v>
      </c>
      <c r="DG29" s="278">
        <f>AP10</f>
        <v>15779225.678618854</v>
      </c>
      <c r="DH29" s="169" t="s">
        <v>317</v>
      </c>
    </row>
    <row r="30" spans="2:112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 s="208" t="s">
        <v>504</v>
      </c>
      <c r="M30" s="209">
        <v>1</v>
      </c>
      <c r="N30" s="209" t="s">
        <v>505</v>
      </c>
      <c r="O30" s="210">
        <f>'Tabula data'!B19*D43</f>
        <v>59.397553790098286</v>
      </c>
      <c r="P30" s="211"/>
      <c r="Q30" s="30">
        <f t="shared" si="28"/>
        <v>1.5517241379310345</v>
      </c>
      <c r="R30" s="30">
        <f t="shared" si="29"/>
        <v>92.168617950152509</v>
      </c>
      <c r="S30" s="30">
        <f t="shared" si="30"/>
        <v>10203311.790063083</v>
      </c>
      <c r="T30" s="30">
        <f t="shared" si="31"/>
        <v>171780</v>
      </c>
      <c r="U30" s="30">
        <f t="shared" si="32"/>
        <v>10203311.790063083</v>
      </c>
      <c r="X30" s="181"/>
      <c r="Y30" s="182" t="s">
        <v>103</v>
      </c>
      <c r="Z30" s="182">
        <v>0.02</v>
      </c>
      <c r="AA30" s="182">
        <v>0.11</v>
      </c>
      <c r="AB30" s="182">
        <v>550</v>
      </c>
      <c r="AC30" s="182">
        <v>1880</v>
      </c>
      <c r="AD30" s="231">
        <f>Z30/AA30</f>
        <v>0.18181818181818182</v>
      </c>
      <c r="AE30" s="232">
        <f>Z30*AB30*AC30</f>
        <v>20680</v>
      </c>
      <c r="AF30" s="222" t="s">
        <v>104</v>
      </c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2173896.7411420983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2173896.7411420983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405</v>
      </c>
      <c r="BU30" s="166">
        <v>5.5E-2</v>
      </c>
      <c r="BV30" s="166">
        <v>1.06E-4</v>
      </c>
      <c r="BW30" s="81">
        <v>518.19000000000005</v>
      </c>
      <c r="BX30" s="81" t="s">
        <v>384</v>
      </c>
      <c r="BY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 t="shared" ref="CE30:CE31" si="33">BU59</f>
        <v>219000000</v>
      </c>
      <c r="CF30" s="167" t="s">
        <v>317</v>
      </c>
      <c r="CI30" s="81" t="s">
        <v>340</v>
      </c>
      <c r="CJ30" s="241">
        <f t="shared" si="1"/>
        <v>35109018.321381137</v>
      </c>
      <c r="CK30" s="241">
        <f t="shared" si="2"/>
        <v>78400000</v>
      </c>
      <c r="CL30" s="241">
        <f t="shared" si="3"/>
        <v>219000000</v>
      </c>
      <c r="CO30" s="243" t="s">
        <v>373</v>
      </c>
      <c r="CP30" s="243" t="s">
        <v>457</v>
      </c>
      <c r="CQ30" s="244">
        <v>0.17799999999999999</v>
      </c>
      <c r="CR30" s="244">
        <v>4.2399999999999998E-3</v>
      </c>
      <c r="CS30" s="243">
        <v>41.88</v>
      </c>
      <c r="CT30" s="243" t="s">
        <v>420</v>
      </c>
      <c r="CU30" s="244">
        <v>2E-16</v>
      </c>
      <c r="CV30" s="81" t="s">
        <v>385</v>
      </c>
      <c r="CW30" s="245" t="s">
        <v>460</v>
      </c>
      <c r="CX30" s="249" t="s">
        <v>324</v>
      </c>
      <c r="CY30" s="246" t="s">
        <v>318</v>
      </c>
      <c r="CZ30" s="247">
        <f t="shared" si="27"/>
        <v>13600000</v>
      </c>
      <c r="DA30" s="245" t="s">
        <v>317</v>
      </c>
      <c r="DD30" s="169" t="s">
        <v>460</v>
      </c>
      <c r="DE30" s="276" t="s">
        <v>324</v>
      </c>
      <c r="DF30" s="274" t="s">
        <v>318</v>
      </c>
      <c r="DG30" s="278">
        <f>AP11</f>
        <v>10264369.896848613</v>
      </c>
      <c r="DH30" s="169" t="s">
        <v>317</v>
      </c>
    </row>
    <row r="31" spans="2:112" ht="15" customHeight="1" thickTop="1" thickBot="1" x14ac:dyDescent="0.3">
      <c r="L31" s="213" t="s">
        <v>504</v>
      </c>
      <c r="M31" s="214">
        <v>2</v>
      </c>
      <c r="N31" s="214" t="s">
        <v>505</v>
      </c>
      <c r="O31" s="210">
        <f>'Tabula data'!B19*(1-D43)</f>
        <v>117.85353473279741</v>
      </c>
      <c r="P31" s="211"/>
      <c r="Q31" s="30">
        <f t="shared" si="28"/>
        <v>1.5517241379310345</v>
      </c>
      <c r="R31" s="30">
        <f t="shared" si="29"/>
        <v>182.87617458537531</v>
      </c>
      <c r="S31" s="30">
        <f t="shared" si="30"/>
        <v>20244880.196399938</v>
      </c>
      <c r="T31" s="30">
        <f t="shared" si="31"/>
        <v>171780</v>
      </c>
      <c r="U31" s="30">
        <f t="shared" si="32"/>
        <v>20244880.196399938</v>
      </c>
      <c r="X31" s="175"/>
      <c r="Y31" s="176" t="s">
        <v>105</v>
      </c>
      <c r="Z31" s="176">
        <v>0.1</v>
      </c>
      <c r="AA31" s="176"/>
      <c r="AB31" s="176"/>
      <c r="AC31" s="176"/>
      <c r="AD31" s="227">
        <v>0.16</v>
      </c>
      <c r="AE31" s="177">
        <f>Z31*AB31*AC31</f>
        <v>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35109018.321381137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34">AP31</f>
        <v>35109018.321381137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35">BE58</f>
        <v>78400000</v>
      </c>
      <c r="BQ31" s="167" t="s">
        <v>317</v>
      </c>
      <c r="BS31" s="81" t="s">
        <v>373</v>
      </c>
      <c r="BT31" s="81" t="s">
        <v>406</v>
      </c>
      <c r="BU31" s="166">
        <v>2.8899999999999999E-2</v>
      </c>
      <c r="BV31" s="166">
        <v>1.4300000000000001E-4</v>
      </c>
      <c r="BW31" s="81">
        <v>201.71</v>
      </c>
      <c r="BX31" s="81" t="s">
        <v>384</v>
      </c>
      <c r="BY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 t="shared" si="33"/>
        <v>40000000</v>
      </c>
      <c r="CF31" s="167" t="s">
        <v>317</v>
      </c>
      <c r="CI31" s="81" t="s">
        <v>341</v>
      </c>
      <c r="CJ31" s="241">
        <f t="shared" si="1"/>
        <v>45033687.027917095</v>
      </c>
      <c r="CK31" s="241">
        <f t="shared" si="2"/>
        <v>12500000</v>
      </c>
      <c r="CL31" s="241">
        <f t="shared" si="3"/>
        <v>40000000</v>
      </c>
      <c r="CO31" s="243" t="s">
        <v>373</v>
      </c>
      <c r="CP31" s="243" t="s">
        <v>303</v>
      </c>
      <c r="CQ31" s="244">
        <v>634000000</v>
      </c>
      <c r="CR31" s="244">
        <v>803000</v>
      </c>
      <c r="CS31" s="243">
        <v>790.2</v>
      </c>
      <c r="CT31" s="244" t="s">
        <v>420</v>
      </c>
      <c r="CU31" s="244">
        <v>2E-16</v>
      </c>
      <c r="CV31" s="81" t="s">
        <v>385</v>
      </c>
      <c r="CY31" s="246"/>
      <c r="DF31" s="274"/>
    </row>
    <row r="32" spans="2:112" ht="15" customHeight="1" thickTop="1" thickBot="1" x14ac:dyDescent="0.3">
      <c r="L32" s="213"/>
      <c r="M32" s="214"/>
      <c r="N32" s="214"/>
      <c r="O32" s="214"/>
      <c r="P32" s="215"/>
      <c r="Q32" s="81"/>
      <c r="R32" s="81"/>
      <c r="X32" s="175"/>
      <c r="Y32" s="176" t="s">
        <v>108</v>
      </c>
      <c r="Z32" s="176">
        <v>0.02</v>
      </c>
      <c r="AA32" s="176">
        <v>0.11</v>
      </c>
      <c r="AB32" s="176">
        <v>550</v>
      </c>
      <c r="AC32" s="176">
        <v>1880</v>
      </c>
      <c r="AD32" s="227">
        <f>Z32/AA32</f>
        <v>0.18181818181818182</v>
      </c>
      <c r="AE32" s="177">
        <f>Z32*AB32*AC32</f>
        <v>20680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SUM(U28,U31,U29)</f>
        <v>45033687.027917095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34"/>
        <v>45033687.027917095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35"/>
        <v>12500000</v>
      </c>
      <c r="BQ32" s="167" t="s">
        <v>317</v>
      </c>
      <c r="BS32" s="81" t="s">
        <v>373</v>
      </c>
      <c r="BT32" s="81" t="s">
        <v>407</v>
      </c>
      <c r="BU32" s="166">
        <v>505</v>
      </c>
      <c r="BV32" s="166">
        <v>1.79</v>
      </c>
      <c r="BW32" s="81">
        <v>282.55</v>
      </c>
      <c r="BX32" s="81" t="s">
        <v>384</v>
      </c>
      <c r="BY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BU65</f>
        <v>0.16500000000000001</v>
      </c>
      <c r="CF32" s="167" t="s">
        <v>317</v>
      </c>
      <c r="CI32" s="81" t="s">
        <v>342</v>
      </c>
      <c r="CJ32" s="239">
        <f t="shared" si="1"/>
        <v>6.289406133487746E-2</v>
      </c>
      <c r="CK32" s="239">
        <f t="shared" si="2"/>
        <v>1.6E-2</v>
      </c>
      <c r="CL32" s="239">
        <f t="shared" si="3"/>
        <v>0.16500000000000001</v>
      </c>
      <c r="CO32" s="243" t="s">
        <v>373</v>
      </c>
      <c r="CP32" s="243" t="s">
        <v>299</v>
      </c>
      <c r="CQ32" s="244">
        <v>283000000</v>
      </c>
      <c r="CR32" s="244">
        <v>1180000</v>
      </c>
      <c r="CS32" s="243">
        <v>239.31</v>
      </c>
      <c r="CT32" s="244" t="s">
        <v>420</v>
      </c>
      <c r="CU32" s="244">
        <v>2E-16</v>
      </c>
      <c r="CV32" s="81" t="s">
        <v>385</v>
      </c>
      <c r="CW32" s="245" t="s">
        <v>460</v>
      </c>
      <c r="CX32" s="249" t="s">
        <v>330</v>
      </c>
      <c r="CY32" s="246" t="s">
        <v>318</v>
      </c>
      <c r="CZ32" s="247">
        <f>CQ46</f>
        <v>89.4</v>
      </c>
      <c r="DA32" s="245" t="s">
        <v>317</v>
      </c>
      <c r="DD32" s="169" t="s">
        <v>460</v>
      </c>
      <c r="DE32" s="276" t="s">
        <v>330</v>
      </c>
      <c r="DF32" s="274" t="s">
        <v>318</v>
      </c>
      <c r="DG32" s="169">
        <f>AP19</f>
        <v>101.06842831685697</v>
      </c>
      <c r="DH32" s="169" t="s">
        <v>317</v>
      </c>
    </row>
    <row r="33" spans="2:112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89" t="s">
        <v>112</v>
      </c>
      <c r="G33" s="289"/>
      <c r="H33" s="72" t="s">
        <v>113</v>
      </c>
      <c r="L33" s="81"/>
      <c r="M33" s="81"/>
      <c r="N33" s="81"/>
      <c r="Q33" s="81"/>
      <c r="R33" s="81"/>
      <c r="X33" s="187"/>
      <c r="Y33" s="174" t="s">
        <v>80</v>
      </c>
      <c r="Z33" s="174">
        <v>0.02</v>
      </c>
      <c r="AA33" s="174">
        <v>0.6</v>
      </c>
      <c r="AB33" s="174">
        <v>975</v>
      </c>
      <c r="AC33" s="174">
        <v>840</v>
      </c>
      <c r="AD33" s="229">
        <f>Z33/AA33</f>
        <v>3.3333333333333333E-2</v>
      </c>
      <c r="AE33" s="192">
        <f>Z33*AB33*AC33</f>
        <v>16380</v>
      </c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AP26*0.3</f>
        <v>6.289406133487746E-2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34"/>
        <v>6.289406133487746E-2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408</v>
      </c>
      <c r="BU33" s="166">
        <v>194</v>
      </c>
      <c r="BV33" s="166">
        <v>0.9</v>
      </c>
      <c r="BW33" s="81">
        <v>216.08</v>
      </c>
      <c r="BX33" s="81" t="s">
        <v>384</v>
      </c>
      <c r="BY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 t="shared" ref="CE33:CE34" si="36">BU66</f>
        <v>5.8500000000000003E-2</v>
      </c>
      <c r="CF33" s="167" t="s">
        <v>317</v>
      </c>
      <c r="CI33" s="81" t="s">
        <v>343</v>
      </c>
      <c r="CJ33" s="239">
        <f t="shared" si="1"/>
        <v>0.20273223861755707</v>
      </c>
      <c r="CK33" s="239">
        <f t="shared" si="2"/>
        <v>4.2999999999999997E-2</v>
      </c>
      <c r="CL33" s="239">
        <f t="shared" si="3"/>
        <v>5.8500000000000003E-2</v>
      </c>
      <c r="CO33" s="243" t="s">
        <v>373</v>
      </c>
      <c r="CP33" s="243" t="s">
        <v>395</v>
      </c>
      <c r="CQ33" s="244">
        <v>1880000</v>
      </c>
      <c r="CR33" s="244">
        <v>44100</v>
      </c>
      <c r="CS33" s="243">
        <v>42.51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37">CQ47</f>
        <v>117</v>
      </c>
      <c r="DA33" s="245" t="s">
        <v>317</v>
      </c>
      <c r="DD33" s="169" t="s">
        <v>460</v>
      </c>
      <c r="DE33" s="276" t="s">
        <v>331</v>
      </c>
      <c r="DF33" s="274" t="s">
        <v>318</v>
      </c>
      <c r="DG33" s="169">
        <f>AP20</f>
        <v>240.86363636363635</v>
      </c>
      <c r="DH33" s="169" t="s">
        <v>317</v>
      </c>
    </row>
    <row r="34" spans="2:112" ht="15" customHeight="1" thickTop="1" thickBot="1" x14ac:dyDescent="0.3">
      <c r="B34" s="73">
        <v>1</v>
      </c>
      <c r="C34" s="74">
        <f>C7*'Tabula data'!E5</f>
        <v>208.20013280212478</v>
      </c>
      <c r="D34" s="73"/>
      <c r="E34" s="73" t="s">
        <v>42</v>
      </c>
      <c r="F34" s="290">
        <v>21</v>
      </c>
      <c r="G34" s="290"/>
      <c r="H34" s="76">
        <f>VLOOKUP(E34,B6:C22,2,0)</f>
        <v>75.699999999999989</v>
      </c>
      <c r="L34" s="81"/>
      <c r="M34" s="81"/>
      <c r="N34" s="81"/>
      <c r="Q34" s="69" t="s">
        <v>106</v>
      </c>
      <c r="R34" s="70">
        <f>SUM(R4:R13)+R14*0.5+SUM(R17:R25)+R16</f>
        <v>169.74626462214309</v>
      </c>
      <c r="S34" s="69" t="s">
        <v>107</v>
      </c>
      <c r="X34" s="176"/>
      <c r="Y34" s="176"/>
      <c r="Z34" s="176"/>
      <c r="AA34" s="176"/>
      <c r="AB34" s="176"/>
      <c r="AC34" s="176"/>
      <c r="AD34" s="227"/>
      <c r="AE34" s="176"/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AP27*0.3</f>
        <v>0.20273223861755707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34"/>
        <v>0.20273223861755707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38">BE65</f>
        <v>4.2999999999999997E-2</v>
      </c>
      <c r="BQ34" s="167" t="s">
        <v>317</v>
      </c>
      <c r="BS34" s="81" t="s">
        <v>373</v>
      </c>
      <c r="BT34" s="81" t="s">
        <v>290</v>
      </c>
      <c r="BU34" s="166">
        <v>644</v>
      </c>
      <c r="BV34" s="166">
        <v>4.09</v>
      </c>
      <c r="BW34" s="81">
        <v>157.52000000000001</v>
      </c>
      <c r="BX34" s="81" t="s">
        <v>384</v>
      </c>
      <c r="BY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 t="shared" si="36"/>
        <v>0.61199999999999999</v>
      </c>
      <c r="CF34" s="167" t="s">
        <v>317</v>
      </c>
      <c r="CI34" s="81" t="s">
        <v>345</v>
      </c>
      <c r="CJ34" s="239">
        <f t="shared" si="1"/>
        <v>0.70592001941770532</v>
      </c>
      <c r="CK34" s="239">
        <f t="shared" si="2"/>
        <v>0.73</v>
      </c>
      <c r="CL34" s="239">
        <f t="shared" si="3"/>
        <v>0.61199999999999999</v>
      </c>
      <c r="CO34" s="243" t="s">
        <v>373</v>
      </c>
      <c r="CP34" s="243" t="s">
        <v>296</v>
      </c>
      <c r="CQ34" s="244">
        <v>15800000</v>
      </c>
      <c r="CR34" s="244">
        <v>380000</v>
      </c>
      <c r="CS34" s="243">
        <v>41.5</v>
      </c>
      <c r="CT34" s="243" t="s">
        <v>420</v>
      </c>
      <c r="CU34" s="244">
        <v>2E-16</v>
      </c>
      <c r="CV34" s="81" t="s">
        <v>385</v>
      </c>
      <c r="CW34" s="245" t="s">
        <v>460</v>
      </c>
      <c r="CX34" s="250" t="s">
        <v>332</v>
      </c>
      <c r="CY34" s="246" t="s">
        <v>318</v>
      </c>
      <c r="CZ34" s="247">
        <f t="shared" si="37"/>
        <v>291</v>
      </c>
      <c r="DA34" s="245" t="s">
        <v>317</v>
      </c>
      <c r="DD34" s="169" t="s">
        <v>460</v>
      </c>
      <c r="DE34" s="277" t="s">
        <v>332</v>
      </c>
      <c r="DF34" s="274" t="s">
        <v>318</v>
      </c>
      <c r="DG34" s="169">
        <f>AP21</f>
        <v>274.84124214018959</v>
      </c>
      <c r="DH34" s="169" t="s">
        <v>317</v>
      </c>
    </row>
    <row r="35" spans="2:112" ht="15" customHeight="1" thickTop="1" thickBot="1" x14ac:dyDescent="0.3">
      <c r="B35" s="73">
        <v>2</v>
      </c>
      <c r="C35" s="74">
        <f>C4-C34</f>
        <v>413.09986719787514</v>
      </c>
      <c r="D35" s="73"/>
      <c r="E35" s="73" t="s">
        <v>116</v>
      </c>
      <c r="F35" s="77">
        <v>18</v>
      </c>
      <c r="G35" s="77"/>
      <c r="H35" s="76">
        <f>VLOOKUP(E35,B7:C23,2,0)</f>
        <v>150.20000000000002</v>
      </c>
      <c r="L35" s="81"/>
      <c r="M35" s="81"/>
      <c r="N35" s="81"/>
      <c r="Q35" s="81"/>
      <c r="R35" s="81">
        <f>H4*Z37</f>
        <v>42.871499999999997</v>
      </c>
      <c r="Z35" s="221" t="s">
        <v>4</v>
      </c>
      <c r="AA35" s="221">
        <v>5</v>
      </c>
      <c r="AB35" s="221" t="s">
        <v>5</v>
      </c>
      <c r="AF35" s="222"/>
      <c r="AG35" s="222"/>
      <c r="AH35" s="222"/>
      <c r="AM35" s="158" t="s">
        <v>314</v>
      </c>
      <c r="AN35" s="81" t="s">
        <v>315</v>
      </c>
      <c r="AO35" s="81" t="s">
        <v>345</v>
      </c>
      <c r="AP35" s="81">
        <f>AP28*0.3+0.7</f>
        <v>0.70592001941770532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34"/>
        <v>0.70592001941770532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38"/>
        <v>0.73</v>
      </c>
      <c r="BQ35" s="167" t="s">
        <v>317</v>
      </c>
      <c r="BS35" s="81" t="s">
        <v>373</v>
      </c>
      <c r="BT35" s="81" t="s">
        <v>120</v>
      </c>
      <c r="BU35" s="166">
        <v>260</v>
      </c>
      <c r="BV35" s="166">
        <v>2.52</v>
      </c>
      <c r="BW35" s="81">
        <v>103.2</v>
      </c>
      <c r="BX35" s="81" t="s">
        <v>384</v>
      </c>
      <c r="BY35" s="81" t="s">
        <v>385</v>
      </c>
      <c r="CA35" s="167"/>
      <c r="CB35" s="167"/>
      <c r="CC35" s="167"/>
      <c r="CD35" s="168"/>
      <c r="CE35" s="161"/>
      <c r="CF35" s="167"/>
      <c r="CJ35" s="240"/>
      <c r="CK35" s="240"/>
      <c r="CL35" s="240"/>
      <c r="CO35" s="243" t="s">
        <v>373</v>
      </c>
      <c r="CP35" s="243" t="s">
        <v>298</v>
      </c>
      <c r="CQ35" s="244">
        <v>13600000</v>
      </c>
      <c r="CR35" s="244">
        <v>259000</v>
      </c>
      <c r="CS35" s="243">
        <v>52.31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37"/>
        <v>150</v>
      </c>
      <c r="DA35" s="245" t="s">
        <v>317</v>
      </c>
      <c r="DD35" s="169" t="s">
        <v>460</v>
      </c>
      <c r="DE35" s="277" t="s">
        <v>333</v>
      </c>
      <c r="DF35" s="274" t="s">
        <v>318</v>
      </c>
      <c r="DG35" s="169">
        <f>AP22</f>
        <v>80.540337317397075</v>
      </c>
      <c r="DH35" s="169" t="s">
        <v>317</v>
      </c>
    </row>
    <row r="36" spans="2:112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91" t="s">
        <v>119</v>
      </c>
      <c r="G36" s="291"/>
      <c r="H36" s="76">
        <f>C17</f>
        <v>0</v>
      </c>
      <c r="L36" s="81"/>
      <c r="M36" s="81"/>
      <c r="N36" s="81"/>
      <c r="Q36" s="81"/>
      <c r="R36" s="81"/>
      <c r="X36" s="216" t="s">
        <v>115</v>
      </c>
      <c r="Y36" s="217"/>
      <c r="Z36" s="218" t="s">
        <v>21</v>
      </c>
      <c r="AA36" s="200">
        <v>2</v>
      </c>
      <c r="AB36" s="217" t="s">
        <v>5</v>
      </c>
      <c r="AC36" s="217"/>
      <c r="AD36" s="217" t="s">
        <v>22</v>
      </c>
      <c r="AE36" s="220">
        <f>SUM(AE37:AE38)</f>
        <v>0</v>
      </c>
      <c r="AF36" s="222" t="s">
        <v>23</v>
      </c>
      <c r="AG36" s="222">
        <f>SUM(AE38:AE39)</f>
        <v>0</v>
      </c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409</v>
      </c>
      <c r="BU36" s="166">
        <v>-5.4</v>
      </c>
      <c r="BV36" s="166">
        <v>1.5699999999999999E-2</v>
      </c>
      <c r="BW36" s="81">
        <v>-344.27</v>
      </c>
      <c r="BX36" s="81" t="s">
        <v>384</v>
      </c>
      <c r="BY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BU69</f>
        <v>298</v>
      </c>
      <c r="CF36" s="167" t="s">
        <v>317</v>
      </c>
      <c r="CI36" s="81" t="s">
        <v>347</v>
      </c>
      <c r="CJ36" s="242">
        <f t="shared" si="1"/>
        <v>433.93353631968523</v>
      </c>
      <c r="CK36" s="242">
        <f t="shared" si="2"/>
        <v>1350</v>
      </c>
      <c r="CL36" s="242">
        <f t="shared" si="3"/>
        <v>298</v>
      </c>
      <c r="CO36" s="243" t="s">
        <v>373</v>
      </c>
      <c r="CP36" s="243" t="s">
        <v>396</v>
      </c>
      <c r="CQ36" s="244">
        <v>-6.55</v>
      </c>
      <c r="CR36" s="244">
        <v>6.4600000000000005E-2</v>
      </c>
      <c r="CS36" s="243">
        <v>-101.41</v>
      </c>
      <c r="CT36" s="243" t="s">
        <v>420</v>
      </c>
      <c r="CU36" s="244">
        <v>2E-16</v>
      </c>
      <c r="CV36" s="81" t="s">
        <v>385</v>
      </c>
      <c r="CW36" s="245" t="s">
        <v>460</v>
      </c>
      <c r="CX36" s="251" t="s">
        <v>335</v>
      </c>
      <c r="CY36" s="246" t="s">
        <v>318</v>
      </c>
      <c r="CZ36" s="247">
        <f>CQ58</f>
        <v>307</v>
      </c>
      <c r="DA36" s="245" t="s">
        <v>317</v>
      </c>
      <c r="DD36" s="169" t="s">
        <v>460</v>
      </c>
      <c r="DE36" s="279" t="s">
        <v>335</v>
      </c>
      <c r="DF36" s="274" t="s">
        <v>318</v>
      </c>
      <c r="DG36" s="169">
        <f>AP24</f>
        <v>20.283253588516747</v>
      </c>
      <c r="DH36" s="169" t="s">
        <v>317</v>
      </c>
    </row>
    <row r="37" spans="2:112" ht="15" customHeight="1" thickTop="1" thickBot="1" x14ac:dyDescent="0.3">
      <c r="L37" s="81"/>
      <c r="M37" s="81"/>
      <c r="N37" s="81"/>
      <c r="Q37" s="81"/>
      <c r="R37" s="81"/>
      <c r="X37" s="181"/>
      <c r="Y37" s="182" t="s">
        <v>435</v>
      </c>
      <c r="Z37" s="182">
        <v>1.361</v>
      </c>
      <c r="AA37" s="182" t="s">
        <v>5</v>
      </c>
      <c r="AB37" s="182"/>
      <c r="AC37" s="182"/>
      <c r="AD37" s="182">
        <f>(AA36-(1-AD38)*Z37)/AD38</f>
        <v>3.9169999999999998</v>
      </c>
      <c r="AE37" s="233"/>
      <c r="AF37" s="222"/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SUM(O17:O20)*(1/(SUM(AD19:AD20)+1/8))+O25*(1/(SUM(AD10:AD11)+1/8))</f>
        <v>433.93353631968523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433.93353631968523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410</v>
      </c>
      <c r="BU37" s="166">
        <v>-6.41</v>
      </c>
      <c r="BV37" s="166">
        <v>1.4999999999999999E-2</v>
      </c>
      <c r="BW37" s="81">
        <v>-427.68</v>
      </c>
      <c r="BX37" s="81" t="s">
        <v>384</v>
      </c>
      <c r="BY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 t="shared" ref="CE37:CE38" si="39">BU70</f>
        <v>120</v>
      </c>
      <c r="CF37" s="167" t="s">
        <v>317</v>
      </c>
      <c r="CI37" s="81" t="s">
        <v>349</v>
      </c>
      <c r="CJ37" s="242">
        <f t="shared" si="1"/>
        <v>681.98494298132925</v>
      </c>
      <c r="CK37" s="242">
        <f t="shared" si="2"/>
        <v>372</v>
      </c>
      <c r="CL37" s="242">
        <f t="shared" si="3"/>
        <v>120</v>
      </c>
      <c r="CO37" s="243" t="s">
        <v>373</v>
      </c>
      <c r="CP37" s="243" t="s">
        <v>397</v>
      </c>
      <c r="CQ37" s="244">
        <v>-21</v>
      </c>
      <c r="CR37" s="244">
        <v>8.77E-2</v>
      </c>
      <c r="CS37" s="243">
        <v>-239.16</v>
      </c>
      <c r="CT37" s="243" t="s">
        <v>420</v>
      </c>
      <c r="CU37" s="244">
        <v>2E-16</v>
      </c>
      <c r="CV37" s="81" t="s">
        <v>385</v>
      </c>
      <c r="CW37" s="245" t="s">
        <v>460</v>
      </c>
      <c r="CX37" s="251" t="s">
        <v>334</v>
      </c>
      <c r="CY37" s="246" t="s">
        <v>318</v>
      </c>
      <c r="CZ37" s="247">
        <f>1/CQ55</f>
        <v>363.63636363636368</v>
      </c>
      <c r="DA37" s="245" t="s">
        <v>317</v>
      </c>
      <c r="DD37" s="169" t="s">
        <v>460</v>
      </c>
      <c r="DE37" s="279" t="s">
        <v>334</v>
      </c>
      <c r="DF37" s="274" t="s">
        <v>318</v>
      </c>
      <c r="DG37" s="169">
        <f>AP23</f>
        <v>13.055513029002245</v>
      </c>
      <c r="DH37" s="169" t="s">
        <v>317</v>
      </c>
    </row>
    <row r="38" spans="2:112" ht="15" customHeight="1" thickTop="1" thickBot="1" x14ac:dyDescent="0.3">
      <c r="C38" s="152"/>
      <c r="L38" s="81"/>
      <c r="M38" s="81"/>
      <c r="N38" s="81" t="s">
        <v>114</v>
      </c>
      <c r="O38" s="152">
        <f>SUM(R6:R9,R15,R17:R20,R25)</f>
        <v>59.23564541783557</v>
      </c>
      <c r="P38" s="152"/>
      <c r="Q38" s="81"/>
      <c r="R38" s="81"/>
      <c r="X38" s="187"/>
      <c r="Y38" s="174" t="s">
        <v>436</v>
      </c>
      <c r="Z38" s="174">
        <v>0.47</v>
      </c>
      <c r="AA38" s="174"/>
      <c r="AB38" s="174"/>
      <c r="AC38" s="174"/>
      <c r="AD38" s="174">
        <v>0.25</v>
      </c>
      <c r="AE38" s="192"/>
      <c r="AF38" s="228" t="s">
        <v>274</v>
      </c>
      <c r="AG38" s="222"/>
      <c r="AH38" s="222"/>
      <c r="AM38" s="158" t="s">
        <v>314</v>
      </c>
      <c r="AN38" s="81" t="s">
        <v>315</v>
      </c>
      <c r="AO38" s="81" t="s">
        <v>349</v>
      </c>
      <c r="AP38" s="81">
        <f>2*AA22*O28+1*O31*AA54+2*O29*AA28</f>
        <v>681.98494298132925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40">AP38</f>
        <v>681.98494298132925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41">BE69</f>
        <v>372</v>
      </c>
      <c r="BQ38" s="167" t="s">
        <v>317</v>
      </c>
      <c r="BS38" s="81" t="s">
        <v>373</v>
      </c>
      <c r="BT38" s="81" t="s">
        <v>411</v>
      </c>
      <c r="BU38" s="166">
        <v>-5.92</v>
      </c>
      <c r="BV38" s="166">
        <v>1.8499999999999999E-2</v>
      </c>
      <c r="BW38" s="81">
        <v>-319.37</v>
      </c>
      <c r="BX38" s="81" t="s">
        <v>384</v>
      </c>
      <c r="BY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 t="shared" si="39"/>
        <v>69.5</v>
      </c>
      <c r="CF38" s="167" t="s">
        <v>317</v>
      </c>
      <c r="CI38" s="81" t="s">
        <v>350</v>
      </c>
      <c r="CJ38" s="242">
        <f t="shared" si="1"/>
        <v>57.786795219123512</v>
      </c>
      <c r="CK38" s="242">
        <f t="shared" si="2"/>
        <v>31.9</v>
      </c>
      <c r="CL38" s="242">
        <f t="shared" si="3"/>
        <v>69.5</v>
      </c>
      <c r="CO38" s="243" t="s">
        <v>373</v>
      </c>
      <c r="CP38" s="243" t="s">
        <v>399</v>
      </c>
      <c r="CQ38" s="244">
        <v>-13</v>
      </c>
      <c r="CR38" s="244">
        <v>0.152</v>
      </c>
      <c r="CS38" s="243">
        <v>-85.24</v>
      </c>
      <c r="CT38" s="243" t="s">
        <v>420</v>
      </c>
      <c r="CU38" s="244">
        <v>2E-16</v>
      </c>
      <c r="CV38" s="81" t="s">
        <v>385</v>
      </c>
      <c r="CW38" s="245" t="s">
        <v>460</v>
      </c>
      <c r="CX38" s="248" t="s">
        <v>326</v>
      </c>
      <c r="CY38" s="246" t="s">
        <v>318</v>
      </c>
      <c r="CZ38" s="247">
        <f>CQ41</f>
        <v>3.6799999999999999E-2</v>
      </c>
      <c r="DA38" s="245" t="s">
        <v>317</v>
      </c>
      <c r="DD38" s="169" t="s">
        <v>460</v>
      </c>
      <c r="DE38" s="275" t="s">
        <v>326</v>
      </c>
      <c r="DF38" s="274" t="s">
        <v>318</v>
      </c>
      <c r="DG38" s="169">
        <f>AP14</f>
        <v>2.9021732851358017E-2</v>
      </c>
      <c r="DH38" s="169" t="s">
        <v>317</v>
      </c>
    </row>
    <row r="39" spans="2:112" ht="15" customHeight="1" thickTop="1" thickBot="1" x14ac:dyDescent="0.3">
      <c r="L39" s="81"/>
      <c r="M39" s="81"/>
      <c r="N39" s="81" t="s">
        <v>117</v>
      </c>
      <c r="O39" s="152">
        <f>SUM(R10:R13,R21:R24)</f>
        <v>63</v>
      </c>
      <c r="R39" s="81"/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 Ref1'!B139+SUM(R21:R24)</f>
        <v>57.786795219123512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40"/>
        <v>57.786795219123512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41"/>
        <v>31.9</v>
      </c>
      <c r="BQ39" s="167" t="s">
        <v>317</v>
      </c>
      <c r="BS39" s="81" t="s">
        <v>373</v>
      </c>
      <c r="BT39" s="81" t="s">
        <v>412</v>
      </c>
      <c r="BU39" s="166">
        <v>-5.28</v>
      </c>
      <c r="BV39" s="166">
        <v>1.7000000000000001E-2</v>
      </c>
      <c r="BW39" s="81">
        <v>-310.54000000000002</v>
      </c>
      <c r="BX39" s="81" t="s">
        <v>384</v>
      </c>
      <c r="BY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1/BU76</f>
        <v>9900.9900990099013</v>
      </c>
      <c r="CF39" s="167" t="s">
        <v>317</v>
      </c>
      <c r="CI39" s="81" t="s">
        <v>352</v>
      </c>
      <c r="CJ39" s="242">
        <f t="shared" si="1"/>
        <v>52.308122448746403</v>
      </c>
      <c r="CK39" s="242">
        <f t="shared" si="2"/>
        <v>110.74197120708749</v>
      </c>
      <c r="CL39" s="242">
        <f t="shared" si="3"/>
        <v>9900.9900990099013</v>
      </c>
      <c r="CO39" s="243" t="s">
        <v>373</v>
      </c>
      <c r="CP39" s="243" t="s">
        <v>400</v>
      </c>
      <c r="CQ39" s="244">
        <v>-36.4</v>
      </c>
      <c r="CR39" s="244">
        <v>0.877</v>
      </c>
      <c r="CS39" s="243">
        <v>-41.44</v>
      </c>
      <c r="CT39" s="243" t="s">
        <v>420</v>
      </c>
      <c r="CU39" s="244">
        <v>2E-16</v>
      </c>
      <c r="CV39" s="81" t="s">
        <v>385</v>
      </c>
      <c r="CW39" s="245" t="s">
        <v>460</v>
      </c>
      <c r="CX39" s="249" t="s">
        <v>327</v>
      </c>
      <c r="CY39" s="246" t="s">
        <v>318</v>
      </c>
      <c r="CZ39" s="247">
        <f t="shared" ref="CZ39:CZ42" si="42">CQ42</f>
        <v>0.18099999999999999</v>
      </c>
      <c r="DA39" s="245" t="s">
        <v>317</v>
      </c>
      <c r="DD39" s="169" t="s">
        <v>460</v>
      </c>
      <c r="DE39" s="276" t="s">
        <v>327</v>
      </c>
      <c r="DF39" s="274" t="s">
        <v>318</v>
      </c>
      <c r="DG39" s="169">
        <f>AP15</f>
        <v>0.14650664263691879</v>
      </c>
      <c r="DH39" s="169" t="s">
        <v>317</v>
      </c>
    </row>
    <row r="40" spans="2:112" ht="15" customHeight="1" thickTop="1" thickBot="1" x14ac:dyDescent="0.3">
      <c r="B40" s="81" t="s">
        <v>275</v>
      </c>
      <c r="L40" s="81"/>
      <c r="M40" s="81"/>
      <c r="N40" s="81" t="s">
        <v>120</v>
      </c>
      <c r="O40" s="152">
        <f>'Verwarming Tabula'!B60</f>
        <v>138.03320000000002</v>
      </c>
      <c r="Q40" s="152">
        <f>SUM(U6:U9,U15)/1000000</f>
        <v>19.579925678618856</v>
      </c>
      <c r="R40" s="81"/>
      <c r="Z40" s="221" t="s">
        <v>4</v>
      </c>
      <c r="AA40" s="221">
        <v>0.85</v>
      </c>
      <c r="AB40" s="221" t="s">
        <v>5</v>
      </c>
      <c r="AF40" s="222"/>
      <c r="AG40" s="222"/>
      <c r="AH40" s="222"/>
      <c r="AM40" s="158" t="s">
        <v>314</v>
      </c>
      <c r="AN40" s="81" t="s">
        <v>315</v>
      </c>
      <c r="AO40" s="81" t="s">
        <v>352</v>
      </c>
      <c r="AP40" s="81">
        <f>SUM(O17:O20)*1/(SUM(AD17:AD18)+1/23)+O25*1/(SUM(AD7:AD9)+SUM(AD10:AD11)/2+1/23)</f>
        <v>52.308122448746403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40"/>
        <v>52.308122448746403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413</v>
      </c>
      <c r="BU40" s="166">
        <v>-6.14</v>
      </c>
      <c r="BV40" s="166">
        <v>1.67E-2</v>
      </c>
      <c r="BW40" s="81">
        <v>-367.45</v>
      </c>
      <c r="BX40" s="81" t="s">
        <v>384</v>
      </c>
      <c r="BY40" s="81" t="s">
        <v>385</v>
      </c>
      <c r="CA40" s="167"/>
      <c r="CB40" s="167"/>
      <c r="CC40" s="167"/>
      <c r="CD40" s="168"/>
      <c r="CE40" s="161"/>
      <c r="CF40" s="167"/>
      <c r="CJ40" s="240"/>
      <c r="CK40" s="240"/>
      <c r="CL40" s="240"/>
      <c r="CO40" s="243" t="s">
        <v>373</v>
      </c>
      <c r="CP40" s="243" t="s">
        <v>401</v>
      </c>
      <c r="CQ40" s="244">
        <v>-12.3</v>
      </c>
      <c r="CR40" s="244">
        <v>7.2700000000000001E-2</v>
      </c>
      <c r="CS40" s="243">
        <v>-169.35</v>
      </c>
      <c r="CT40" s="243" t="s">
        <v>420</v>
      </c>
      <c r="CU40" s="244">
        <v>2E-16</v>
      </c>
      <c r="CV40" s="81" t="s">
        <v>385</v>
      </c>
      <c r="CW40" s="245" t="s">
        <v>460</v>
      </c>
      <c r="CX40" s="249" t="s">
        <v>328</v>
      </c>
      <c r="CY40" s="246" t="s">
        <v>318</v>
      </c>
      <c r="CZ40" s="247">
        <f t="shared" si="42"/>
        <v>0.72699999999999998</v>
      </c>
      <c r="DA40" s="245" t="s">
        <v>317</v>
      </c>
      <c r="DD40" s="169" t="s">
        <v>460</v>
      </c>
      <c r="DE40" s="276" t="s">
        <v>328</v>
      </c>
      <c r="DF40" s="274" t="s">
        <v>318</v>
      </c>
      <c r="DG40" s="169">
        <f>AP16</f>
        <v>0.71172855570481386</v>
      </c>
      <c r="DH40" s="169" t="s">
        <v>317</v>
      </c>
    </row>
    <row r="41" spans="2:112" ht="15" customHeight="1" thickTop="1" thickBot="1" x14ac:dyDescent="0.3">
      <c r="B41" s="149" t="s">
        <v>276</v>
      </c>
      <c r="L41" s="81"/>
      <c r="M41" s="81"/>
      <c r="N41" s="81"/>
      <c r="O41" s="152"/>
      <c r="Q41" s="152">
        <f>SUM(U26:U27)/1000000</f>
        <v>14.696346003634144</v>
      </c>
      <c r="R41" s="81"/>
      <c r="X41" s="216" t="s">
        <v>63</v>
      </c>
      <c r="Y41" s="217"/>
      <c r="Z41" s="218" t="s">
        <v>21</v>
      </c>
      <c r="AA41" s="219">
        <f>1/(1/10+SUM(AD43:AD47))</f>
        <v>0.25127131319174395</v>
      </c>
      <c r="AB41" s="217" t="s">
        <v>5</v>
      </c>
      <c r="AC41" s="217"/>
      <c r="AD41" s="217" t="s">
        <v>22</v>
      </c>
      <c r="AE41" s="220">
        <f>SUM(AE43:AE47)</f>
        <v>379396.7</v>
      </c>
      <c r="AF41" s="222" t="s">
        <v>23</v>
      </c>
      <c r="AG41" s="222">
        <f>SUM(AE43:AE44)</f>
        <v>110960</v>
      </c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414</v>
      </c>
      <c r="BU41" s="166">
        <v>5.0199999999999995E-4</v>
      </c>
      <c r="BV41" s="166">
        <v>9.6099999999999995E-6</v>
      </c>
      <c r="BW41" s="81">
        <v>52.22</v>
      </c>
      <c r="BX41" s="81" t="s">
        <v>384</v>
      </c>
      <c r="BY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BU15</f>
        <v>7.9000000000000001E-2</v>
      </c>
      <c r="CF41" s="167" t="s">
        <v>317</v>
      </c>
      <c r="CI41" s="81" t="s">
        <v>353</v>
      </c>
      <c r="CJ41" s="239">
        <f t="shared" si="1"/>
        <v>0.18790511467818219</v>
      </c>
      <c r="CK41" s="239">
        <f t="shared" si="2"/>
        <v>2.8899999999999999E-2</v>
      </c>
      <c r="CL41" s="239">
        <f t="shared" si="3"/>
        <v>7.9000000000000001E-2</v>
      </c>
      <c r="CO41" s="243" t="s">
        <v>373</v>
      </c>
      <c r="CP41" s="243" t="s">
        <v>402</v>
      </c>
      <c r="CQ41" s="244">
        <v>3.6799999999999999E-2</v>
      </c>
      <c r="CR41" s="244">
        <v>1.6000000000000001E-4</v>
      </c>
      <c r="CS41" s="243">
        <v>229.89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42"/>
        <v>7.8100000000000003E-2</v>
      </c>
      <c r="DA41" s="245" t="s">
        <v>317</v>
      </c>
      <c r="DD41" s="169" t="s">
        <v>460</v>
      </c>
      <c r="DE41" s="274" t="s">
        <v>329</v>
      </c>
      <c r="DF41" s="274" t="s">
        <v>318</v>
      </c>
      <c r="DG41" s="169">
        <f>AP17</f>
        <v>5.6371534403454653E-2</v>
      </c>
      <c r="DH41" s="169" t="s">
        <v>317</v>
      </c>
    </row>
    <row r="42" spans="2:112" ht="15" customHeight="1" thickTop="1" thickBot="1" x14ac:dyDescent="0.3">
      <c r="B42" s="81" t="s">
        <v>277</v>
      </c>
      <c r="D42" s="81">
        <v>1</v>
      </c>
      <c r="L42" s="81"/>
      <c r="M42" s="81"/>
      <c r="N42" s="81" t="s">
        <v>122</v>
      </c>
      <c r="O42" s="152">
        <f>C4*1.204*1012*5/1000000</f>
        <v>3.7851087119999995</v>
      </c>
      <c r="P42" s="81" t="s">
        <v>123</v>
      </c>
      <c r="Q42" s="152">
        <f>U14/1000000</f>
        <v>8.3996719999999989</v>
      </c>
      <c r="R42" s="81"/>
      <c r="X42" s="224"/>
      <c r="Y42" s="225" t="s">
        <v>27</v>
      </c>
      <c r="Z42" s="225" t="s">
        <v>28</v>
      </c>
      <c r="AA42" s="225" t="s">
        <v>29</v>
      </c>
      <c r="AB42" s="225" t="s">
        <v>30</v>
      </c>
      <c r="AC42" s="225" t="s">
        <v>31</v>
      </c>
      <c r="AD42" s="225" t="s">
        <v>32</v>
      </c>
      <c r="AE42" s="226" t="s">
        <v>33</v>
      </c>
      <c r="AF42" s="222"/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SUM(O26)/(SUM($O$6:$O$14,$O$26,O30)+2*SUM($O$27))</f>
        <v>0.18790511467818219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0.18790511467818219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415</v>
      </c>
      <c r="BU42" s="166">
        <v>115</v>
      </c>
      <c r="BV42" s="166">
        <v>1.17</v>
      </c>
      <c r="BW42" s="81">
        <v>98.05</v>
      </c>
      <c r="BX42" s="81" t="s">
        <v>384</v>
      </c>
      <c r="BY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BU56</f>
        <v>0.33100000000000002</v>
      </c>
      <c r="CF42" s="167" t="s">
        <v>317</v>
      </c>
      <c r="CI42" s="81" t="s">
        <v>355</v>
      </c>
      <c r="CJ42" s="239">
        <f t="shared" si="1"/>
        <v>9.4845602099533646E-2</v>
      </c>
      <c r="CK42" s="239">
        <f t="shared" si="2"/>
        <v>9.7500000000000003E-2</v>
      </c>
      <c r="CL42" s="239">
        <f t="shared" si="3"/>
        <v>0.33100000000000002</v>
      </c>
      <c r="CO42" s="243" t="s">
        <v>373</v>
      </c>
      <c r="CP42" s="243" t="s">
        <v>403</v>
      </c>
      <c r="CQ42" s="244">
        <v>0.18099999999999999</v>
      </c>
      <c r="CR42" s="244">
        <v>5.44E-4</v>
      </c>
      <c r="CS42" s="243">
        <v>331.74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42"/>
        <v>3.3799999999999997E-2</v>
      </c>
      <c r="DA42" s="245" t="s">
        <v>317</v>
      </c>
      <c r="DD42" s="169" t="s">
        <v>460</v>
      </c>
      <c r="DE42" s="274" t="s">
        <v>430</v>
      </c>
      <c r="DF42" s="274" t="s">
        <v>318</v>
      </c>
      <c r="DG42" s="169">
        <f>AP46</f>
        <v>5.6371534403454653E-2</v>
      </c>
      <c r="DH42" s="169" t="s">
        <v>317</v>
      </c>
    </row>
    <row r="43" spans="2:112" ht="15" customHeight="1" thickTop="1" thickBot="1" x14ac:dyDescent="0.3">
      <c r="B43" s="81" t="s">
        <v>278</v>
      </c>
      <c r="D43" s="81">
        <f>C7/C6</f>
        <v>0.33510402833111991</v>
      </c>
      <c r="E43" s="81" t="s">
        <v>279</v>
      </c>
      <c r="L43" s="81"/>
      <c r="M43" s="81"/>
      <c r="N43" s="81" t="s">
        <v>124</v>
      </c>
      <c r="O43" s="152">
        <f>SUM(S6:S9,S15)/1000000</f>
        <v>25.316239900903049</v>
      </c>
      <c r="P43" s="81" t="s">
        <v>125</v>
      </c>
      <c r="Q43" s="81"/>
      <c r="R43" s="81"/>
      <c r="X43" s="181"/>
      <c r="Y43" s="182" t="s">
        <v>128</v>
      </c>
      <c r="Z43" s="182">
        <v>0.02</v>
      </c>
      <c r="AA43" s="182">
        <v>1.4</v>
      </c>
      <c r="AB43" s="182">
        <v>2100</v>
      </c>
      <c r="AC43" s="182">
        <v>840</v>
      </c>
      <c r="AD43" s="231">
        <f>Z43/AA43</f>
        <v>1.4285714285714287E-2</v>
      </c>
      <c r="AE43" s="232">
        <f>Z43*AB43*AC43</f>
        <v>35280</v>
      </c>
      <c r="AF43" s="222" t="s">
        <v>104</v>
      </c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SUM(O26)/SUM(O$17:O$25,2*O$28,O$26,O31,2*O29)</f>
        <v>9.4845602099533646E-2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43">AP43</f>
        <v>9.4845602099533646E-2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416</v>
      </c>
      <c r="BU43" s="166">
        <v>9960</v>
      </c>
      <c r="BV43" s="166">
        <v>166</v>
      </c>
      <c r="BW43" s="81">
        <v>60.14</v>
      </c>
      <c r="BX43" s="81" t="s">
        <v>384</v>
      </c>
      <c r="BY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BU88</f>
        <v>139000000</v>
      </c>
      <c r="CF43" s="167" t="s">
        <v>317</v>
      </c>
      <c r="CI43" s="81" t="s">
        <v>357</v>
      </c>
      <c r="CJ43" s="241">
        <f t="shared" si="1"/>
        <v>2185458.9999999995</v>
      </c>
      <c r="CK43" s="241">
        <f t="shared" si="2"/>
        <v>248000</v>
      </c>
      <c r="CL43" s="241">
        <f t="shared" si="3"/>
        <v>139000000</v>
      </c>
      <c r="CO43" s="243" t="s">
        <v>373</v>
      </c>
      <c r="CP43" s="243" t="s">
        <v>404</v>
      </c>
      <c r="CQ43" s="244">
        <v>0.72699999999999998</v>
      </c>
      <c r="CR43" s="244">
        <v>9.5200000000000007E-3</v>
      </c>
      <c r="CS43" s="243">
        <v>76.41</v>
      </c>
      <c r="CT43" s="243" t="s">
        <v>420</v>
      </c>
      <c r="CU43" s="244">
        <v>2E-16</v>
      </c>
      <c r="CV43" s="81" t="s">
        <v>385</v>
      </c>
      <c r="CY43" s="246"/>
      <c r="DF43" s="274"/>
    </row>
    <row r="44" spans="2:112" ht="15" customHeight="1" thickTop="1" thickBot="1" x14ac:dyDescent="0.3">
      <c r="B44" s="81" t="s">
        <v>282</v>
      </c>
      <c r="D44" s="81">
        <v>0.7</v>
      </c>
      <c r="F44" s="79"/>
      <c r="L44" s="81"/>
      <c r="M44" s="81"/>
      <c r="N44" s="81" t="s">
        <v>126</v>
      </c>
      <c r="O44" s="152">
        <f>SUM(S26:S27)/1000000</f>
        <v>14.696346003634144</v>
      </c>
      <c r="P44" s="81" t="s">
        <v>125</v>
      </c>
      <c r="Q44" s="81"/>
      <c r="R44" s="81"/>
      <c r="X44" s="175"/>
      <c r="Y44" s="176" t="s">
        <v>129</v>
      </c>
      <c r="Z44" s="176">
        <v>0.08</v>
      </c>
      <c r="AA44" s="176">
        <v>0.6</v>
      </c>
      <c r="AB44" s="176">
        <v>1100</v>
      </c>
      <c r="AC44" s="176">
        <v>860</v>
      </c>
      <c r="AD44" s="227">
        <f>Z44/AA44</f>
        <v>0.13333333333333333</v>
      </c>
      <c r="AE44" s="177">
        <f>Z44*AB44*AC44</f>
        <v>75680</v>
      </c>
      <c r="AF44" s="222"/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2185458.9999999995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43"/>
        <v>2185458.9999999995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BS44" s="81" t="s">
        <v>373</v>
      </c>
      <c r="BT44" s="81" t="s">
        <v>417</v>
      </c>
      <c r="BU44" s="166">
        <v>530</v>
      </c>
      <c r="BV44" s="166">
        <v>250</v>
      </c>
      <c r="BW44" s="81">
        <v>2.12</v>
      </c>
      <c r="BX44" s="81">
        <v>3.3700000000000001E-2</v>
      </c>
      <c r="BY44" s="81" t="s">
        <v>418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BU89</f>
        <v>18800000</v>
      </c>
      <c r="CF44" s="167" t="s">
        <v>317</v>
      </c>
      <c r="CI44" s="81" t="s">
        <v>359</v>
      </c>
      <c r="CJ44" s="241">
        <f t="shared" si="1"/>
        <v>2185458.9999999995</v>
      </c>
      <c r="CK44" s="241">
        <f t="shared" si="2"/>
        <v>6990000</v>
      </c>
      <c r="CL44" s="241">
        <f t="shared" si="3"/>
        <v>18800000</v>
      </c>
      <c r="CO44" s="243" t="s">
        <v>373</v>
      </c>
      <c r="CP44" s="243" t="s">
        <v>405</v>
      </c>
      <c r="CQ44" s="244">
        <v>7.8100000000000003E-2</v>
      </c>
      <c r="CR44" s="244">
        <v>1.8900000000000001E-4</v>
      </c>
      <c r="CS44" s="243">
        <v>412.38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0.40799999999999997</v>
      </c>
      <c r="DA44" s="245" t="s">
        <v>317</v>
      </c>
      <c r="DD44" s="169" t="s">
        <v>460</v>
      </c>
      <c r="DE44" s="279" t="s">
        <v>482</v>
      </c>
      <c r="DF44" s="274" t="s">
        <v>318</v>
      </c>
      <c r="DG44" s="169">
        <f>O11*Z38*AP26</f>
        <v>0.38920941622733335</v>
      </c>
      <c r="DH44" s="169" t="s">
        <v>317</v>
      </c>
    </row>
    <row r="45" spans="2:112" ht="15" customHeight="1" thickTop="1" thickBot="1" x14ac:dyDescent="0.3">
      <c r="B45" s="81" t="s">
        <v>283</v>
      </c>
      <c r="D45" s="81">
        <v>0.5</v>
      </c>
      <c r="F45" s="79"/>
      <c r="L45" s="81"/>
      <c r="M45" s="81"/>
      <c r="N45" s="81" t="s">
        <v>127</v>
      </c>
      <c r="O45" s="152">
        <f>S14/1000000</f>
        <v>28.720330189999999</v>
      </c>
      <c r="Q45" s="81"/>
      <c r="R45" s="81"/>
      <c r="X45" s="175"/>
      <c r="Y45" s="176" t="s">
        <v>280</v>
      </c>
      <c r="Z45" s="272">
        <v>8.6999999999999994E-2</v>
      </c>
      <c r="AA45" s="176">
        <v>2.4E-2</v>
      </c>
      <c r="AB45" s="176">
        <v>30</v>
      </c>
      <c r="AC45" s="176">
        <v>1470</v>
      </c>
      <c r="AD45" s="227">
        <f>Z45/AA45</f>
        <v>3.6249999999999996</v>
      </c>
      <c r="AE45" s="177">
        <f>Z45*AB45*AC45</f>
        <v>3836.7</v>
      </c>
      <c r="AF45" s="228" t="s">
        <v>281</v>
      </c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2185458.9999999995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43"/>
        <v>2185458.9999999995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BU31</f>
        <v>2.8899999999999999E-2</v>
      </c>
      <c r="CF45" s="167" t="s">
        <v>317</v>
      </c>
      <c r="CI45" s="81" t="s">
        <v>361</v>
      </c>
      <c r="CJ45" s="239">
        <f t="shared" si="1"/>
        <v>5.6371534403454653E-2</v>
      </c>
      <c r="CK45" s="239">
        <f t="shared" si="2"/>
        <v>1.9E-2</v>
      </c>
      <c r="CL45" s="239">
        <f t="shared" si="3"/>
        <v>2.8899999999999999E-2</v>
      </c>
      <c r="CO45" s="243" t="s">
        <v>373</v>
      </c>
      <c r="CP45" s="243" t="s">
        <v>406</v>
      </c>
      <c r="CQ45" s="244">
        <v>3.3799999999999997E-2</v>
      </c>
      <c r="CR45" s="244">
        <v>1.27E-4</v>
      </c>
      <c r="CS45" s="243">
        <v>266.92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44">CQ69</f>
        <v>5.8599999999999998E-7</v>
      </c>
      <c r="DA45" s="245" t="s">
        <v>317</v>
      </c>
      <c r="DD45" s="169" t="s">
        <v>460</v>
      </c>
      <c r="DE45" s="279" t="s">
        <v>483</v>
      </c>
      <c r="DF45" s="274" t="s">
        <v>318</v>
      </c>
      <c r="DG45" s="169">
        <f>O10*Z38*AP26</f>
        <v>0.41384292358349373</v>
      </c>
      <c r="DH45" s="169" t="s">
        <v>317</v>
      </c>
    </row>
    <row r="46" spans="2:112" ht="15" customHeight="1" thickTop="1" thickBot="1" x14ac:dyDescent="0.3">
      <c r="L46" s="81"/>
      <c r="M46" s="81"/>
      <c r="N46" s="81"/>
      <c r="Q46" s="81"/>
      <c r="R46" s="81"/>
      <c r="X46" s="175"/>
      <c r="Y46" s="176" t="s">
        <v>131</v>
      </c>
      <c r="Z46" s="176">
        <v>0.15</v>
      </c>
      <c r="AA46" s="176">
        <v>1.4</v>
      </c>
      <c r="AB46" s="176">
        <v>2100</v>
      </c>
      <c r="AC46" s="176">
        <v>840</v>
      </c>
      <c r="AD46" s="227">
        <f>Z46/AA46</f>
        <v>0.10714285714285715</v>
      </c>
      <c r="AE46" s="177">
        <f>Z46*AB46*AC46</f>
        <v>264600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AP42*0.3</f>
        <v>5.6371534403454653E-2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43"/>
        <v>5.6371534403454653E-2</v>
      </c>
      <c r="BA46" s="167" t="s">
        <v>317</v>
      </c>
      <c r="BC46" s="81" t="s">
        <v>373</v>
      </c>
      <c r="BD46" s="81" t="s">
        <v>376</v>
      </c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374</v>
      </c>
      <c r="BU46" s="81" t="s">
        <v>419</v>
      </c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BU68</f>
        <v>0.11700000000000001</v>
      </c>
      <c r="CF46" s="167" t="s">
        <v>317</v>
      </c>
      <c r="CI46" s="81" t="s">
        <v>363</v>
      </c>
      <c r="CJ46" s="239">
        <f t="shared" si="1"/>
        <v>2.8453680629860093E-2</v>
      </c>
      <c r="CK46" s="239">
        <f t="shared" si="2"/>
        <v>0.184</v>
      </c>
      <c r="CL46" s="239">
        <f t="shared" si="3"/>
        <v>0.11700000000000001</v>
      </c>
      <c r="CO46" s="243" t="s">
        <v>373</v>
      </c>
      <c r="CP46" s="243" t="s">
        <v>407</v>
      </c>
      <c r="CQ46" s="244">
        <v>89.4</v>
      </c>
      <c r="CR46" s="244">
        <v>0.36899999999999999</v>
      </c>
      <c r="CS46" s="243">
        <v>242.38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44"/>
        <v>0.47499999999999998</v>
      </c>
      <c r="DA46" s="245" t="s">
        <v>317</v>
      </c>
      <c r="DD46" s="169" t="s">
        <v>460</v>
      </c>
      <c r="DE46" s="279" t="s">
        <v>484</v>
      </c>
      <c r="DF46" s="274" t="s">
        <v>318</v>
      </c>
      <c r="DG46" s="169">
        <f>O12*Z38*AP26</f>
        <v>0.39906281916979747</v>
      </c>
      <c r="DH46" s="169" t="s">
        <v>317</v>
      </c>
    </row>
    <row r="47" spans="2:112" ht="15" customHeight="1" thickTop="1" thickBot="1" x14ac:dyDescent="0.3">
      <c r="C47" s="152"/>
      <c r="L47" s="81"/>
      <c r="M47" s="81"/>
      <c r="N47" s="81"/>
      <c r="Q47" s="81"/>
      <c r="R47" s="81"/>
      <c r="X47" s="187"/>
      <c r="Y47" s="174" t="s">
        <v>132</v>
      </c>
      <c r="Z47" s="174">
        <v>0</v>
      </c>
      <c r="AA47" s="174">
        <v>2.4E-2</v>
      </c>
      <c r="AB47" s="174">
        <v>26</v>
      </c>
      <c r="AC47" s="174">
        <v>1470</v>
      </c>
      <c r="AD47" s="229">
        <f>Z47/AA47</f>
        <v>0</v>
      </c>
      <c r="AE47" s="192">
        <f>Z47*AB47*AC47</f>
        <v>0</v>
      </c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AP43*0.3</f>
        <v>2.8453680629860093E-2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43"/>
        <v>2.8453680629860093E-2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376</v>
      </c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BU94</f>
        <v>192</v>
      </c>
      <c r="CF47" s="167" t="s">
        <v>317</v>
      </c>
      <c r="CI47" s="81" t="s">
        <v>365</v>
      </c>
      <c r="CJ47" s="242">
        <f t="shared" si="1"/>
        <v>277.72095608671481</v>
      </c>
      <c r="CK47" s="242">
        <f t="shared" si="2"/>
        <v>476</v>
      </c>
      <c r="CL47" s="242">
        <f t="shared" si="3"/>
        <v>192</v>
      </c>
      <c r="CO47" s="243" t="s">
        <v>373</v>
      </c>
      <c r="CP47" s="243" t="s">
        <v>408</v>
      </c>
      <c r="CQ47" s="244">
        <v>117</v>
      </c>
      <c r="CR47" s="244">
        <v>0.39900000000000002</v>
      </c>
      <c r="CS47" s="243">
        <v>293.08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44"/>
        <v>0.501</v>
      </c>
      <c r="DA47" s="245" t="s">
        <v>317</v>
      </c>
      <c r="DD47" s="169" t="s">
        <v>460</v>
      </c>
      <c r="DE47" s="279" t="s">
        <v>485</v>
      </c>
      <c r="DF47" s="274" t="s">
        <v>318</v>
      </c>
      <c r="DG47" s="169">
        <f>O13*Z38*AP26</f>
        <v>0.34979580445747682</v>
      </c>
      <c r="DH47" s="169" t="s">
        <v>317</v>
      </c>
    </row>
    <row r="48" spans="2:112" ht="15" customHeight="1" thickTop="1" thickBot="1" x14ac:dyDescent="0.3">
      <c r="C48" s="152"/>
      <c r="L48" s="81"/>
      <c r="M48" s="81"/>
      <c r="N48" s="81"/>
      <c r="Q48" s="81"/>
      <c r="R48" s="81"/>
      <c r="X48" s="176"/>
      <c r="Y48" s="176"/>
      <c r="Z48" s="176"/>
      <c r="AA48" s="176"/>
      <c r="AB48" s="176"/>
      <c r="AC48" s="176"/>
      <c r="AD48" s="227"/>
      <c r="AE48" s="176"/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AA28*4*O26</f>
        <v>277.72095608671481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43"/>
        <v>277.72095608671481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377</v>
      </c>
      <c r="BU48" s="81" t="s">
        <v>378</v>
      </c>
      <c r="BV48" s="81" t="s">
        <v>379</v>
      </c>
      <c r="BW48" s="81" t="s">
        <v>380</v>
      </c>
      <c r="BX48" s="81" t="s">
        <v>381</v>
      </c>
      <c r="BY48" s="81" t="s">
        <v>382</v>
      </c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BU95</f>
        <v>2.63E-4</v>
      </c>
      <c r="CF48" s="167" t="s">
        <v>317</v>
      </c>
      <c r="CI48" s="81" t="s">
        <v>367</v>
      </c>
      <c r="CJ48" s="242">
        <f t="shared" si="1"/>
        <v>138.8604780433574</v>
      </c>
      <c r="CK48" s="242">
        <f t="shared" si="2"/>
        <v>3410</v>
      </c>
      <c r="CL48" s="242">
        <f t="shared" si="3"/>
        <v>2.63E-4</v>
      </c>
      <c r="CO48" s="243" t="s">
        <v>373</v>
      </c>
      <c r="CP48" s="243" t="s">
        <v>290</v>
      </c>
      <c r="CQ48" s="244">
        <v>291</v>
      </c>
      <c r="CR48" s="244">
        <v>1.42</v>
      </c>
      <c r="CS48" s="243">
        <v>205.1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44"/>
        <v>1.6</v>
      </c>
      <c r="DA48" s="245" t="s">
        <v>317</v>
      </c>
      <c r="DD48" s="169" t="s">
        <v>460</v>
      </c>
      <c r="DE48" s="279" t="s">
        <v>486</v>
      </c>
      <c r="DF48" s="274" t="s">
        <v>318</v>
      </c>
      <c r="DG48" s="169">
        <f>O11*Z38*AP27</f>
        <v>1.2545746699783158</v>
      </c>
      <c r="DH48" s="169" t="s">
        <v>317</v>
      </c>
    </row>
    <row r="49" spans="3:112" ht="15" customHeight="1" thickTop="1" thickBot="1" x14ac:dyDescent="0.3">
      <c r="C49" s="152"/>
      <c r="L49" s="81"/>
      <c r="M49" s="81"/>
      <c r="N49" s="81"/>
      <c r="Q49" s="81"/>
      <c r="R49" s="81"/>
      <c r="Z49" s="221" t="s">
        <v>4</v>
      </c>
      <c r="AA49" s="221">
        <v>4</v>
      </c>
      <c r="AB49" s="221" t="s">
        <v>5</v>
      </c>
      <c r="AF49" s="222"/>
      <c r="AG49" s="222"/>
      <c r="AH49" s="222"/>
      <c r="AM49" s="158" t="s">
        <v>314</v>
      </c>
      <c r="AN49" s="81" t="s">
        <v>315</v>
      </c>
      <c r="AO49" s="81" t="s">
        <v>367</v>
      </c>
      <c r="AP49" s="81">
        <f>AP50/2</f>
        <v>138.8604780433574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43"/>
        <v>138.8604780433574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45">BE95</f>
        <v>3410</v>
      </c>
      <c r="BQ49" s="167" t="s">
        <v>317</v>
      </c>
      <c r="BS49" s="81" t="s">
        <v>373</v>
      </c>
      <c r="BT49" s="81" t="s">
        <v>383</v>
      </c>
      <c r="BU49" s="166">
        <v>289</v>
      </c>
      <c r="BV49" s="166">
        <v>0.14899999999999999</v>
      </c>
      <c r="BW49" s="81">
        <v>1944.91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BU96</f>
        <v>389</v>
      </c>
      <c r="CF49" s="167" t="s">
        <v>317</v>
      </c>
      <c r="CI49" s="81" t="s">
        <v>369</v>
      </c>
      <c r="CJ49" s="242">
        <f t="shared" si="1"/>
        <v>277.72095608671481</v>
      </c>
      <c r="CK49" s="242">
        <f t="shared" si="2"/>
        <v>989</v>
      </c>
      <c r="CL49" s="242">
        <f t="shared" si="3"/>
        <v>389</v>
      </c>
      <c r="CO49" s="243" t="s">
        <v>373</v>
      </c>
      <c r="CP49" s="243" t="s">
        <v>120</v>
      </c>
      <c r="CQ49" s="244">
        <v>150</v>
      </c>
      <c r="CR49" s="244">
        <v>2.4300000000000002</v>
      </c>
      <c r="CS49" s="243">
        <v>61.42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44"/>
        <v>0.64500000000000002</v>
      </c>
      <c r="DA49" s="245" t="s">
        <v>317</v>
      </c>
      <c r="DD49" s="169" t="s">
        <v>460</v>
      </c>
      <c r="DE49" s="279" t="s">
        <v>487</v>
      </c>
      <c r="DF49" s="274" t="s">
        <v>318</v>
      </c>
      <c r="DG49" s="169">
        <f>O10*Z38*AP27</f>
        <v>1.3339781301035256</v>
      </c>
      <c r="DH49" s="169" t="s">
        <v>317</v>
      </c>
    </row>
    <row r="50" spans="3:112" ht="15" customHeight="1" thickTop="1" thickBot="1" x14ac:dyDescent="0.3">
      <c r="L50" s="81"/>
      <c r="M50" s="81"/>
      <c r="N50" s="81"/>
      <c r="Q50" s="81"/>
      <c r="R50" s="81"/>
      <c r="X50" s="216" t="s">
        <v>68</v>
      </c>
      <c r="Y50" s="217"/>
      <c r="Z50" s="218" t="s">
        <v>21</v>
      </c>
      <c r="AA50" s="200">
        <v>4</v>
      </c>
      <c r="AB50" s="217" t="s">
        <v>5</v>
      </c>
      <c r="AC50" s="217"/>
      <c r="AD50" s="217" t="s">
        <v>22</v>
      </c>
      <c r="AE50" s="220">
        <f>0.04*550*1660</f>
        <v>36520</v>
      </c>
      <c r="AH50" s="222"/>
      <c r="AM50" s="158" t="s">
        <v>314</v>
      </c>
      <c r="AN50" s="81" t="s">
        <v>315</v>
      </c>
      <c r="AO50" s="81" t="s">
        <v>369</v>
      </c>
      <c r="AP50" s="81">
        <f>AP48</f>
        <v>277.72095608671481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43"/>
        <v>277.72095608671481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45"/>
        <v>989</v>
      </c>
      <c r="BQ50" s="167" t="s">
        <v>317</v>
      </c>
      <c r="BS50" s="81" t="s">
        <v>373</v>
      </c>
      <c r="BT50" s="81" t="s">
        <v>386</v>
      </c>
      <c r="BU50" s="166">
        <v>282</v>
      </c>
      <c r="BV50" s="166">
        <v>0.17299999999999999</v>
      </c>
      <c r="BW50" s="81">
        <v>1635.35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-4.82</v>
      </c>
      <c r="CR50" s="244">
        <v>1.46E-2</v>
      </c>
      <c r="CS50" s="243">
        <v>-330.45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44"/>
        <v>1.44</v>
      </c>
      <c r="DA50" s="245" t="s">
        <v>317</v>
      </c>
      <c r="DD50" s="169" t="s">
        <v>460</v>
      </c>
      <c r="DE50" s="279" t="s">
        <v>488</v>
      </c>
      <c r="DF50" s="274" t="s">
        <v>318</v>
      </c>
      <c r="DG50" s="169">
        <f>O12*Z38*AP27</f>
        <v>1.2863360540283995</v>
      </c>
      <c r="DH50" s="169" t="s">
        <v>317</v>
      </c>
    </row>
    <row r="51" spans="3:112" ht="15" customHeight="1" thickTop="1" thickBot="1" x14ac:dyDescent="0.3">
      <c r="L51" s="81"/>
      <c r="M51" s="81"/>
      <c r="N51" s="81"/>
      <c r="Q51" s="81"/>
      <c r="R51" s="81"/>
      <c r="X51" s="224"/>
      <c r="Y51" s="225" t="s">
        <v>27</v>
      </c>
      <c r="Z51" s="225" t="s">
        <v>28</v>
      </c>
      <c r="AA51" s="225" t="s">
        <v>29</v>
      </c>
      <c r="AB51" s="225" t="s">
        <v>30</v>
      </c>
      <c r="AC51" s="225" t="s">
        <v>31</v>
      </c>
      <c r="AD51" s="225" t="s">
        <v>32</v>
      </c>
      <c r="AE51" s="226" t="s">
        <v>33</v>
      </c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387</v>
      </c>
      <c r="BU51" s="166">
        <v>292</v>
      </c>
      <c r="BV51" s="166">
        <v>0.111</v>
      </c>
      <c r="BW51" s="81">
        <v>2622.7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-6.27</v>
      </c>
      <c r="CR51" s="244">
        <v>1.47E-2</v>
      </c>
      <c r="CS51" s="243">
        <v>-427.12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44"/>
        <v>1.36</v>
      </c>
      <c r="DA51" s="245" t="s">
        <v>317</v>
      </c>
      <c r="DD51" s="169" t="s">
        <v>460</v>
      </c>
      <c r="DE51" s="279" t="s">
        <v>489</v>
      </c>
      <c r="DF51" s="274" t="s">
        <v>318</v>
      </c>
      <c r="DG51" s="169">
        <f>O13*Z38*AP27</f>
        <v>1.1275291337779798</v>
      </c>
      <c r="DH51" s="169" t="s">
        <v>317</v>
      </c>
    </row>
    <row r="52" spans="3:112" thickTop="1" thickBot="1" x14ac:dyDescent="0.3">
      <c r="L52" s="81"/>
      <c r="M52" s="81"/>
      <c r="N52" s="81"/>
      <c r="X52" s="181"/>
      <c r="Y52" s="182" t="s">
        <v>16</v>
      </c>
      <c r="Z52" s="182">
        <v>4</v>
      </c>
      <c r="AA52" s="182" t="s">
        <v>5</v>
      </c>
      <c r="AB52" s="182"/>
      <c r="AC52" s="182" t="s">
        <v>308</v>
      </c>
      <c r="AD52" s="182">
        <f>0.11*(1/AA50-1/23-1/8)</f>
        <v>8.9673913043478264E-3</v>
      </c>
      <c r="AE52" s="233"/>
      <c r="AF52" s="222"/>
      <c r="AG52" s="22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388</v>
      </c>
      <c r="BU52" s="166">
        <v>294</v>
      </c>
      <c r="BV52" s="166">
        <v>0.13300000000000001</v>
      </c>
      <c r="BW52" s="81">
        <v>2217.33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-6.18</v>
      </c>
      <c r="CR52" s="244">
        <v>1.7899999999999999E-2</v>
      </c>
      <c r="CS52" s="243">
        <v>-346.08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44"/>
        <v>0.80100000000000005</v>
      </c>
      <c r="DA52" s="245" t="s">
        <v>317</v>
      </c>
      <c r="DD52" s="169" t="s">
        <v>460</v>
      </c>
      <c r="DE52" s="279" t="s">
        <v>490</v>
      </c>
      <c r="DF52" s="274" t="s">
        <v>318</v>
      </c>
      <c r="DG52" s="169">
        <f>O11*Z38*AP28</f>
        <v>3.6635053496566733E-2</v>
      </c>
      <c r="DH52" s="169" t="s">
        <v>317</v>
      </c>
    </row>
    <row r="53" spans="3:112" thickTop="1" thickBot="1" x14ac:dyDescent="0.3">
      <c r="L53" s="81"/>
      <c r="M53" s="81"/>
      <c r="N53" s="81"/>
      <c r="X53" s="187"/>
      <c r="Y53" s="174" t="s">
        <v>121</v>
      </c>
      <c r="Z53" s="174">
        <v>0</v>
      </c>
      <c r="AA53" s="174"/>
      <c r="AB53" s="174"/>
      <c r="AC53" s="174"/>
      <c r="AD53" s="174"/>
      <c r="AE53" s="192"/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390</v>
      </c>
      <c r="BU53" s="166">
        <v>0.42799999999999999</v>
      </c>
      <c r="BV53" s="166">
        <v>6.11E-3</v>
      </c>
      <c r="BW53" s="81">
        <v>69.94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-5.31</v>
      </c>
      <c r="CR53" s="244">
        <v>1.55E-2</v>
      </c>
      <c r="CS53" s="243">
        <v>-342.38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44"/>
        <v>8.2200000000000002E-9</v>
      </c>
      <c r="DA53" s="245" t="s">
        <v>317</v>
      </c>
      <c r="DD53" s="169" t="s">
        <v>460</v>
      </c>
      <c r="DE53" s="279" t="s">
        <v>491</v>
      </c>
      <c r="DF53" s="274" t="s">
        <v>318</v>
      </c>
      <c r="DG53" s="169">
        <f>O10*Z38*AP28</f>
        <v>3.8953727768501333E-2</v>
      </c>
      <c r="DH53" s="169" t="s">
        <v>317</v>
      </c>
    </row>
    <row r="54" spans="3:112" thickTop="1" thickBot="1" x14ac:dyDescent="0.3">
      <c r="L54" s="81"/>
      <c r="M54" s="81"/>
      <c r="N54" s="81"/>
      <c r="X54" s="256" t="s">
        <v>505</v>
      </c>
      <c r="Y54" s="257"/>
      <c r="Z54" s="258" t="s">
        <v>21</v>
      </c>
      <c r="AA54" s="259">
        <f>(1/(1/4+SUM(AD56:AD58)+1/4))</f>
        <v>1.5517241379310345</v>
      </c>
      <c r="AB54" s="257" t="s">
        <v>5</v>
      </c>
      <c r="AC54" s="257"/>
      <c r="AD54" s="257" t="s">
        <v>22</v>
      </c>
      <c r="AE54" s="260">
        <f>SUM(AE56:AE60)</f>
        <v>171780</v>
      </c>
      <c r="AF54" s="222" t="s">
        <v>23</v>
      </c>
      <c r="AG54" s="222">
        <f>SUM(AE56:AE58)</f>
        <v>171780</v>
      </c>
      <c r="AO54" s="169" t="s">
        <v>371</v>
      </c>
      <c r="AP54" s="169">
        <f>SUM(AP42,AP4:AP7)</f>
        <v>1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S54" s="81" t="s">
        <v>373</v>
      </c>
      <c r="BT54" s="81" t="s">
        <v>391</v>
      </c>
      <c r="BU54" s="166">
        <v>0.161</v>
      </c>
      <c r="BV54" s="166">
        <v>1.7899999999999999E-3</v>
      </c>
      <c r="BW54" s="81">
        <v>89.98</v>
      </c>
      <c r="BX54" s="81" t="s">
        <v>420</v>
      </c>
      <c r="BY54" s="166">
        <v>2E-16</v>
      </c>
      <c r="BZ54" s="81" t="s">
        <v>385</v>
      </c>
      <c r="CO54" s="243" t="s">
        <v>373</v>
      </c>
      <c r="CP54" s="243" t="s">
        <v>413</v>
      </c>
      <c r="CQ54" s="244">
        <v>-6.49</v>
      </c>
      <c r="CR54" s="244">
        <v>1.78E-2</v>
      </c>
      <c r="CS54" s="243">
        <v>-363.72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44"/>
        <v>1.36E-7</v>
      </c>
      <c r="DA54" s="245" t="s">
        <v>317</v>
      </c>
      <c r="DD54" s="169" t="s">
        <v>460</v>
      </c>
      <c r="DE54" s="279" t="s">
        <v>492</v>
      </c>
      <c r="DF54" s="274" t="s">
        <v>318</v>
      </c>
      <c r="DG54" s="169">
        <f>O12*Z38*AP28</f>
        <v>3.7562523205340571E-2</v>
      </c>
      <c r="DH54" s="169" t="s">
        <v>317</v>
      </c>
    </row>
    <row r="55" spans="3:112" thickTop="1" thickBot="1" x14ac:dyDescent="0.3">
      <c r="X55" s="261"/>
      <c r="Y55" s="225" t="s">
        <v>27</v>
      </c>
      <c r="Z55" s="225" t="s">
        <v>28</v>
      </c>
      <c r="AA55" s="225" t="s">
        <v>29</v>
      </c>
      <c r="AB55" s="225" t="s">
        <v>30</v>
      </c>
      <c r="AC55" s="225" t="s">
        <v>31</v>
      </c>
      <c r="AD55" s="225" t="s">
        <v>32</v>
      </c>
      <c r="AE55" s="262" t="s">
        <v>33</v>
      </c>
      <c r="AO55" s="169" t="s">
        <v>371</v>
      </c>
      <c r="AP55" s="169">
        <f>SUM(AP43,AP26:AP28)</f>
        <v>1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392</v>
      </c>
      <c r="BU55" s="166">
        <v>8.0100000000000005E-2</v>
      </c>
      <c r="BV55" s="166">
        <v>1.77E-2</v>
      </c>
      <c r="BW55" s="81">
        <v>4.53</v>
      </c>
      <c r="BX55" s="166">
        <v>6.1E-6</v>
      </c>
      <c r="BY55" s="81" t="s">
        <v>385</v>
      </c>
      <c r="CO55" s="243" t="s">
        <v>373</v>
      </c>
      <c r="CP55" s="243" t="s">
        <v>414</v>
      </c>
      <c r="CQ55" s="244">
        <v>2.7499999999999998E-3</v>
      </c>
      <c r="CR55" s="244">
        <v>5.6799999999999998E-5</v>
      </c>
      <c r="CS55" s="243">
        <v>48.42</v>
      </c>
      <c r="CT55" s="243" t="s">
        <v>420</v>
      </c>
      <c r="CU55" s="244">
        <v>2E-16</v>
      </c>
      <c r="CV55" s="81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44"/>
        <v>0.24299999999999999</v>
      </c>
      <c r="DA55" s="245" t="s">
        <v>317</v>
      </c>
      <c r="DD55" s="169" t="s">
        <v>460</v>
      </c>
      <c r="DE55" s="279" t="s">
        <v>493</v>
      </c>
      <c r="DF55" s="274" t="s">
        <v>318</v>
      </c>
      <c r="DG55" s="169">
        <f>O13*Z38*AP28</f>
        <v>3.2925174661471365E-2</v>
      </c>
      <c r="DH55" s="169" t="s">
        <v>317</v>
      </c>
    </row>
    <row r="56" spans="3:112" thickTop="1" thickBot="1" x14ac:dyDescent="0.3">
      <c r="X56" s="263"/>
      <c r="Y56" s="176" t="s">
        <v>90</v>
      </c>
      <c r="Z56" s="176">
        <v>0.02</v>
      </c>
      <c r="AA56" s="176">
        <v>0.6</v>
      </c>
      <c r="AB56" s="176">
        <v>975</v>
      </c>
      <c r="AC56" s="176">
        <v>840</v>
      </c>
      <c r="AD56" s="227">
        <f>Z56/AA56</f>
        <v>3.3333333333333333E-2</v>
      </c>
      <c r="AE56" s="264">
        <f>Z56*AB56*AC56</f>
        <v>16380</v>
      </c>
      <c r="AO56" s="169" t="s">
        <v>372</v>
      </c>
      <c r="AP56" s="169">
        <f>SUM(AP46,AP14:AP17)</f>
        <v>1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S56" s="81" t="s">
        <v>373</v>
      </c>
      <c r="BT56" s="81" t="s">
        <v>393</v>
      </c>
      <c r="BU56" s="166">
        <v>0.33100000000000002</v>
      </c>
      <c r="BV56" s="166">
        <v>4.3699999999999998E-3</v>
      </c>
      <c r="BW56" s="81">
        <v>75.67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38.700000000000003</v>
      </c>
      <c r="CR56" s="244">
        <v>0.35599999999999998</v>
      </c>
      <c r="CS56" s="243">
        <v>108.5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44"/>
        <v>0.223</v>
      </c>
      <c r="DA56" s="245" t="s">
        <v>317</v>
      </c>
      <c r="DD56" s="169" t="s">
        <v>460</v>
      </c>
      <c r="DE56" s="279" t="s">
        <v>494</v>
      </c>
      <c r="DF56" s="274" t="s">
        <v>318</v>
      </c>
      <c r="DG56" s="169">
        <f>O11*Z38*AP43</f>
        <v>0.17608086029778422</v>
      </c>
      <c r="DH56" s="169" t="s">
        <v>317</v>
      </c>
    </row>
    <row r="57" spans="3:112" thickTop="1" thickBot="1" x14ac:dyDescent="0.3">
      <c r="X57" s="263"/>
      <c r="Y57" s="176" t="s">
        <v>509</v>
      </c>
      <c r="Z57" s="176">
        <v>0.1</v>
      </c>
      <c r="AA57" s="176">
        <v>0.9</v>
      </c>
      <c r="AB57" s="176">
        <v>1850</v>
      </c>
      <c r="AC57" s="176">
        <v>840</v>
      </c>
      <c r="AD57" s="227">
        <f>Z57/AA57</f>
        <v>0.11111111111111112</v>
      </c>
      <c r="AE57" s="264">
        <f>Z57*AB57*AC57</f>
        <v>155400</v>
      </c>
      <c r="AO57" s="169" t="s">
        <v>372</v>
      </c>
      <c r="AP57" s="169">
        <f>SUM(AP47,AP33:AP35)</f>
        <v>1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S57" s="81" t="s">
        <v>373</v>
      </c>
      <c r="BT57" s="81" t="s">
        <v>303</v>
      </c>
      <c r="BU57" s="166">
        <v>976000000</v>
      </c>
      <c r="BV57" s="166">
        <v>20400000</v>
      </c>
      <c r="BW57" s="81">
        <v>47.85</v>
      </c>
      <c r="BX57" s="81" t="s">
        <v>420</v>
      </c>
      <c r="BY57" s="166">
        <v>2E-16</v>
      </c>
      <c r="BZ57" s="81" t="s">
        <v>385</v>
      </c>
      <c r="CO57" s="243" t="s">
        <v>373</v>
      </c>
      <c r="CP57" s="243" t="s">
        <v>416</v>
      </c>
      <c r="CQ57" s="244">
        <v>8820</v>
      </c>
      <c r="CR57" s="244">
        <v>50.7</v>
      </c>
      <c r="CS57" s="243">
        <v>174.01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44"/>
        <v>2.8799999999999998E-7</v>
      </c>
      <c r="DA57" s="245" t="s">
        <v>317</v>
      </c>
      <c r="DD57" s="169" t="s">
        <v>460</v>
      </c>
      <c r="DE57" s="279" t="s">
        <v>495</v>
      </c>
      <c r="DF57" s="274" t="s">
        <v>318</v>
      </c>
      <c r="DG57" s="169">
        <f>O10*Z38*AP43</f>
        <v>0.1872252185444794</v>
      </c>
      <c r="DH57" s="169" t="s">
        <v>317</v>
      </c>
    </row>
    <row r="58" spans="3:112" thickTop="1" thickBot="1" x14ac:dyDescent="0.3">
      <c r="X58" s="265"/>
      <c r="Y58" s="266" t="s">
        <v>508</v>
      </c>
      <c r="Z58" s="267">
        <v>0</v>
      </c>
      <c r="AA58" s="267">
        <v>3.5999999999999997E-2</v>
      </c>
      <c r="AB58" s="267">
        <v>26</v>
      </c>
      <c r="AC58" s="267">
        <v>1470</v>
      </c>
      <c r="AD58" s="268">
        <f>Z58/AA58</f>
        <v>0</v>
      </c>
      <c r="AE58" s="269">
        <f>Z58*AB58*AC58</f>
        <v>0</v>
      </c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S58" s="81" t="s">
        <v>373</v>
      </c>
      <c r="BT58" s="81" t="s">
        <v>395</v>
      </c>
      <c r="BU58" s="166">
        <v>1470000</v>
      </c>
      <c r="BV58" s="166">
        <v>21800</v>
      </c>
      <c r="BW58" s="81">
        <v>67.430000000000007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307</v>
      </c>
      <c r="CR58" s="244">
        <v>19.5</v>
      </c>
      <c r="CS58" s="243">
        <v>15.74</v>
      </c>
      <c r="CT58" s="243" t="s">
        <v>420</v>
      </c>
      <c r="CU58" s="244">
        <v>2E-16</v>
      </c>
      <c r="CV58" s="81" t="s">
        <v>385</v>
      </c>
      <c r="CW58" s="245" t="s">
        <v>460</v>
      </c>
      <c r="CX58" s="251" t="s">
        <v>496</v>
      </c>
      <c r="CY58" s="246" t="s">
        <v>318</v>
      </c>
      <c r="CZ58" s="247">
        <f t="shared" si="44"/>
        <v>0.23100000000000001</v>
      </c>
      <c r="DA58" s="245" t="s">
        <v>317</v>
      </c>
      <c r="DD58" s="169" t="s">
        <v>460</v>
      </c>
      <c r="DE58" s="279" t="s">
        <v>496</v>
      </c>
      <c r="DF58" s="274" t="s">
        <v>318</v>
      </c>
      <c r="DG58" s="169">
        <f>O12*Z38*AP43</f>
        <v>0.18053860359646226</v>
      </c>
      <c r="DH58" s="169" t="s">
        <v>317</v>
      </c>
    </row>
    <row r="59" spans="3:112" thickTop="1" thickBot="1" x14ac:dyDescent="0.3"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S59" s="81" t="s">
        <v>373</v>
      </c>
      <c r="BT59" s="81" t="s">
        <v>296</v>
      </c>
      <c r="BU59" s="166">
        <v>219000000</v>
      </c>
      <c r="BV59" s="166">
        <v>15400000</v>
      </c>
      <c r="BW59" s="81">
        <v>14.25</v>
      </c>
      <c r="BX59" s="81" t="s">
        <v>420</v>
      </c>
      <c r="BY59" s="166">
        <v>2E-16</v>
      </c>
      <c r="BZ59" s="81" t="s">
        <v>385</v>
      </c>
      <c r="CW59" s="245" t="s">
        <v>460</v>
      </c>
      <c r="CX59" s="251" t="s">
        <v>497</v>
      </c>
      <c r="CY59" s="246" t="s">
        <v>318</v>
      </c>
      <c r="CZ59" s="247">
        <f t="shared" si="44"/>
        <v>0.19900000000000001</v>
      </c>
      <c r="DA59" s="245" t="s">
        <v>317</v>
      </c>
      <c r="DD59" s="169" t="s">
        <v>460</v>
      </c>
      <c r="DE59" s="279" t="s">
        <v>497</v>
      </c>
      <c r="DF59" s="274" t="s">
        <v>318</v>
      </c>
      <c r="DG59" s="169">
        <f>O13*Z38*AP43</f>
        <v>0.15824988710307189</v>
      </c>
      <c r="DH59" s="169" t="s">
        <v>317</v>
      </c>
    </row>
    <row r="60" spans="3:112" thickTop="1" thickBot="1" x14ac:dyDescent="0.3"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S60" s="81" t="s">
        <v>373</v>
      </c>
      <c r="BT60" s="81" t="s">
        <v>298</v>
      </c>
      <c r="BU60" s="166">
        <v>40000000</v>
      </c>
      <c r="BV60" s="166">
        <v>20300000</v>
      </c>
      <c r="BW60" s="81">
        <v>1.97</v>
      </c>
      <c r="BX60" s="81">
        <v>4.9000000000000002E-2</v>
      </c>
      <c r="BY60" s="81" t="s">
        <v>418</v>
      </c>
      <c r="CX60" s="251"/>
      <c r="CY60" s="246"/>
      <c r="CZ60" s="247"/>
      <c r="DE60" s="279"/>
      <c r="DF60" s="274"/>
    </row>
    <row r="61" spans="3:112" thickTop="1" thickBot="1" x14ac:dyDescent="0.3"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S61" s="81" t="s">
        <v>373</v>
      </c>
      <c r="BT61" s="81" t="s">
        <v>396</v>
      </c>
      <c r="BU61" s="166">
        <v>-36.9</v>
      </c>
      <c r="BV61" s="166">
        <v>1.4</v>
      </c>
      <c r="BW61" s="81">
        <v>-26.39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W61" s="245" t="s">
        <v>460</v>
      </c>
      <c r="CX61" s="251" t="s">
        <v>339</v>
      </c>
      <c r="CY61" s="246" t="s">
        <v>318</v>
      </c>
      <c r="CZ61" s="247">
        <f>CQ85</f>
        <v>2060000</v>
      </c>
      <c r="DA61" s="245" t="s">
        <v>317</v>
      </c>
      <c r="DD61" s="169" t="s">
        <v>460</v>
      </c>
      <c r="DE61" s="279" t="s">
        <v>339</v>
      </c>
      <c r="DF61" s="274" t="s">
        <v>318</v>
      </c>
      <c r="DG61" s="278">
        <f>AP30</f>
        <v>2173896.7411420983</v>
      </c>
      <c r="DH61" s="169" t="s">
        <v>317</v>
      </c>
    </row>
    <row r="62" spans="3:112" thickTop="1" thickBot="1" x14ac:dyDescent="0.3"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S62" s="81" t="s">
        <v>373</v>
      </c>
      <c r="BT62" s="81" t="s">
        <v>397</v>
      </c>
      <c r="BU62" s="166">
        <v>-40.700000000000003</v>
      </c>
      <c r="BV62" s="166">
        <v>1.36</v>
      </c>
      <c r="BW62" s="81">
        <v>-29.88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W62" s="245" t="s">
        <v>460</v>
      </c>
      <c r="CX62" s="251" t="s">
        <v>340</v>
      </c>
      <c r="CY62" s="246" t="s">
        <v>318</v>
      </c>
      <c r="CZ62" s="247">
        <f t="shared" ref="CZ62:CZ63" si="46">CQ86</f>
        <v>57800000</v>
      </c>
      <c r="DA62" s="245" t="s">
        <v>317</v>
      </c>
      <c r="DD62" s="169" t="s">
        <v>460</v>
      </c>
      <c r="DE62" s="279" t="s">
        <v>340</v>
      </c>
      <c r="DF62" s="274" t="s">
        <v>318</v>
      </c>
      <c r="DG62" s="278">
        <f>AP31</f>
        <v>35109018.321381137</v>
      </c>
      <c r="DH62" s="169" t="s">
        <v>317</v>
      </c>
    </row>
    <row r="63" spans="3:112" thickTop="1" thickBot="1" x14ac:dyDescent="0.3"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S63" s="81" t="s">
        <v>373</v>
      </c>
      <c r="BT63" s="81" t="s">
        <v>399</v>
      </c>
      <c r="BU63" s="166">
        <v>-37.1</v>
      </c>
      <c r="BV63" s="166">
        <v>1.59</v>
      </c>
      <c r="BW63" s="81">
        <v>-23.36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W63" s="245" t="s">
        <v>460</v>
      </c>
      <c r="CX63" s="251" t="s">
        <v>341</v>
      </c>
      <c r="CY63" s="246" t="s">
        <v>318</v>
      </c>
      <c r="CZ63" s="247">
        <f t="shared" si="46"/>
        <v>20300000</v>
      </c>
      <c r="DA63" s="245" t="s">
        <v>317</v>
      </c>
      <c r="DD63" s="169" t="s">
        <v>460</v>
      </c>
      <c r="DE63" s="279" t="s">
        <v>341</v>
      </c>
      <c r="DF63" s="274" t="s">
        <v>318</v>
      </c>
      <c r="DG63" s="278">
        <f>AP32</f>
        <v>45033687.027917095</v>
      </c>
      <c r="DH63" s="169" t="s">
        <v>317</v>
      </c>
    </row>
    <row r="64" spans="3:112" thickTop="1" thickBot="1" x14ac:dyDescent="0.3"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S64" s="81" t="s">
        <v>373</v>
      </c>
      <c r="BT64" s="81" t="s">
        <v>400</v>
      </c>
      <c r="BU64" s="166">
        <v>-24.8</v>
      </c>
      <c r="BV64" s="166">
        <v>7.4200000000000002E-2</v>
      </c>
      <c r="BW64" s="81">
        <v>-334.42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291</v>
      </c>
      <c r="CR64" s="244">
        <v>9.2999999999999999E-2</v>
      </c>
      <c r="CS64" s="243">
        <v>3133.6</v>
      </c>
      <c r="CT64" s="243" t="s">
        <v>420</v>
      </c>
      <c r="CU64" s="244">
        <v>2E-16</v>
      </c>
      <c r="CV64" s="81" t="s">
        <v>385</v>
      </c>
      <c r="CY64" s="246"/>
      <c r="DF64" s="274"/>
    </row>
    <row r="65" spans="55:112" thickTop="1" thickBot="1" x14ac:dyDescent="0.3"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S65" s="81" t="s">
        <v>373</v>
      </c>
      <c r="BT65" s="81" t="s">
        <v>402</v>
      </c>
      <c r="BU65" s="166">
        <v>0.16500000000000001</v>
      </c>
      <c r="BV65" s="166">
        <v>4.6200000000000001E-4</v>
      </c>
      <c r="BW65" s="81">
        <v>357.36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284</v>
      </c>
      <c r="CR65" s="244">
        <v>9.2100000000000001E-2</v>
      </c>
      <c r="CS65" s="243">
        <v>3087.66</v>
      </c>
      <c r="CT65" s="243" t="s">
        <v>420</v>
      </c>
      <c r="CU65" s="244">
        <v>2E-16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7.7100000000000002E-2</v>
      </c>
      <c r="DA65" s="245" t="s">
        <v>317</v>
      </c>
      <c r="DD65" s="169" t="s">
        <v>460</v>
      </c>
      <c r="DE65" s="279" t="s">
        <v>342</v>
      </c>
      <c r="DF65" s="274" t="s">
        <v>318</v>
      </c>
      <c r="DG65" s="169">
        <f>AP33</f>
        <v>6.289406133487746E-2</v>
      </c>
      <c r="DH65" s="169" t="s">
        <v>317</v>
      </c>
    </row>
    <row r="66" spans="55:112" thickTop="1" thickBot="1" x14ac:dyDescent="0.3"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403</v>
      </c>
      <c r="BU66" s="166">
        <v>5.8500000000000003E-2</v>
      </c>
      <c r="BV66" s="166">
        <v>1.2799999999999999E-4</v>
      </c>
      <c r="BW66" s="81">
        <v>455.64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292</v>
      </c>
      <c r="CR66" s="244">
        <v>8.0600000000000005E-2</v>
      </c>
      <c r="CS66" s="243">
        <v>3617.09</v>
      </c>
      <c r="CT66" s="243" t="s">
        <v>420</v>
      </c>
      <c r="CU66" s="244">
        <v>2E-16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47">CQ93</f>
        <v>0.224</v>
      </c>
      <c r="DA66" s="245" t="s">
        <v>317</v>
      </c>
      <c r="DD66" s="169" t="s">
        <v>460</v>
      </c>
      <c r="DE66" s="279" t="s">
        <v>343</v>
      </c>
      <c r="DF66" s="274" t="s">
        <v>318</v>
      </c>
      <c r="DG66" s="169">
        <f>AP34</f>
        <v>0.20273223861755707</v>
      </c>
      <c r="DH66" s="169" t="s">
        <v>317</v>
      </c>
    </row>
    <row r="67" spans="55:112" thickTop="1" thickBot="1" x14ac:dyDescent="0.3"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S67" s="81" t="s">
        <v>373</v>
      </c>
      <c r="BT67" s="81" t="s">
        <v>404</v>
      </c>
      <c r="BU67" s="166">
        <v>0.61199999999999999</v>
      </c>
      <c r="BV67" s="166">
        <v>6.6400000000000001E-3</v>
      </c>
      <c r="BW67" s="81">
        <v>92.16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294</v>
      </c>
      <c r="CR67" s="244">
        <v>0.14199999999999999</v>
      </c>
      <c r="CS67" s="243">
        <v>2071.37</v>
      </c>
      <c r="CT67" s="243" t="s">
        <v>420</v>
      </c>
      <c r="CU67" s="244">
        <v>2E-16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47"/>
        <v>0.64400000000000002</v>
      </c>
      <c r="DA67" s="245" t="s">
        <v>317</v>
      </c>
      <c r="DD67" s="169" t="s">
        <v>460</v>
      </c>
      <c r="DE67" s="279" t="s">
        <v>345</v>
      </c>
      <c r="DF67" s="274" t="s">
        <v>318</v>
      </c>
      <c r="DG67" s="169">
        <f>AP35</f>
        <v>0.70592001941770532</v>
      </c>
      <c r="DH67" s="169" t="s">
        <v>317</v>
      </c>
    </row>
    <row r="68" spans="55:112" thickTop="1" thickBot="1" x14ac:dyDescent="0.3"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S68" s="81" t="s">
        <v>373</v>
      </c>
      <c r="BT68" s="81" t="s">
        <v>405</v>
      </c>
      <c r="BU68" s="166">
        <v>0.11700000000000001</v>
      </c>
      <c r="BV68" s="166">
        <v>3.1700000000000001E-4</v>
      </c>
      <c r="BW68" s="81">
        <v>369.23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0.40799999999999997</v>
      </c>
      <c r="CR68" s="244">
        <v>2.0799999999999999E-2</v>
      </c>
      <c r="CS68" s="243">
        <v>19.600000000000001</v>
      </c>
      <c r="CT68" s="244" t="s">
        <v>420</v>
      </c>
      <c r="CU68" s="244">
        <v>2E-16</v>
      </c>
      <c r="CV68" s="81" t="s">
        <v>385</v>
      </c>
      <c r="CW68" s="245" t="s">
        <v>460</v>
      </c>
      <c r="CX68" s="251" t="s">
        <v>431</v>
      </c>
      <c r="CY68" s="246" t="s">
        <v>318</v>
      </c>
      <c r="CZ68" s="247">
        <f t="shared" si="47"/>
        <v>3.5200000000000002E-2</v>
      </c>
      <c r="DA68" s="245" t="s">
        <v>317</v>
      </c>
      <c r="DD68" s="169" t="s">
        <v>460</v>
      </c>
      <c r="DE68" s="279" t="s">
        <v>431</v>
      </c>
      <c r="DF68" s="274" t="s">
        <v>318</v>
      </c>
      <c r="DG68" s="169">
        <f>AP47</f>
        <v>2.8453680629860093E-2</v>
      </c>
      <c r="DH68" s="169" t="s">
        <v>317</v>
      </c>
    </row>
    <row r="69" spans="55:112" thickTop="1" thickBot="1" x14ac:dyDescent="0.3"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S69" s="81" t="s">
        <v>373</v>
      </c>
      <c r="BT69" s="81" t="s">
        <v>407</v>
      </c>
      <c r="BU69" s="166">
        <v>298</v>
      </c>
      <c r="BV69" s="166">
        <v>1.43</v>
      </c>
      <c r="BW69" s="81">
        <v>208.33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5.8599999999999998E-7</v>
      </c>
      <c r="CR69" s="244">
        <v>7.9900000000000004E-5</v>
      </c>
      <c r="CS69" s="243">
        <v>0.01</v>
      </c>
      <c r="CT69" s="243">
        <v>0.99419999999999997</v>
      </c>
      <c r="CY69" s="246"/>
      <c r="DF69" s="274"/>
    </row>
    <row r="70" spans="55:112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S70" s="81" t="s">
        <v>373</v>
      </c>
      <c r="BT70" s="81" t="s">
        <v>290</v>
      </c>
      <c r="BU70" s="166">
        <v>120</v>
      </c>
      <c r="BV70" s="166">
        <v>0.72799999999999998</v>
      </c>
      <c r="BW70" s="81">
        <v>164.9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0.47499999999999998</v>
      </c>
      <c r="CR70" s="244">
        <v>1.29E-2</v>
      </c>
      <c r="CS70" s="243">
        <v>36.71</v>
      </c>
      <c r="CT70" s="243" t="s">
        <v>420</v>
      </c>
      <c r="CU70" s="244">
        <v>2E-16</v>
      </c>
      <c r="CV70" s="81" t="s">
        <v>385</v>
      </c>
      <c r="CW70" s="245" t="s">
        <v>460</v>
      </c>
      <c r="CX70" s="251" t="s">
        <v>347</v>
      </c>
      <c r="CY70" s="246" t="s">
        <v>318</v>
      </c>
      <c r="CZ70" s="247">
        <f>CQ96</f>
        <v>321</v>
      </c>
      <c r="DA70" s="245" t="s">
        <v>317</v>
      </c>
      <c r="DD70" s="169" t="s">
        <v>460</v>
      </c>
      <c r="DE70" s="279" t="s">
        <v>347</v>
      </c>
      <c r="DF70" s="274" t="s">
        <v>318</v>
      </c>
      <c r="DG70" s="169">
        <f>AP37</f>
        <v>433.93353631968523</v>
      </c>
      <c r="DH70" s="169" t="s">
        <v>317</v>
      </c>
    </row>
    <row r="71" spans="55:112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120</v>
      </c>
      <c r="BU71" s="166">
        <v>69.5</v>
      </c>
      <c r="BV71" s="166">
        <v>2.5499999999999998</v>
      </c>
      <c r="BW71" s="81">
        <v>27.22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0.501</v>
      </c>
      <c r="CR71" s="244">
        <v>1.95E-2</v>
      </c>
      <c r="CS71" s="243">
        <v>25.67</v>
      </c>
      <c r="CT71" s="243" t="s">
        <v>420</v>
      </c>
      <c r="CU71" s="244">
        <v>2E-16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48">CQ97</f>
        <v>795</v>
      </c>
      <c r="DA71" s="245" t="s">
        <v>317</v>
      </c>
      <c r="DD71" s="169" t="s">
        <v>460</v>
      </c>
      <c r="DE71" s="279" t="s">
        <v>349</v>
      </c>
      <c r="DF71" s="274" t="s">
        <v>318</v>
      </c>
      <c r="DG71" s="169">
        <f>AP38</f>
        <v>681.98494298132925</v>
      </c>
      <c r="DH71" s="169" t="s">
        <v>317</v>
      </c>
    </row>
    <row r="72" spans="55:112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409</v>
      </c>
      <c r="BU72" s="166">
        <v>-5.14</v>
      </c>
      <c r="BV72" s="166">
        <v>1.41E-2</v>
      </c>
      <c r="BW72" s="81">
        <v>-364.74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1.6</v>
      </c>
      <c r="CR72" s="244">
        <v>4.6100000000000002E-2</v>
      </c>
      <c r="CS72" s="243">
        <v>34.69</v>
      </c>
      <c r="CT72" s="243" t="s">
        <v>420</v>
      </c>
      <c r="CU72" s="244">
        <v>2E-16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48"/>
        <v>105</v>
      </c>
      <c r="DA72" s="245" t="s">
        <v>317</v>
      </c>
      <c r="DD72" s="169" t="s">
        <v>460</v>
      </c>
      <c r="DE72" s="279" t="s">
        <v>350</v>
      </c>
      <c r="DF72" s="274" t="s">
        <v>318</v>
      </c>
      <c r="DG72" s="169">
        <f>AP39</f>
        <v>57.786795219123512</v>
      </c>
      <c r="DH72" s="169" t="s">
        <v>317</v>
      </c>
    </row>
    <row r="73" spans="55:112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410</v>
      </c>
      <c r="BU73" s="166">
        <v>-5.22</v>
      </c>
      <c r="BV73" s="166">
        <v>1.5100000000000001E-2</v>
      </c>
      <c r="BW73" s="81">
        <v>-345.49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0.64500000000000002</v>
      </c>
      <c r="CR73" s="244">
        <v>0.152</v>
      </c>
      <c r="CS73" s="243">
        <v>4.25</v>
      </c>
      <c r="CT73" s="244">
        <v>2.1999999999999999E-5</v>
      </c>
      <c r="CU73" s="243" t="s">
        <v>385</v>
      </c>
      <c r="CW73" s="245" t="s">
        <v>460</v>
      </c>
      <c r="CX73" s="251" t="s">
        <v>352</v>
      </c>
      <c r="CY73" s="246" t="s">
        <v>318</v>
      </c>
      <c r="CZ73" s="247">
        <f>1/CQ103</f>
        <v>2865.3295128939826</v>
      </c>
      <c r="DA73" s="245" t="s">
        <v>317</v>
      </c>
      <c r="DD73" s="169" t="s">
        <v>460</v>
      </c>
      <c r="DE73" s="279" t="s">
        <v>352</v>
      </c>
      <c r="DF73" s="274" t="s">
        <v>318</v>
      </c>
      <c r="DG73" s="169">
        <f>AP40</f>
        <v>52.308122448746403</v>
      </c>
      <c r="DH73" s="169" t="s">
        <v>317</v>
      </c>
    </row>
    <row r="74" spans="55:112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S74" s="81" t="s">
        <v>373</v>
      </c>
      <c r="BT74" s="81" t="s">
        <v>411</v>
      </c>
      <c r="BU74" s="166">
        <v>-5.62</v>
      </c>
      <c r="BV74" s="166">
        <v>1.6E-2</v>
      </c>
      <c r="BW74" s="81">
        <v>-351.63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1.44</v>
      </c>
      <c r="CR74" s="244">
        <v>2.5399999999999999E-2</v>
      </c>
      <c r="CS74" s="243">
        <v>56.62</v>
      </c>
      <c r="CT74" s="243" t="s">
        <v>420</v>
      </c>
      <c r="CU74" s="244">
        <v>2E-16</v>
      </c>
      <c r="CV74" s="81" t="s">
        <v>385</v>
      </c>
      <c r="CY74" s="246"/>
      <c r="DF74" s="274"/>
    </row>
    <row r="75" spans="55:112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412</v>
      </c>
      <c r="BU75" s="166">
        <v>-5.44</v>
      </c>
      <c r="BV75" s="166">
        <v>1.4999999999999999E-2</v>
      </c>
      <c r="BW75" s="81">
        <v>-361.47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1.36</v>
      </c>
      <c r="CR75" s="244">
        <v>4.3200000000000002E-2</v>
      </c>
      <c r="CS75" s="243">
        <v>31.42</v>
      </c>
      <c r="CT75" s="243" t="s">
        <v>420</v>
      </c>
      <c r="CU75" s="244">
        <v>2E-16</v>
      </c>
      <c r="CV75" s="81" t="s">
        <v>385</v>
      </c>
      <c r="CW75" s="245" t="s">
        <v>460</v>
      </c>
      <c r="CX75" s="251" t="s">
        <v>424</v>
      </c>
      <c r="CY75" s="246" t="s">
        <v>318</v>
      </c>
      <c r="CZ75" s="247">
        <f>CQ112</f>
        <v>989000000</v>
      </c>
      <c r="DA75" s="245" t="s">
        <v>317</v>
      </c>
      <c r="DD75" s="169" t="s">
        <v>460</v>
      </c>
      <c r="DE75" s="279" t="s">
        <v>424</v>
      </c>
      <c r="DF75" s="274" t="s">
        <v>318</v>
      </c>
      <c r="DG75" s="169">
        <f>AP44</f>
        <v>2185458.9999999995</v>
      </c>
      <c r="DH75" s="169" t="s">
        <v>317</v>
      </c>
    </row>
    <row r="76" spans="55:112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S76" s="81" t="s">
        <v>373</v>
      </c>
      <c r="BT76" s="81" t="s">
        <v>414</v>
      </c>
      <c r="BU76" s="166">
        <v>1.01E-4</v>
      </c>
      <c r="BV76" s="166">
        <v>3.2899999999999998E-6</v>
      </c>
      <c r="BW76" s="81">
        <v>30.66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0.80100000000000005</v>
      </c>
      <c r="CR76" s="244">
        <v>8.2799999999999999E-2</v>
      </c>
      <c r="CS76" s="243">
        <v>9.68</v>
      </c>
      <c r="CT76" s="244" t="s">
        <v>420</v>
      </c>
      <c r="CU76" s="244">
        <v>2E-16</v>
      </c>
      <c r="CV76" s="81" t="s">
        <v>385</v>
      </c>
      <c r="CW76" s="245" t="s">
        <v>460</v>
      </c>
      <c r="CX76" s="251" t="s">
        <v>359</v>
      </c>
      <c r="CY76" s="246" t="s">
        <v>318</v>
      </c>
      <c r="CZ76" s="247">
        <f>CQ113</f>
        <v>11300000</v>
      </c>
      <c r="DA76" s="245" t="s">
        <v>317</v>
      </c>
      <c r="DD76" s="169" t="s">
        <v>460</v>
      </c>
      <c r="DE76" s="279" t="s">
        <v>359</v>
      </c>
      <c r="DF76" s="274" t="s">
        <v>318</v>
      </c>
      <c r="DG76" s="169">
        <f>AP45</f>
        <v>2185458.9999999995</v>
      </c>
      <c r="DH76" s="169" t="s">
        <v>317</v>
      </c>
    </row>
    <row r="77" spans="55:112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S77" s="81" t="s">
        <v>373</v>
      </c>
      <c r="BT77" s="81" t="s">
        <v>415</v>
      </c>
      <c r="BU77" s="166">
        <v>252</v>
      </c>
      <c r="BV77" s="166">
        <v>1.62</v>
      </c>
      <c r="BW77" s="81">
        <v>155.62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8.2200000000000002E-9</v>
      </c>
      <c r="CR77" s="244">
        <v>2.21E-6</v>
      </c>
      <c r="CS77" s="243">
        <v>0</v>
      </c>
      <c r="CT77" s="243">
        <v>0.997</v>
      </c>
      <c r="CW77" s="245" t="s">
        <v>460</v>
      </c>
      <c r="CX77" s="251" t="s">
        <v>365</v>
      </c>
      <c r="CY77" s="246" t="s">
        <v>318</v>
      </c>
      <c r="CZ77" s="247">
        <f>CQ120</f>
        <v>37.4</v>
      </c>
      <c r="DA77" s="245" t="s">
        <v>317</v>
      </c>
      <c r="DD77" s="169" t="s">
        <v>460</v>
      </c>
      <c r="DE77" s="279" t="s">
        <v>365</v>
      </c>
      <c r="DF77" s="274" t="s">
        <v>318</v>
      </c>
      <c r="DG77" s="169">
        <f>AP48</f>
        <v>277.72095608671481</v>
      </c>
      <c r="DH77" s="169" t="s">
        <v>317</v>
      </c>
    </row>
    <row r="78" spans="55:112" thickTop="1" thickBot="1" x14ac:dyDescent="0.3">
      <c r="BS78" s="81" t="s">
        <v>373</v>
      </c>
      <c r="BT78" s="81" t="s">
        <v>416</v>
      </c>
      <c r="BU78" s="166">
        <v>5430</v>
      </c>
      <c r="BV78" s="166">
        <v>185</v>
      </c>
      <c r="BW78" s="81">
        <v>29.43</v>
      </c>
      <c r="BX78" s="81" t="s">
        <v>420</v>
      </c>
      <c r="BY78" s="166">
        <v>2E-16</v>
      </c>
      <c r="BZ78" s="81" t="s">
        <v>385</v>
      </c>
      <c r="CO78" s="243" t="s">
        <v>373</v>
      </c>
      <c r="CP78" s="243" t="s">
        <v>449</v>
      </c>
      <c r="CQ78" s="244">
        <v>1.36E-7</v>
      </c>
      <c r="CR78" s="244">
        <v>3.01E-5</v>
      </c>
      <c r="CS78" s="243">
        <v>0</v>
      </c>
      <c r="CT78" s="243">
        <v>0.99639999999999995</v>
      </c>
      <c r="CW78" s="245" t="s">
        <v>460</v>
      </c>
      <c r="CX78" s="251" t="s">
        <v>367</v>
      </c>
      <c r="CY78" s="246" t="s">
        <v>318</v>
      </c>
      <c r="CZ78" s="247">
        <f t="shared" ref="CZ78:CZ79" si="49">CQ121</f>
        <v>25</v>
      </c>
      <c r="DA78" s="245" t="s">
        <v>317</v>
      </c>
      <c r="DD78" s="169" t="s">
        <v>460</v>
      </c>
      <c r="DE78" s="279" t="s">
        <v>367</v>
      </c>
      <c r="DF78" s="274" t="s">
        <v>318</v>
      </c>
      <c r="DG78" s="169">
        <f>AP49</f>
        <v>138.8604780433574</v>
      </c>
      <c r="DH78" s="169" t="s">
        <v>317</v>
      </c>
    </row>
    <row r="79" spans="55:112" thickTop="1" thickBot="1" x14ac:dyDescent="0.3">
      <c r="BC79" s="81" t="s">
        <v>373</v>
      </c>
      <c r="BD79" s="81" t="s">
        <v>374</v>
      </c>
      <c r="BE79" s="81" t="s">
        <v>429</v>
      </c>
      <c r="CO79" s="243" t="s">
        <v>373</v>
      </c>
      <c r="CP79" s="243" t="s">
        <v>450</v>
      </c>
      <c r="CQ79" s="244">
        <v>0.24299999999999999</v>
      </c>
      <c r="CR79" s="244">
        <v>8.5000000000000006E-2</v>
      </c>
      <c r="CS79" s="243">
        <v>2.86</v>
      </c>
      <c r="CT79" s="243">
        <v>4.3E-3</v>
      </c>
      <c r="CU79" s="243" t="s">
        <v>398</v>
      </c>
      <c r="CW79" s="245" t="s">
        <v>460</v>
      </c>
      <c r="CX79" s="251" t="s">
        <v>369</v>
      </c>
      <c r="CY79" s="246" t="s">
        <v>318</v>
      </c>
      <c r="CZ79" s="247">
        <f t="shared" si="49"/>
        <v>96.6</v>
      </c>
      <c r="DA79" s="245" t="s">
        <v>317</v>
      </c>
      <c r="DD79" s="169" t="s">
        <v>460</v>
      </c>
      <c r="DE79" s="279" t="s">
        <v>369</v>
      </c>
      <c r="DF79" s="274" t="s">
        <v>318</v>
      </c>
      <c r="DG79" s="169">
        <f>AP50</f>
        <v>277.72095608671481</v>
      </c>
      <c r="DH79" s="169" t="s">
        <v>317</v>
      </c>
    </row>
    <row r="80" spans="55:112" thickTop="1" thickBot="1" x14ac:dyDescent="0.3">
      <c r="BC80" s="81" t="s">
        <v>373</v>
      </c>
      <c r="BD80" s="81" t="s">
        <v>376</v>
      </c>
      <c r="CO80" s="243" t="s">
        <v>373</v>
      </c>
      <c r="CP80" s="243" t="s">
        <v>451</v>
      </c>
      <c r="CQ80" s="244">
        <v>0.223</v>
      </c>
      <c r="CR80" s="244">
        <v>1.0500000000000001E-2</v>
      </c>
      <c r="CS80" s="243">
        <v>21.27</v>
      </c>
      <c r="CT80" s="243" t="s">
        <v>420</v>
      </c>
      <c r="CU80" s="244">
        <v>2E-16</v>
      </c>
      <c r="CV80" s="81" t="s">
        <v>385</v>
      </c>
    </row>
    <row r="81" spans="55:100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S81" s="81" t="s">
        <v>373</v>
      </c>
      <c r="BT81" s="81" t="s">
        <v>374</v>
      </c>
      <c r="BU81" s="81" t="s">
        <v>421</v>
      </c>
      <c r="CO81" s="243" t="s">
        <v>373</v>
      </c>
      <c r="CP81" s="243" t="s">
        <v>452</v>
      </c>
      <c r="CQ81" s="244">
        <v>2.8799999999999998E-7</v>
      </c>
      <c r="CR81" s="244">
        <v>5.0000000000000002E-5</v>
      </c>
      <c r="CS81" s="243">
        <v>0.01</v>
      </c>
      <c r="CT81" s="243">
        <v>0.99539999999999995</v>
      </c>
    </row>
    <row r="82" spans="55:100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376</v>
      </c>
      <c r="CO82" s="243" t="s">
        <v>373</v>
      </c>
      <c r="CP82" s="243" t="s">
        <v>453</v>
      </c>
      <c r="CQ82" s="244">
        <v>0.23100000000000001</v>
      </c>
      <c r="CR82" s="244">
        <v>5.9899999999999997E-3</v>
      </c>
      <c r="CS82" s="243">
        <v>38.619999999999997</v>
      </c>
      <c r="CT82" s="243" t="s">
        <v>420</v>
      </c>
      <c r="CU82" s="244">
        <v>2E-16</v>
      </c>
      <c r="CV82" s="81" t="s">
        <v>385</v>
      </c>
    </row>
    <row r="83" spans="55:100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377</v>
      </c>
      <c r="BU83" s="81" t="s">
        <v>378</v>
      </c>
      <c r="BV83" s="81" t="s">
        <v>379</v>
      </c>
      <c r="BW83" s="81" t="s">
        <v>380</v>
      </c>
      <c r="BX83" s="81" t="s">
        <v>381</v>
      </c>
      <c r="BY83" s="81" t="s">
        <v>382</v>
      </c>
      <c r="CO83" s="243" t="s">
        <v>373</v>
      </c>
      <c r="CP83" s="243" t="s">
        <v>454</v>
      </c>
      <c r="CQ83" s="244">
        <v>0.19900000000000001</v>
      </c>
      <c r="CR83" s="244">
        <v>1.06E-2</v>
      </c>
      <c r="CS83" s="243">
        <v>18.77</v>
      </c>
      <c r="CT83" s="243" t="s">
        <v>420</v>
      </c>
      <c r="CU83" s="244">
        <v>2E-16</v>
      </c>
      <c r="CV83" s="81" t="s">
        <v>385</v>
      </c>
    </row>
    <row r="84" spans="55:100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422</v>
      </c>
      <c r="BU84" s="166">
        <v>289</v>
      </c>
      <c r="BV84" s="166">
        <v>0.34499999999999997</v>
      </c>
      <c r="BW84" s="81">
        <v>837.17</v>
      </c>
      <c r="BX84" s="81" t="s">
        <v>420</v>
      </c>
      <c r="BY84" s="166">
        <v>2E-16</v>
      </c>
      <c r="BZ84" s="81" t="s">
        <v>385</v>
      </c>
      <c r="CO84" s="243" t="s">
        <v>373</v>
      </c>
      <c r="CP84" s="243" t="s">
        <v>303</v>
      </c>
      <c r="CQ84" s="244">
        <v>9290000</v>
      </c>
      <c r="CR84" s="244">
        <v>1380000</v>
      </c>
      <c r="CS84" s="243">
        <v>6.75</v>
      </c>
      <c r="CT84" s="244">
        <v>1.5E-11</v>
      </c>
      <c r="CU84" s="243" t="s">
        <v>385</v>
      </c>
    </row>
    <row r="85" spans="55:100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423</v>
      </c>
      <c r="BU85" s="166">
        <v>292</v>
      </c>
      <c r="BV85" s="166">
        <v>0.36699999999999999</v>
      </c>
      <c r="BW85" s="81">
        <v>796.26</v>
      </c>
      <c r="BX85" s="81" t="s">
        <v>420</v>
      </c>
      <c r="BY85" s="166">
        <v>2E-16</v>
      </c>
      <c r="BZ85" s="81" t="s">
        <v>385</v>
      </c>
      <c r="CO85" s="243" t="s">
        <v>373</v>
      </c>
      <c r="CP85" s="243" t="s">
        <v>395</v>
      </c>
      <c r="CQ85" s="244">
        <v>2060000</v>
      </c>
      <c r="CR85" s="244">
        <v>21200</v>
      </c>
      <c r="CS85" s="243">
        <v>97.18</v>
      </c>
      <c r="CT85" s="243" t="s">
        <v>420</v>
      </c>
      <c r="CU85" s="244">
        <v>2E-16</v>
      </c>
      <c r="CV85" s="81" t="s">
        <v>385</v>
      </c>
    </row>
    <row r="86" spans="55:100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353</v>
      </c>
      <c r="BU86" s="166">
        <v>9.84</v>
      </c>
      <c r="BV86" s="166">
        <v>1.27</v>
      </c>
      <c r="BW86" s="81">
        <v>7.73</v>
      </c>
      <c r="BX86" s="166">
        <v>1.4E-14</v>
      </c>
      <c r="BY86" s="81" t="s">
        <v>385</v>
      </c>
      <c r="CO86" s="243" t="s">
        <v>373</v>
      </c>
      <c r="CP86" s="243" t="s">
        <v>296</v>
      </c>
      <c r="CQ86" s="244">
        <v>57800000</v>
      </c>
      <c r="CR86" s="244">
        <v>2910000</v>
      </c>
      <c r="CS86" s="243">
        <v>19.88</v>
      </c>
      <c r="CT86" s="243" t="s">
        <v>420</v>
      </c>
      <c r="CU86" s="244">
        <v>2E-16</v>
      </c>
      <c r="CV86" s="81" t="s">
        <v>385</v>
      </c>
    </row>
    <row r="87" spans="55:100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355</v>
      </c>
      <c r="BU87" s="166">
        <v>1.35</v>
      </c>
      <c r="BV87" s="166">
        <v>0.24399999999999999</v>
      </c>
      <c r="BW87" s="81">
        <v>5.54</v>
      </c>
      <c r="BX87" s="166">
        <v>3.1E-8</v>
      </c>
      <c r="BY87" s="81" t="s">
        <v>385</v>
      </c>
      <c r="CO87" s="243" t="s">
        <v>373</v>
      </c>
      <c r="CP87" s="243" t="s">
        <v>298</v>
      </c>
      <c r="CQ87" s="244">
        <v>20300000</v>
      </c>
      <c r="CR87" s="244">
        <v>937000</v>
      </c>
      <c r="CS87" s="243">
        <v>21.62</v>
      </c>
      <c r="CT87" s="243" t="s">
        <v>420</v>
      </c>
      <c r="CU87" s="244">
        <v>2E-16</v>
      </c>
      <c r="CV87" s="81" t="s">
        <v>385</v>
      </c>
    </row>
    <row r="88" spans="55:100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S88" s="81" t="s">
        <v>373</v>
      </c>
      <c r="BT88" s="81" t="s">
        <v>424</v>
      </c>
      <c r="BU88" s="166">
        <v>139000000</v>
      </c>
      <c r="BV88" s="166">
        <v>35000000</v>
      </c>
      <c r="BW88" s="81">
        <v>3.98</v>
      </c>
      <c r="BX88" s="166">
        <v>6.8999999999999997E-5</v>
      </c>
      <c r="BY88" s="81" t="s">
        <v>385</v>
      </c>
      <c r="CO88" s="243" t="s">
        <v>373</v>
      </c>
      <c r="CP88" s="243" t="s">
        <v>396</v>
      </c>
      <c r="CQ88" s="244">
        <v>-30.1</v>
      </c>
      <c r="CR88" s="244">
        <v>333</v>
      </c>
      <c r="CS88" s="243">
        <v>-0.09</v>
      </c>
      <c r="CT88" s="243">
        <v>0.92800000000000005</v>
      </c>
    </row>
    <row r="89" spans="55:100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S89" s="81" t="s">
        <v>373</v>
      </c>
      <c r="BT89" s="81" t="s">
        <v>359</v>
      </c>
      <c r="BU89" s="166">
        <v>18800000</v>
      </c>
      <c r="BV89" s="166">
        <v>2330000</v>
      </c>
      <c r="BW89" s="81">
        <v>8.09</v>
      </c>
      <c r="BX89" s="166">
        <v>6.7000000000000004E-16</v>
      </c>
      <c r="BY89" s="81" t="s">
        <v>385</v>
      </c>
      <c r="CO89" s="243" t="s">
        <v>373</v>
      </c>
      <c r="CP89" s="243" t="s">
        <v>397</v>
      </c>
      <c r="CQ89" s="244">
        <v>-14.7</v>
      </c>
      <c r="CR89" s="244">
        <v>574</v>
      </c>
      <c r="CS89" s="243">
        <v>-0.03</v>
      </c>
      <c r="CT89" s="243">
        <v>0.97960000000000003</v>
      </c>
    </row>
    <row r="90" spans="55:100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401</v>
      </c>
      <c r="BU90" s="166">
        <v>8.0500000000000007</v>
      </c>
      <c r="BV90" s="166">
        <v>5.5100000000000003E-2</v>
      </c>
      <c r="BW90" s="81">
        <v>146.16999999999999</v>
      </c>
      <c r="BX90" s="81" t="s">
        <v>420</v>
      </c>
      <c r="BY90" s="166">
        <v>2E-16</v>
      </c>
      <c r="BZ90" s="81" t="s">
        <v>385</v>
      </c>
      <c r="CO90" s="243" t="s">
        <v>373</v>
      </c>
      <c r="CP90" s="243" t="s">
        <v>399</v>
      </c>
      <c r="CQ90" s="244">
        <v>-14.1</v>
      </c>
      <c r="CR90" s="244">
        <v>456</v>
      </c>
      <c r="CS90" s="243">
        <v>-0.03</v>
      </c>
      <c r="CT90" s="243">
        <v>0.97540000000000004</v>
      </c>
    </row>
    <row r="91" spans="55:100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425</v>
      </c>
      <c r="BU91" s="166">
        <v>10</v>
      </c>
      <c r="BV91" s="166">
        <v>2.14E-3</v>
      </c>
      <c r="BW91" s="81">
        <v>4675.1499999999996</v>
      </c>
      <c r="BX91" s="81" t="s">
        <v>420</v>
      </c>
      <c r="BY91" s="166">
        <v>2E-16</v>
      </c>
      <c r="BZ91" s="81" t="s">
        <v>385</v>
      </c>
      <c r="CO91" s="243" t="s">
        <v>373</v>
      </c>
      <c r="CP91" s="243" t="s">
        <v>400</v>
      </c>
      <c r="CQ91" s="244">
        <v>-13.2</v>
      </c>
      <c r="CR91" s="244">
        <v>318</v>
      </c>
      <c r="CS91" s="243">
        <v>-0.04</v>
      </c>
      <c r="CT91" s="243">
        <v>0.96689999999999998</v>
      </c>
    </row>
    <row r="92" spans="55:100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413</v>
      </c>
      <c r="BU92" s="166">
        <v>-4.74</v>
      </c>
      <c r="BV92" s="166">
        <v>3.8199999999999998E-2</v>
      </c>
      <c r="BW92" s="81">
        <v>-124.2</v>
      </c>
      <c r="BX92" s="81" t="s">
        <v>420</v>
      </c>
      <c r="BY92" s="166">
        <v>2E-16</v>
      </c>
      <c r="BZ92" s="81" t="s">
        <v>385</v>
      </c>
      <c r="CO92" s="243" t="s">
        <v>373</v>
      </c>
      <c r="CP92" s="243" t="s">
        <v>402</v>
      </c>
      <c r="CQ92" s="244">
        <v>7.7100000000000002E-2</v>
      </c>
      <c r="CR92" s="244">
        <v>2.3699999999999999E-4</v>
      </c>
      <c r="CS92" s="243">
        <v>325.95</v>
      </c>
      <c r="CT92" s="243" t="s">
        <v>420</v>
      </c>
      <c r="CU92" s="244">
        <v>2E-16</v>
      </c>
      <c r="CV92" s="81" t="s">
        <v>385</v>
      </c>
    </row>
    <row r="93" spans="55:100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426</v>
      </c>
      <c r="BU93" s="166">
        <v>-4.71</v>
      </c>
      <c r="BV93" s="166">
        <v>4.3700000000000003E-2</v>
      </c>
      <c r="BW93" s="81">
        <v>-107.8</v>
      </c>
      <c r="BX93" s="81" t="s">
        <v>420</v>
      </c>
      <c r="BY93" s="166">
        <v>2E-16</v>
      </c>
      <c r="BZ93" s="81" t="s">
        <v>385</v>
      </c>
      <c r="CO93" s="243" t="s">
        <v>373</v>
      </c>
      <c r="CP93" s="243" t="s">
        <v>403</v>
      </c>
      <c r="CQ93" s="244">
        <v>0.224</v>
      </c>
      <c r="CR93" s="244">
        <v>5.9400000000000002E-4</v>
      </c>
      <c r="CS93" s="243">
        <v>376.68</v>
      </c>
      <c r="CT93" s="243" t="s">
        <v>420</v>
      </c>
      <c r="CU93" s="244">
        <v>2E-16</v>
      </c>
      <c r="CV93" s="81" t="s">
        <v>385</v>
      </c>
    </row>
    <row r="94" spans="55:100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365</v>
      </c>
      <c r="BU94" s="166">
        <v>192</v>
      </c>
      <c r="BV94" s="166">
        <v>3.81</v>
      </c>
      <c r="BW94" s="81">
        <v>50.34</v>
      </c>
      <c r="BX94" s="81" t="s">
        <v>420</v>
      </c>
      <c r="BY94" s="166">
        <v>2E-16</v>
      </c>
      <c r="BZ94" s="81" t="s">
        <v>385</v>
      </c>
      <c r="CO94" s="243" t="s">
        <v>373</v>
      </c>
      <c r="CP94" s="243" t="s">
        <v>404</v>
      </c>
      <c r="CQ94" s="244">
        <v>0.64400000000000002</v>
      </c>
      <c r="CR94" s="244">
        <v>4.5999999999999999E-3</v>
      </c>
      <c r="CS94" s="243">
        <v>139.81</v>
      </c>
      <c r="CT94" s="243" t="s">
        <v>420</v>
      </c>
      <c r="CU94" s="244">
        <v>2E-16</v>
      </c>
      <c r="CV94" s="81" t="s">
        <v>385</v>
      </c>
    </row>
    <row r="95" spans="55:100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367</v>
      </c>
      <c r="BU95" s="166">
        <v>2.63E-4</v>
      </c>
      <c r="BV95" s="166">
        <v>6.5899999999999997E-4</v>
      </c>
      <c r="BW95" s="81">
        <v>0.4</v>
      </c>
      <c r="BX95" s="81">
        <v>0.69</v>
      </c>
      <c r="CO95" s="243" t="s">
        <v>373</v>
      </c>
      <c r="CP95" s="243" t="s">
        <v>405</v>
      </c>
      <c r="CQ95" s="244">
        <v>3.5200000000000002E-2</v>
      </c>
      <c r="CR95" s="244">
        <v>1.2E-4</v>
      </c>
      <c r="CS95" s="243">
        <v>293.98</v>
      </c>
      <c r="CT95" s="243" t="s">
        <v>420</v>
      </c>
      <c r="CU95" s="244">
        <v>2E-16</v>
      </c>
      <c r="CV95" s="81" t="s">
        <v>385</v>
      </c>
    </row>
    <row r="96" spans="55:100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369</v>
      </c>
      <c r="BU96" s="166">
        <v>389</v>
      </c>
      <c r="BV96" s="166">
        <v>9.27</v>
      </c>
      <c r="BW96" s="81">
        <v>41.99</v>
      </c>
      <c r="BX96" s="81" t="s">
        <v>420</v>
      </c>
      <c r="BY96" s="166">
        <v>2E-16</v>
      </c>
      <c r="BZ96" s="81" t="s">
        <v>385</v>
      </c>
      <c r="CO96" s="243" t="s">
        <v>373</v>
      </c>
      <c r="CP96" s="243" t="s">
        <v>407</v>
      </c>
      <c r="CQ96" s="244">
        <v>321</v>
      </c>
      <c r="CR96" s="244">
        <v>1.6</v>
      </c>
      <c r="CS96" s="243">
        <v>199.93</v>
      </c>
      <c r="CT96" s="243" t="s">
        <v>420</v>
      </c>
      <c r="CU96" s="244">
        <v>2E-16</v>
      </c>
      <c r="CV96" s="81" t="s">
        <v>385</v>
      </c>
    </row>
    <row r="97" spans="93:100" thickTop="1" thickBot="1" x14ac:dyDescent="0.3">
      <c r="CO97" s="243" t="s">
        <v>373</v>
      </c>
      <c r="CP97" s="243" t="s">
        <v>290</v>
      </c>
      <c r="CQ97" s="244">
        <v>795</v>
      </c>
      <c r="CR97" s="244">
        <v>4.4400000000000004</v>
      </c>
      <c r="CS97" s="243">
        <v>179.23</v>
      </c>
      <c r="CT97" s="243" t="s">
        <v>420</v>
      </c>
      <c r="CU97" s="244">
        <v>2E-16</v>
      </c>
      <c r="CV97" s="81" t="s">
        <v>385</v>
      </c>
    </row>
    <row r="98" spans="93:100" thickTop="1" thickBot="1" x14ac:dyDescent="0.3">
      <c r="CO98" s="243" t="s">
        <v>373</v>
      </c>
      <c r="CP98" s="243" t="s">
        <v>120</v>
      </c>
      <c r="CQ98" s="244">
        <v>105</v>
      </c>
      <c r="CR98" s="244">
        <v>2.02</v>
      </c>
      <c r="CS98" s="243">
        <v>52.28</v>
      </c>
      <c r="CT98" s="243" t="s">
        <v>420</v>
      </c>
      <c r="CU98" s="244">
        <v>2E-16</v>
      </c>
      <c r="CV98" s="81" t="s">
        <v>385</v>
      </c>
    </row>
    <row r="99" spans="93:100" thickTop="1" thickBot="1" x14ac:dyDescent="0.3">
      <c r="CO99" s="243" t="s">
        <v>373</v>
      </c>
      <c r="CP99" s="243" t="s">
        <v>409</v>
      </c>
      <c r="CQ99" s="244">
        <v>-5.58</v>
      </c>
      <c r="CR99" s="244">
        <v>1.4200000000000001E-2</v>
      </c>
      <c r="CS99" s="243">
        <v>-392.09</v>
      </c>
      <c r="CT99" s="243" t="s">
        <v>420</v>
      </c>
      <c r="CU99" s="244">
        <v>2E-16</v>
      </c>
      <c r="CV99" s="81" t="s">
        <v>385</v>
      </c>
    </row>
    <row r="100" spans="93:100" thickTop="1" thickBot="1" x14ac:dyDescent="0.3">
      <c r="CO100" s="243" t="s">
        <v>373</v>
      </c>
      <c r="CP100" s="243" t="s">
        <v>410</v>
      </c>
      <c r="CQ100" s="244">
        <v>-5.91</v>
      </c>
      <c r="CR100" s="244">
        <v>1.5599999999999999E-2</v>
      </c>
      <c r="CS100" s="243">
        <v>-377.65</v>
      </c>
      <c r="CT100" s="243" t="s">
        <v>420</v>
      </c>
      <c r="CU100" s="244">
        <v>2E-16</v>
      </c>
      <c r="CV100" s="81" t="s">
        <v>385</v>
      </c>
    </row>
    <row r="101" spans="93:100" thickTop="1" thickBot="1" x14ac:dyDescent="0.3">
      <c r="CO101" s="243" t="s">
        <v>373</v>
      </c>
      <c r="CP101" s="243" t="s">
        <v>411</v>
      </c>
      <c r="CQ101" s="244">
        <v>-5.91</v>
      </c>
      <c r="CR101" s="244">
        <v>1.6E-2</v>
      </c>
      <c r="CS101" s="243">
        <v>-369.25</v>
      </c>
      <c r="CT101" s="243" t="s">
        <v>420</v>
      </c>
      <c r="CU101" s="244">
        <v>2E-16</v>
      </c>
      <c r="CV101" s="81" t="s">
        <v>385</v>
      </c>
    </row>
    <row r="102" spans="93:100" thickTop="1" thickBot="1" x14ac:dyDescent="0.3">
      <c r="CO102" s="243" t="s">
        <v>373</v>
      </c>
      <c r="CP102" s="243" t="s">
        <v>412</v>
      </c>
      <c r="CQ102" s="244">
        <v>-5.37</v>
      </c>
      <c r="CR102" s="244">
        <v>1.7399999999999999E-2</v>
      </c>
      <c r="CS102" s="243">
        <v>-309.06</v>
      </c>
      <c r="CT102" s="243" t="s">
        <v>420</v>
      </c>
      <c r="CU102" s="244">
        <v>2E-16</v>
      </c>
      <c r="CV102" s="81" t="s">
        <v>385</v>
      </c>
    </row>
    <row r="103" spans="93:100" thickTop="1" thickBot="1" x14ac:dyDescent="0.3">
      <c r="CO103" s="243" t="s">
        <v>373</v>
      </c>
      <c r="CP103" s="243" t="s">
        <v>414</v>
      </c>
      <c r="CQ103" s="244">
        <v>3.4900000000000003E-4</v>
      </c>
      <c r="CR103" s="244">
        <v>1.66E-5</v>
      </c>
      <c r="CS103" s="243">
        <v>20.97</v>
      </c>
      <c r="CT103" s="243" t="s">
        <v>420</v>
      </c>
      <c r="CU103" s="244">
        <v>2E-16</v>
      </c>
      <c r="CV103" s="81" t="s">
        <v>385</v>
      </c>
    </row>
    <row r="104" spans="93:100" thickTop="1" thickBot="1" x14ac:dyDescent="0.3">
      <c r="CO104" s="243" t="s">
        <v>373</v>
      </c>
      <c r="CP104" s="243" t="s">
        <v>415</v>
      </c>
      <c r="CQ104" s="244">
        <v>101</v>
      </c>
      <c r="CR104" s="244">
        <v>0.91700000000000004</v>
      </c>
      <c r="CS104" s="243">
        <v>109.7</v>
      </c>
      <c r="CT104" s="243" t="s">
        <v>420</v>
      </c>
      <c r="CU104" s="244">
        <v>2E-16</v>
      </c>
      <c r="CV104" s="81" t="s">
        <v>385</v>
      </c>
    </row>
    <row r="105" spans="93:100" thickTop="1" thickBot="1" x14ac:dyDescent="0.3">
      <c r="CO105" s="243" t="s">
        <v>373</v>
      </c>
      <c r="CP105" s="243" t="s">
        <v>416</v>
      </c>
      <c r="CQ105" s="244">
        <v>130</v>
      </c>
      <c r="CR105" s="244">
        <v>23.4</v>
      </c>
      <c r="CS105" s="243">
        <v>5.54</v>
      </c>
      <c r="CT105" s="244">
        <v>3.1E-8</v>
      </c>
      <c r="CU105" s="243" t="s">
        <v>385</v>
      </c>
    </row>
    <row r="108" spans="93:100" thickTop="1" thickBot="1" x14ac:dyDescent="0.3">
      <c r="CO108" s="243" t="s">
        <v>373</v>
      </c>
      <c r="CP108" s="243" t="s">
        <v>422</v>
      </c>
      <c r="CQ108" s="244">
        <v>292</v>
      </c>
      <c r="CR108" s="244">
        <v>0.17399999999999999</v>
      </c>
      <c r="CS108" s="243">
        <v>1673.41</v>
      </c>
      <c r="CT108" s="243" t="s">
        <v>420</v>
      </c>
      <c r="CU108" s="244">
        <v>2E-16</v>
      </c>
      <c r="CV108" s="243" t="s">
        <v>385</v>
      </c>
    </row>
    <row r="109" spans="93:100" thickTop="1" thickBot="1" x14ac:dyDescent="0.3">
      <c r="CO109" s="243" t="s">
        <v>373</v>
      </c>
      <c r="CP109" s="243" t="s">
        <v>423</v>
      </c>
      <c r="CQ109" s="244">
        <v>294</v>
      </c>
      <c r="CR109" s="244">
        <v>0.159</v>
      </c>
      <c r="CS109" s="243">
        <v>1854.2</v>
      </c>
      <c r="CT109" s="243" t="s">
        <v>420</v>
      </c>
      <c r="CU109" s="244">
        <v>2E-16</v>
      </c>
      <c r="CV109" s="81" t="s">
        <v>385</v>
      </c>
    </row>
    <row r="110" spans="93:100" thickTop="1" thickBot="1" x14ac:dyDescent="0.3">
      <c r="CO110" s="243" t="s">
        <v>373</v>
      </c>
      <c r="CP110" s="243" t="s">
        <v>353</v>
      </c>
      <c r="CQ110" s="244">
        <v>8.5900000000000004E-2</v>
      </c>
      <c r="CR110" s="244">
        <v>4.4999999999999999E-4</v>
      </c>
      <c r="CS110" s="243">
        <v>190.89</v>
      </c>
      <c r="CT110" s="244" t="s">
        <v>420</v>
      </c>
      <c r="CU110" s="244">
        <v>2E-16</v>
      </c>
      <c r="CV110" s="81" t="s">
        <v>385</v>
      </c>
    </row>
    <row r="111" spans="93:100" thickTop="1" thickBot="1" x14ac:dyDescent="0.3">
      <c r="CO111" s="243" t="s">
        <v>373</v>
      </c>
      <c r="CP111" s="243" t="s">
        <v>355</v>
      </c>
      <c r="CQ111" s="244">
        <v>9.5200000000000007E-2</v>
      </c>
      <c r="CR111" s="244">
        <v>9.77E-4</v>
      </c>
      <c r="CS111" s="243">
        <v>97.44</v>
      </c>
      <c r="CT111" s="244" t="s">
        <v>420</v>
      </c>
      <c r="CU111" s="244">
        <v>2E-16</v>
      </c>
      <c r="CV111" s="81" t="s">
        <v>385</v>
      </c>
    </row>
    <row r="112" spans="93:100" thickTop="1" thickBot="1" x14ac:dyDescent="0.3">
      <c r="CO112" s="243" t="s">
        <v>373</v>
      </c>
      <c r="CP112" s="243" t="s">
        <v>424</v>
      </c>
      <c r="CQ112" s="244">
        <v>989000000</v>
      </c>
      <c r="CR112" s="244">
        <v>430000000</v>
      </c>
      <c r="CS112" s="243">
        <v>2.2999999999999998</v>
      </c>
      <c r="CT112" s="244">
        <v>2.1569999999999999E-2</v>
      </c>
      <c r="CU112" s="243" t="s">
        <v>418</v>
      </c>
    </row>
    <row r="113" spans="93:100" thickTop="1" thickBot="1" x14ac:dyDescent="0.3">
      <c r="CO113" s="243" t="s">
        <v>373</v>
      </c>
      <c r="CP113" s="243" t="s">
        <v>359</v>
      </c>
      <c r="CQ113" s="244">
        <v>11300000</v>
      </c>
      <c r="CR113" s="244">
        <v>3190000</v>
      </c>
      <c r="CS113" s="243">
        <v>3.54</v>
      </c>
      <c r="CT113" s="244">
        <v>4.0999999999999999E-4</v>
      </c>
      <c r="CU113" s="243" t="s">
        <v>385</v>
      </c>
    </row>
    <row r="114" spans="93:100" thickTop="1" thickBot="1" x14ac:dyDescent="0.3">
      <c r="CO114" s="243" t="s">
        <v>373</v>
      </c>
      <c r="CP114" s="243" t="s">
        <v>401</v>
      </c>
      <c r="CQ114" s="244">
        <v>-25.9</v>
      </c>
      <c r="CR114" s="244">
        <v>672</v>
      </c>
      <c r="CS114" s="243">
        <v>-0.04</v>
      </c>
      <c r="CT114" s="243">
        <v>0.96918000000000004</v>
      </c>
      <c r="CU114" s="244"/>
    </row>
    <row r="115" spans="93:100" thickTop="1" thickBot="1" x14ac:dyDescent="0.3">
      <c r="CO115" s="243" t="s">
        <v>373</v>
      </c>
      <c r="CP115" s="243" t="s">
        <v>425</v>
      </c>
      <c r="CQ115" s="244">
        <v>-13.6</v>
      </c>
      <c r="CR115" s="244">
        <v>2430</v>
      </c>
      <c r="CS115" s="243">
        <v>-0.01</v>
      </c>
      <c r="CT115" s="243">
        <v>0.99553999999999998</v>
      </c>
      <c r="CU115" s="244"/>
    </row>
    <row r="116" spans="93:100" thickTop="1" thickBot="1" x14ac:dyDescent="0.3">
      <c r="CO116" s="243" t="s">
        <v>373</v>
      </c>
      <c r="CP116" s="243" t="s">
        <v>430</v>
      </c>
      <c r="CQ116" s="244">
        <v>3.32E-2</v>
      </c>
      <c r="CR116" s="244">
        <v>1.2300000000000001E-4</v>
      </c>
      <c r="CS116" s="243">
        <v>269.05</v>
      </c>
      <c r="CT116" s="243" t="s">
        <v>420</v>
      </c>
      <c r="CU116" s="244">
        <v>2E-16</v>
      </c>
      <c r="CV116" s="81" t="s">
        <v>385</v>
      </c>
    </row>
    <row r="117" spans="93:100" thickTop="1" thickBot="1" x14ac:dyDescent="0.3">
      <c r="CO117" s="243" t="s">
        <v>373</v>
      </c>
      <c r="CP117" s="243" t="s">
        <v>431</v>
      </c>
      <c r="CQ117" s="244">
        <v>3.5299999999999998E-2</v>
      </c>
      <c r="CR117" s="244">
        <v>1.27E-4</v>
      </c>
      <c r="CS117" s="243">
        <v>278.33999999999997</v>
      </c>
      <c r="CT117" s="243" t="s">
        <v>420</v>
      </c>
      <c r="CU117" s="244">
        <v>2E-16</v>
      </c>
      <c r="CV117" s="81" t="s">
        <v>385</v>
      </c>
    </row>
    <row r="118" spans="93:100" thickTop="1" thickBot="1" x14ac:dyDescent="0.3">
      <c r="CO118" s="243" t="s">
        <v>373</v>
      </c>
      <c r="CP118" s="243" t="s">
        <v>413</v>
      </c>
      <c r="CQ118" s="244">
        <v>-5.28</v>
      </c>
      <c r="CR118" s="244">
        <v>1.67E-2</v>
      </c>
      <c r="CS118" s="243">
        <v>-316.49</v>
      </c>
      <c r="CT118" s="243" t="s">
        <v>420</v>
      </c>
      <c r="CU118" s="244">
        <v>2E-16</v>
      </c>
      <c r="CV118" s="81" t="s">
        <v>385</v>
      </c>
    </row>
    <row r="119" spans="93:100" thickTop="1" thickBot="1" x14ac:dyDescent="0.3">
      <c r="CO119" s="243" t="s">
        <v>373</v>
      </c>
      <c r="CP119" s="243" t="s">
        <v>426</v>
      </c>
      <c r="CQ119" s="244">
        <v>-5.16</v>
      </c>
      <c r="CR119" s="244">
        <v>1.7399999999999999E-2</v>
      </c>
      <c r="CS119" s="243">
        <v>-296.08999999999997</v>
      </c>
      <c r="CT119" s="243" t="s">
        <v>420</v>
      </c>
      <c r="CU119" s="244">
        <v>2E-16</v>
      </c>
      <c r="CV119" s="81" t="s">
        <v>385</v>
      </c>
    </row>
    <row r="120" spans="93:100" thickTop="1" thickBot="1" x14ac:dyDescent="0.3">
      <c r="CO120" s="243" t="s">
        <v>373</v>
      </c>
      <c r="CP120" s="243" t="s">
        <v>365</v>
      </c>
      <c r="CQ120" s="244">
        <v>37.4</v>
      </c>
      <c r="CR120" s="244">
        <v>0.39100000000000001</v>
      </c>
      <c r="CS120" s="243">
        <v>95.67</v>
      </c>
      <c r="CT120" s="243" t="s">
        <v>420</v>
      </c>
      <c r="CU120" s="244">
        <v>2E-16</v>
      </c>
      <c r="CV120" s="81" t="s">
        <v>385</v>
      </c>
    </row>
    <row r="121" spans="93:100" thickTop="1" thickBot="1" x14ac:dyDescent="0.3">
      <c r="CO121" s="243" t="s">
        <v>373</v>
      </c>
      <c r="CP121" s="243" t="s">
        <v>367</v>
      </c>
      <c r="CQ121" s="244">
        <v>25</v>
      </c>
      <c r="CR121" s="244">
        <v>30.3</v>
      </c>
      <c r="CS121" s="243">
        <v>0.83</v>
      </c>
      <c r="CT121" s="243">
        <v>0.40855999999999998</v>
      </c>
    </row>
    <row r="122" spans="93:100" thickTop="1" thickBot="1" x14ac:dyDescent="0.3">
      <c r="CO122" s="243" t="s">
        <v>373</v>
      </c>
      <c r="CP122" s="243" t="s">
        <v>369</v>
      </c>
      <c r="CQ122" s="244">
        <v>96.6</v>
      </c>
      <c r="CR122" s="244">
        <v>0.97799999999999998</v>
      </c>
      <c r="CS122" s="243">
        <v>98.79</v>
      </c>
      <c r="CT122" s="243" t="s">
        <v>420</v>
      </c>
      <c r="CU122" s="244">
        <v>2E-16</v>
      </c>
      <c r="CV122" s="81" t="s">
        <v>385</v>
      </c>
    </row>
  </sheetData>
  <mergeCells count="8">
    <mergeCell ref="F36:G36"/>
    <mergeCell ref="B1:H1"/>
    <mergeCell ref="B3:I3"/>
    <mergeCell ref="K3:U3"/>
    <mergeCell ref="W3:AH3"/>
    <mergeCell ref="L4:P4"/>
    <mergeCell ref="F33:G33"/>
    <mergeCell ref="F34:G34"/>
  </mergeCells>
  <pageMargins left="0.25" right="0.25" top="0.75" bottom="0.75" header="0.51180555555555496" footer="0.51180555555555496"/>
  <pageSetup paperSize="9" firstPageNumber="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MK784"/>
  <sheetViews>
    <sheetView topLeftCell="A103" zoomScale="90" zoomScaleNormal="90" workbookViewId="0">
      <selection activeCell="D130" sqref="D130"/>
    </sheetView>
  </sheetViews>
  <sheetFormatPr defaultRowHeight="15" x14ac:dyDescent="0.25"/>
  <cols>
    <col min="1" max="1" width="9.140625" style="3"/>
    <col min="2" max="2" width="16.7109375" style="3" bestFit="1" customWidth="1"/>
    <col min="3" max="3" width="9.140625" style="3"/>
    <col min="4" max="4" width="20" style="3"/>
    <col min="5" max="1025" width="9.140625" style="3"/>
  </cols>
  <sheetData>
    <row r="1" spans="1:25" ht="20.25" customHeight="1" x14ac:dyDescent="0.25">
      <c r="A1" s="292" t="s">
        <v>164</v>
      </c>
      <c r="B1" s="292"/>
      <c r="C1" s="292"/>
      <c r="D1" s="292"/>
      <c r="E1" s="292"/>
      <c r="F1" s="292"/>
      <c r="G1" s="292"/>
      <c r="H1" s="292"/>
      <c r="I1" s="292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289" t="s">
        <v>168</v>
      </c>
      <c r="W5" s="289"/>
      <c r="X5" s="289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294" t="s">
        <v>171</v>
      </c>
      <c r="B7" s="294"/>
      <c r="C7" s="294"/>
      <c r="D7" s="294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8500.439591301516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11908.19544652271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x14ac:dyDescent="0.25">
      <c r="A12" s="96"/>
      <c r="B12" s="107" t="str">
        <f>'Gebouwgegevens Tabula 2zone'!K6</f>
        <v>W1</v>
      </c>
      <c r="C12" s="108">
        <f>VLOOKUP(B12,'Gebouwgegevens Tabula 2zone'!$K$5:$R$83,3,0)</f>
        <v>1</v>
      </c>
      <c r="D12" s="108" t="str">
        <f>VLOOKUP(B12,'Gebouwgegevens Tabula 2zone'!$K$5:$R$83,4,0)</f>
        <v>Wall External</v>
      </c>
      <c r="E12" s="108">
        <f>VLOOKUP(B12,'Gebouwgegevens Tabula 2zone'!$K$5:$R$83,5,0)</f>
        <v>19.486299247454621</v>
      </c>
      <c r="F12" s="108" t="str">
        <f>VLOOKUP(B12,'Gebouwgegevens Tabula 2zone'!$K$5:$R$83,6,0)</f>
        <v>front</v>
      </c>
      <c r="G12" s="108">
        <f>VLOOKUP(B12,'Gebouwgegevens Tabula 2zone'!$K$5:$R$83,7,0)</f>
        <v>2.2022341505875525</v>
      </c>
      <c r="H12" s="109">
        <f>VLOOKUP(B12,'Gebouwgegevens Tabula 2zone'!$K$5:$R$83,8,0)</f>
        <v>42.913393671313088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x14ac:dyDescent="0.25">
      <c r="A13" s="96"/>
      <c r="B13" s="107" t="str">
        <f>'Gebouwgegevens Tabula 2zone'!K7</f>
        <v>W2</v>
      </c>
      <c r="C13" s="108">
        <f>VLOOKUP(B13,'Gebouwgegevens Tabula 2zone'!$K$5:$R$83,3,0)</f>
        <v>1</v>
      </c>
      <c r="D13" s="108" t="str">
        <f>VLOOKUP(B13,'Gebouwgegevens Tabula 2zone'!$K$5:$R$83,4,0)</f>
        <v>Wall External</v>
      </c>
      <c r="E13" s="108">
        <f>VLOOKUP(B13,'Gebouwgegevens Tabula 2zone'!$K$5:$R$83,5,0)</f>
        <v>0</v>
      </c>
      <c r="F13" s="108" t="str">
        <f>VLOOKUP(B13,'Gebouwgegevens Tabula 2zone'!$K$5:$R$83,6,0)</f>
        <v>right</v>
      </c>
      <c r="G13" s="108">
        <f>VLOOKUP(B13,'Gebouwgegevens Tabula 2zone'!$K$5:$R$83,7,0)</f>
        <v>2.2022341505875525</v>
      </c>
      <c r="H13" s="109">
        <f>VLOOKUP(B13,'Gebouwgegevens Tabula 2zone'!$K$5:$R$83,8,0)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x14ac:dyDescent="0.25">
      <c r="A14" s="96"/>
      <c r="B14" s="107" t="str">
        <f>'Gebouwgegevens Tabula 2zone'!K8</f>
        <v>W3</v>
      </c>
      <c r="C14" s="108">
        <f>VLOOKUP(B14,'Gebouwgegevens Tabula 2zone'!$K$5:$R$83,3,0)</f>
        <v>1</v>
      </c>
      <c r="D14" s="108" t="str">
        <f>VLOOKUP(B14,'Gebouwgegevens Tabula 2zone'!$K$5:$R$83,4,0)</f>
        <v>Wall External</v>
      </c>
      <c r="E14" s="108">
        <f>VLOOKUP(B14,'Gebouwgegevens Tabula 2zone'!$K$5:$R$83,5,0)</f>
        <v>19.486299247454621</v>
      </c>
      <c r="F14" s="108" t="str">
        <f>VLOOKUP(B14,'Gebouwgegevens Tabula 2zone'!$K$5:$R$83,6,0)</f>
        <v>back</v>
      </c>
      <c r="G14" s="108">
        <f>VLOOKUP(B14,'Gebouwgegevens Tabula 2zone'!$K$5:$R$83,7,0)</f>
        <v>2.2022341505875525</v>
      </c>
      <c r="H14" s="109">
        <f>VLOOKUP(B14,'Gebouwgegevens Tabula 2zone'!$K$5:$R$83,8,0)</f>
        <v>42.913393671313088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x14ac:dyDescent="0.25">
      <c r="A15" s="96"/>
      <c r="B15" s="107" t="str">
        <f>'Gebouwgegevens Tabula 2zone'!K9</f>
        <v>W4</v>
      </c>
      <c r="C15" s="108">
        <f>VLOOKUP(B15,'Gebouwgegevens Tabula 2zone'!$K$5:$R$83,3,0)</f>
        <v>1</v>
      </c>
      <c r="D15" s="108" t="str">
        <f>VLOOKUP(B15,'Gebouwgegevens Tabula 2zone'!$K$5:$R$83,4,0)</f>
        <v>Wall External</v>
      </c>
      <c r="E15" s="108">
        <f>VLOOKUP(B15,'Gebouwgegevens Tabula 2zone'!$K$5:$R$83,5,0)</f>
        <v>0</v>
      </c>
      <c r="F15" s="108" t="str">
        <f>VLOOKUP(B15,'Gebouwgegevens Tabula 2zone'!$K$5:$R$83,6,0)</f>
        <v>left</v>
      </c>
      <c r="G15" s="108">
        <f>VLOOKUP(B15,'Gebouwgegevens Tabula 2zone'!$K$5:$R$83,7,0)</f>
        <v>2.2022341505875525</v>
      </c>
      <c r="H15" s="109">
        <f>VLOOKUP(B15,'Gebouwgegevens Tabula 2zone'!$K$5:$R$83,8,0)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x14ac:dyDescent="0.25">
      <c r="A16" s="96"/>
      <c r="B16" s="107" t="str">
        <f>'Gebouwgegevens Tabula 2zone'!K10</f>
        <v>W5</v>
      </c>
      <c r="C16" s="108">
        <f>VLOOKUP(B16,'Gebouwgegevens Tabula 2zone'!$K$5:$R$83,3,0)</f>
        <v>1</v>
      </c>
      <c r="D16" s="108" t="str">
        <f>VLOOKUP(B16,'Gebouwgegevens Tabula 2zone'!$K$5:$R$83,4,0)</f>
        <v>Window</v>
      </c>
      <c r="E16" s="108">
        <f>VLOOKUP(B16,'Gebouwgegevens Tabula 2zone'!$K$5:$R$83,5,0)</f>
        <v>4.2</v>
      </c>
      <c r="F16" s="108" t="str">
        <f>VLOOKUP(B16,'Gebouwgegevens Tabula 2zone'!$K$5:$R$83,6,0)</f>
        <v>front</v>
      </c>
      <c r="G16" s="108">
        <f>VLOOKUP(B16,'Gebouwgegevens Tabula 2zone'!$K$5:$R$83,7,0)</f>
        <v>5</v>
      </c>
      <c r="H16" s="109">
        <f>VLOOKUP(B16,'Gebouwgegevens Tabula 2zone'!$K$5:$R$83,8,0)</f>
        <v>21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x14ac:dyDescent="0.25">
      <c r="A17" s="96"/>
      <c r="B17" s="107" t="str">
        <f>'Gebouwgegevens Tabula 2zone'!K11</f>
        <v>W6</v>
      </c>
      <c r="C17" s="108">
        <f>VLOOKUP(B17,'Gebouwgegevens Tabula 2zone'!$K$5:$R$83,3,0)</f>
        <v>1</v>
      </c>
      <c r="D17" s="108" t="str">
        <f>VLOOKUP(B17,'Gebouwgegevens Tabula 2zone'!$K$5:$R$83,4,0)</f>
        <v>Window</v>
      </c>
      <c r="E17" s="108">
        <f>VLOOKUP(B17,'Gebouwgegevens Tabula 2zone'!$K$5:$R$83,5,0)</f>
        <v>3.95</v>
      </c>
      <c r="F17" s="108" t="str">
        <f>VLOOKUP(B17,'Gebouwgegevens Tabula 2zone'!$K$5:$R$83,6,0)</f>
        <v>right</v>
      </c>
      <c r="G17" s="108">
        <f>VLOOKUP(B17,'Gebouwgegevens Tabula 2zone'!$K$5:$R$83,7,0)</f>
        <v>5</v>
      </c>
      <c r="H17" s="109">
        <f>VLOOKUP(B17,'Gebouwgegevens Tabula 2zone'!$K$5:$R$83,8,0)</f>
        <v>19.75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Tabula 2zone'!K12</f>
        <v>W7</v>
      </c>
      <c r="C18" s="108">
        <f>VLOOKUP(B18,'Gebouwgegevens Tabula 2zone'!$K$5:$R$83,3,0)</f>
        <v>1</v>
      </c>
      <c r="D18" s="108" t="str">
        <f>VLOOKUP(B18,'Gebouwgegevens Tabula 2zone'!$K$5:$R$83,4,0)</f>
        <v>Window</v>
      </c>
      <c r="E18" s="108">
        <f>VLOOKUP(B18,'Gebouwgegevens Tabula 2zone'!$K$5:$R$83,5,0)</f>
        <v>4.05</v>
      </c>
      <c r="F18" s="108" t="str">
        <f>VLOOKUP(B18,'Gebouwgegevens Tabula 2zone'!$K$5:$R$83,6,0)</f>
        <v>back</v>
      </c>
      <c r="G18" s="108">
        <f>VLOOKUP(B18,'Gebouwgegevens Tabula 2zone'!$K$5:$R$83,7,0)</f>
        <v>5</v>
      </c>
      <c r="H18" s="109">
        <f>VLOOKUP(B18,'Gebouwgegevens Tabula 2zone'!$K$5:$R$83,8,0)</f>
        <v>20.25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20408.635037824228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Tabula 2zone'!K13</f>
        <v>W8</v>
      </c>
      <c r="C19" s="108">
        <f>VLOOKUP(B19,'Gebouwgegevens Tabula 2zone'!$K$5:$R$83,3,0)</f>
        <v>1</v>
      </c>
      <c r="D19" s="108" t="str">
        <f>VLOOKUP(B19,'Gebouwgegevens Tabula 2zone'!$K$5:$R$83,4,0)</f>
        <v>Window</v>
      </c>
      <c r="E19" s="108">
        <f>VLOOKUP(B19,'Gebouwgegevens Tabula 2zone'!$K$5:$R$83,5,0)</f>
        <v>3.55</v>
      </c>
      <c r="F19" s="108" t="str">
        <f>VLOOKUP(B19,'Gebouwgegevens Tabula 2zone'!$K$5:$R$83,6,0)</f>
        <v>left</v>
      </c>
      <c r="G19" s="108">
        <f>VLOOKUP(B19,'Gebouwgegevens Tabula 2zone'!$K$5:$R$83,7,0)</f>
        <v>5</v>
      </c>
      <c r="H19" s="109">
        <f>VLOOKUP(B19,'Gebouwgegevens Tabula 2zone'!$K$5:$R$83,8,0)</f>
        <v>17.75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 2zone'!$K$5:$R$83,3,0)</f>
        <v>1</v>
      </c>
      <c r="D21" s="108" t="str">
        <f>VLOOKUP(B21,'Gebouwgegevens Tabula 2zone'!$K$5:$R$83,4,0)</f>
        <v>Roof</v>
      </c>
      <c r="E21" s="108">
        <f>VLOOKUP(B21,'Gebouwgegevens Tabula 2zone'!$K$5:$R$83,5,0)</f>
        <v>0</v>
      </c>
      <c r="F21" s="108">
        <f>VLOOKUP(B21,'Gebouwgegevens Tabula 2zone'!$K$5:$R$83,6,0)</f>
        <v>0</v>
      </c>
      <c r="G21" s="108">
        <f>VLOOKUP(B21,'Gebouwgegevens Tabula 2zone'!$K$5:$R$83,7,0)</f>
        <v>1.714339326947635</v>
      </c>
      <c r="H21" s="109">
        <f>VLOOKUP(B21,'Gebouwgegevens Tabula 2zone'!$K$5:$R$83,8,0)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9350.4835504316688</v>
      </c>
      <c r="X21" s="99"/>
      <c r="Y21" s="99"/>
    </row>
    <row r="22" spans="1:25" ht="16.5" customHeight="1" x14ac:dyDescent="0.25">
      <c r="A22" s="96"/>
      <c r="B22" s="107" t="str">
        <f>'Gebouwgegevens Allacker'!J16</f>
        <v>W11</v>
      </c>
      <c r="C22" s="108">
        <f>VLOOKUP(B22,'Gebouwgegevens Tabula 2zone'!$K$5:$R$83,3,0)</f>
        <v>1</v>
      </c>
      <c r="D22" s="108" t="str">
        <f>VLOOKUP(B22,'Gebouwgegevens Tabula 2zone'!$K$5:$R$83,4,0)</f>
        <v>Door</v>
      </c>
      <c r="E22" s="108">
        <f>VLOOKUP(B22,'Gebouwgegevens Tabula 2zone'!$K$5:$R$83,5,0)</f>
        <v>9.5</v>
      </c>
      <c r="F22" s="108">
        <f>VLOOKUP(B22,'Gebouwgegevens Tabula 2zone'!$K$5:$R$83,6,0)</f>
        <v>0</v>
      </c>
      <c r="G22" s="108">
        <f>VLOOKUP(B22,'Gebouwgegevens Tabula 2zone'!$K$5:$R$83,7,0)</f>
        <v>4</v>
      </c>
      <c r="H22" s="109">
        <f>VLOOKUP(B22,'Gebouwgegevens Tabula 2zone'!$K$5:$R$83,8,0)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 2zone'!$K$5:$R$83,3,0)</f>
        <v>1</v>
      </c>
      <c r="D28" s="118" t="str">
        <f>VLOOKUP(B28,'Gebouwgegevens Tabula 2zone'!$K$5:$R$83,4,0)</f>
        <v>Floor</v>
      </c>
      <c r="E28" s="118">
        <f>VLOOKUP(B28,'Gebouwgegevens Tabula 2zone'!$K$5:$R$83,5,0)</f>
        <v>75.699999999999989</v>
      </c>
      <c r="F28" s="118">
        <f>VLOOKUP(B28,'Gebouwgegevens Tabula 2zone'!$K$5:$R$83,7,0)</f>
        <v>2.8187919463087252</v>
      </c>
      <c r="G28" s="119">
        <f>VLOOKUP(B28,'Gebouwgegevens Tabula 2zone'!$K$5:$R$83,8,0)</f>
        <v>213.38255033557047</v>
      </c>
      <c r="H28" s="119">
        <f>N28/F28*1.45*(21-12)/(29)</f>
        <v>0.11670734054286241</v>
      </c>
      <c r="I28" s="118">
        <f>'Gebouwgegevens Tabula 2zone'!O14</f>
        <v>75.699999999999989</v>
      </c>
      <c r="J28" s="117">
        <f>SQRT(I28)*4</f>
        <v>34.802298774649927</v>
      </c>
      <c r="K28" s="117">
        <f>SUM('Gebouwgegevens Tabula 2zone'!Z16:Z19)</f>
        <v>0.29500000000000004</v>
      </c>
      <c r="L28" s="120">
        <f>I28/(0.5*J28)</f>
        <v>4.3502873468312409</v>
      </c>
      <c r="M28" s="120">
        <f>K28+2*(1/F28)</f>
        <v>1.0045238095238096</v>
      </c>
      <c r="N28" s="121">
        <f>IF(M28&lt;L28,2*2/(PI()*L28+M28)*LN(PI()*L28/M28+1),2/(0.457*L28+M28))</f>
        <v>0.7310526924385119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>
        <f>1.1*W18</f>
        <v>22449.498541606652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 t="s">
        <v>98</v>
      </c>
      <c r="C33" s="123">
        <f>IF(VLOOKUP(B33,'Gebouwgegevens Tabula 2zone'!$K$5:$R$83,2,0)=B$6,VLOOKUP(B33,'Gebouwgegevens Tabula 2zone'!$K$5:$R$83,2,0),VLOOKUP(B33,'Gebouwgegevens Tabula 2zone'!$K$5:$R$83,3,0))</f>
        <v>1</v>
      </c>
      <c r="D33" s="123">
        <f>IF(VLOOKUP(B33,'Gebouwgegevens Tabula 2zone'!$K$5:$R$83,2,0)=B$6,VLOOKUP(B33,'Gebouwgegevens Tabula 2zone'!$K$5:$R$83,3,0),VLOOKUP(B33,'Gebouwgegevens Tabula 2zone'!$K$5:$R$83,2,0))</f>
        <v>2</v>
      </c>
      <c r="E33" s="123" t="str">
        <f>VLOOKUP(B33,'Gebouwgegevens Tabula 2zone'!$K$5:$R$83,4,0)</f>
        <v>Floor internal</v>
      </c>
      <c r="F33" s="123">
        <f>VLOOKUP(B33,'Gebouwgegevens Tabula 2zone'!$K$5:$R$83,5,0)</f>
        <v>75.699999999999989</v>
      </c>
      <c r="G33" s="123">
        <f>VLOOKUP('Verwarming Tabula 2zone'!C33,'Gebouwgegevens Tabula 2zone'!$B$34:$G$45,5,0)</f>
        <v>21</v>
      </c>
      <c r="H33" s="123">
        <f>VLOOKUP('Verwarming Tabula 2zone'!D33,'Gebouwgegevens Tabula 2zone'!$B$34:$G$45,5,0)</f>
        <v>18</v>
      </c>
      <c r="I33" s="123">
        <f>VLOOKUP(B33,'Gebouwgegevens Tabula 2zone'!$K$5:$R$83,7,0)</f>
        <v>1.2141280353200883</v>
      </c>
      <c r="J33" s="119">
        <f>VLOOKUP(B33,'Gebouwgegevens Tabula 2zone'!$K$5:$R$83,8,0)</f>
        <v>91.909492273730663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x14ac:dyDescent="0.25">
      <c r="A34" s="96"/>
      <c r="B34" s="122" t="s">
        <v>101</v>
      </c>
      <c r="C34" s="123">
        <f>IF(VLOOKUP(B34,'Gebouwgegevens Tabula 2zone'!$K$5:$R$83,2,0)=B$6,VLOOKUP(B34,'Gebouwgegevens Tabula 2zone'!$K$5:$R$83,2,0),VLOOKUP(B34,'Gebouwgegevens Tabula 2zone'!$K$5:$R$83,3,0))</f>
        <v>1</v>
      </c>
      <c r="D34" s="123">
        <f>IF(VLOOKUP(B34,'Gebouwgegevens Tabula 2zone'!$K$5:$R$83,2,0)=B$6,VLOOKUP(B34,'Gebouwgegevens Tabula 2zone'!$K$5:$R$83,3,0),VLOOKUP(B34,'Gebouwgegevens Tabula 2zone'!$K$5:$R$83,2,0))</f>
        <v>1</v>
      </c>
      <c r="E34" s="123" t="str">
        <f>VLOOKUP(B34,'Gebouwgegevens Tabula 2zone'!$K$5:$R$83,4,0)</f>
        <v>Wall internal</v>
      </c>
      <c r="F34" s="123">
        <f>VLOOKUP(B34,'Gebouwgegevens Tabula 2zone'!$K$5:$R$83,5,0)</f>
        <v>68.671375389958385</v>
      </c>
      <c r="G34" s="123">
        <f>VLOOKUP('Verwarming Tabula 2zone'!C34,'Gebouwgegevens Tabula 2zone'!$B$34:$G$45,5,0)</f>
        <v>21</v>
      </c>
      <c r="H34" s="123">
        <f>VLOOKUP('Verwarming Tabula 2zone'!D34,'Gebouwgegevens Tabula 2zone'!$B$34:$G$45,5,0)</f>
        <v>21</v>
      </c>
      <c r="I34" s="123">
        <f>VLOOKUP(B34,'Gebouwgegevens Tabula 2zone'!$K$5:$R$83,7,0)</f>
        <v>1.9926199261992623</v>
      </c>
      <c r="J34" s="119">
        <f>VLOOKUP(B34,'Gebouwgegevens Tabula 2zone'!$K$5:$R$83,8,0)</f>
        <v>136.8359509615407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236.98797582161964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6872.6512988269697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294" t="s">
        <v>197</v>
      </c>
      <c r="B45" s="294"/>
      <c r="C45" s="294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f>'Tabula data'!B33</f>
        <v>7.7461773700305816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 2zone'!C34</f>
        <v>80.637757857459036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 2zone'!H34</f>
        <v>75.699999999999989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80.637757857459036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0.38857450225739459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27.416837671536076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795.08829247454617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294" t="s">
        <v>213</v>
      </c>
      <c r="B63" s="294"/>
      <c r="C63" s="294"/>
      <c r="D63" s="294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 2zone'!C7</f>
        <v>75.699999999999989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 2zone'!$B$4)</f>
        <v>28.713793103448271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832.69999999999982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293.11860659660397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8500.439591301516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294" t="s">
        <v>171</v>
      </c>
      <c r="B79" s="294"/>
      <c r="C79" s="294"/>
      <c r="D79" s="29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71</v>
      </c>
      <c r="C84" s="108">
        <f>VLOOKUP(B84,'Gebouwgegevens Tabula 2zone'!$K$5:$R$83,3,0)</f>
        <v>2</v>
      </c>
      <c r="D84" s="108" t="str">
        <f>VLOOKUP(B84,'Gebouwgegevens Tabula 2zone'!$K$5:$R$83,4,0)</f>
        <v>Wall External</v>
      </c>
      <c r="E84" s="108">
        <f>VLOOKUP(B84,'Gebouwgegevens Tabula 2zone'!$K$5:$R$83,5,0)</f>
        <v>38.663700752545374</v>
      </c>
      <c r="F84" s="108" t="str">
        <f>VLOOKUP(B84,'Gebouwgegevens Tabula 2zone'!$K$5:$R$83,6,0)</f>
        <v>front</v>
      </c>
      <c r="G84" s="108">
        <f>VLOOKUP(B84,'Gebouwgegevens Tabula 2zone'!$K$5:$R$83,7,0)</f>
        <v>2.2022341505875525</v>
      </c>
      <c r="H84" s="109">
        <f>VLOOKUP(B84,'Gebouwgegevens Tabula 2zone'!$K$5:$R$83,8,0)</f>
        <v>85.146522185353078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75</v>
      </c>
      <c r="C85" s="108">
        <f>VLOOKUP(B85,'Gebouwgegevens Tabula 2zone'!$K$5:$R$83,3,0)</f>
        <v>2</v>
      </c>
      <c r="D85" s="108" t="str">
        <f>VLOOKUP(B85,'Gebouwgegevens Tabula 2zone'!$K$5:$R$83,4,0)</f>
        <v>Wall External</v>
      </c>
      <c r="E85" s="108">
        <f>VLOOKUP(B85,'Gebouwgegevens Tabula 2zone'!$K$5:$R$83,5,0)</f>
        <v>0</v>
      </c>
      <c r="F85" s="108" t="str">
        <f>VLOOKUP(B85,'Gebouwgegevens Tabula 2zone'!$K$5:$R$83,6,0)</f>
        <v>right</v>
      </c>
      <c r="G85" s="108">
        <f>VLOOKUP(B85,'Gebouwgegevens Tabula 2zone'!$K$5:$R$83,7,0)</f>
        <v>2.2022341505875525</v>
      </c>
      <c r="H85" s="109">
        <f>VLOOKUP(B85,'Gebouwgegevens Tabula 2zone'!$K$5:$R$83,8,0)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79</v>
      </c>
      <c r="C86" s="108">
        <f>VLOOKUP(B86,'Gebouwgegevens Tabula 2zone'!$K$5:$R$83,3,0)</f>
        <v>2</v>
      </c>
      <c r="D86" s="108" t="str">
        <f>VLOOKUP(B86,'Gebouwgegevens Tabula 2zone'!$K$5:$R$83,4,0)</f>
        <v>Wall External</v>
      </c>
      <c r="E86" s="108">
        <f>VLOOKUP(B86,'Gebouwgegevens Tabula 2zone'!$K$5:$R$83,5,0)</f>
        <v>38.663700752545374</v>
      </c>
      <c r="F86" s="108" t="str">
        <f>VLOOKUP(B86,'Gebouwgegevens Tabula 2zone'!$K$5:$R$83,6,0)</f>
        <v>back</v>
      </c>
      <c r="G86" s="108">
        <f>VLOOKUP(B86,'Gebouwgegevens Tabula 2zone'!$K$5:$R$83,7,0)</f>
        <v>2.2022341505875525</v>
      </c>
      <c r="H86" s="109">
        <f>VLOOKUP(B86,'Gebouwgegevens Tabula 2zone'!$K$5:$R$83,8,0)</f>
        <v>85.146522185353078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 t="s">
        <v>82</v>
      </c>
      <c r="C87" s="108">
        <f>VLOOKUP(B87,'Gebouwgegevens Tabula 2zone'!$K$5:$R$83,3,0)</f>
        <v>2</v>
      </c>
      <c r="D87" s="108" t="str">
        <f>VLOOKUP(B87,'Gebouwgegevens Tabula 2zone'!$K$5:$R$83,4,0)</f>
        <v>Wall External</v>
      </c>
      <c r="E87" s="108">
        <f>VLOOKUP(B87,'Gebouwgegevens Tabula 2zone'!$K$5:$R$83,5,0)</f>
        <v>0</v>
      </c>
      <c r="F87" s="108" t="str">
        <f>VLOOKUP(B87,'Gebouwgegevens Tabula 2zone'!$K$5:$R$83,6,0)</f>
        <v>left</v>
      </c>
      <c r="G87" s="108">
        <f>VLOOKUP(B87,'Gebouwgegevens Tabula 2zone'!$K$5:$R$83,7,0)</f>
        <v>2.2022341505875525</v>
      </c>
      <c r="H87" s="109">
        <f>VLOOKUP(B87,'Gebouwgegevens Tabula 2zone'!$K$5:$R$83,8,0)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 t="s">
        <v>84</v>
      </c>
      <c r="C88" s="108">
        <f>VLOOKUP(B88,'Gebouwgegevens Tabula 2zone'!$K$5:$R$83,3,0)</f>
        <v>2</v>
      </c>
      <c r="D88" s="108" t="str">
        <f>VLOOKUP(B88,'Gebouwgegevens Tabula 2zone'!$K$5:$R$83,4,0)</f>
        <v>Window</v>
      </c>
      <c r="E88" s="108">
        <f>VLOOKUP(B88,'Gebouwgegevens Tabula 2zone'!$K$5:$R$83,5,0)</f>
        <v>4.2</v>
      </c>
      <c r="F88" s="108" t="str">
        <f>VLOOKUP(B88,'Gebouwgegevens Tabula 2zone'!$K$5:$R$83,6,0)</f>
        <v>front</v>
      </c>
      <c r="G88" s="108">
        <f>VLOOKUP(B88,'Gebouwgegevens Tabula 2zone'!$K$5:$R$83,7,0)</f>
        <v>5</v>
      </c>
      <c r="H88" s="109">
        <f>VLOOKUP(B88,'Gebouwgegevens Tabula 2zone'!$K$5:$R$83,8,0)</f>
        <v>21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 t="s">
        <v>87</v>
      </c>
      <c r="C89" s="108">
        <f>VLOOKUP(B89,'Gebouwgegevens Tabula 2zone'!$K$5:$R$83,3,0)</f>
        <v>2</v>
      </c>
      <c r="D89" s="108" t="str">
        <f>VLOOKUP(B89,'Gebouwgegevens Tabula 2zone'!$K$5:$R$83,4,0)</f>
        <v>Window</v>
      </c>
      <c r="E89" s="108">
        <f>VLOOKUP(B89,'Gebouwgegevens Tabula 2zone'!$K$5:$R$83,5,0)</f>
        <v>3.95</v>
      </c>
      <c r="F89" s="108" t="str">
        <f>VLOOKUP(B89,'Gebouwgegevens Tabula 2zone'!$K$5:$R$83,6,0)</f>
        <v>right</v>
      </c>
      <c r="G89" s="108">
        <f>VLOOKUP(B89,'Gebouwgegevens Tabula 2zone'!$K$5:$R$83,7,0)</f>
        <v>5</v>
      </c>
      <c r="H89" s="109">
        <f>VLOOKUP(B89,'Gebouwgegevens Tabula 2zone'!$K$5:$R$83,8,0)</f>
        <v>19.75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 t="s">
        <v>89</v>
      </c>
      <c r="C90" s="108">
        <f>VLOOKUP(B90,'Gebouwgegevens Tabula 2zone'!$K$5:$R$83,3,0)</f>
        <v>2</v>
      </c>
      <c r="D90" s="108" t="str">
        <f>VLOOKUP(B90,'Gebouwgegevens Tabula 2zone'!$K$5:$R$83,4,0)</f>
        <v>Window</v>
      </c>
      <c r="E90" s="108">
        <f>VLOOKUP(B90,'Gebouwgegevens Tabula 2zone'!$K$5:$R$83,5,0)</f>
        <v>4.05</v>
      </c>
      <c r="F90" s="108" t="str">
        <f>VLOOKUP(B90,'Gebouwgegevens Tabula 2zone'!$K$5:$R$83,6,0)</f>
        <v>back</v>
      </c>
      <c r="G90" s="108">
        <f>VLOOKUP(B90,'Gebouwgegevens Tabula 2zone'!$K$5:$R$83,7,0)</f>
        <v>5</v>
      </c>
      <c r="H90" s="109">
        <f>VLOOKUP(B90,'Gebouwgegevens Tabula 2zone'!$K$5:$R$83,8,0)</f>
        <v>20.25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 t="s">
        <v>92</v>
      </c>
      <c r="C91" s="108">
        <f>VLOOKUP(B91,'Gebouwgegevens Tabula 2zone'!$K$5:$R$83,3,0)</f>
        <v>2</v>
      </c>
      <c r="D91" s="108" t="str">
        <f>VLOOKUP(B91,'Gebouwgegevens Tabula 2zone'!$K$5:$R$83,4,0)</f>
        <v>Window</v>
      </c>
      <c r="E91" s="108">
        <f>VLOOKUP(B91,'Gebouwgegevens Tabula 2zone'!$K$5:$R$83,5,0)</f>
        <v>3.55</v>
      </c>
      <c r="F91" s="108" t="str">
        <f>VLOOKUP(B91,'Gebouwgegevens Tabula 2zone'!$K$5:$R$83,6,0)</f>
        <v>left</v>
      </c>
      <c r="G91" s="108">
        <f>VLOOKUP(B91,'Gebouwgegevens Tabula 2zone'!$K$5:$R$83,7,0)</f>
        <v>5</v>
      </c>
      <c r="H91" s="109">
        <f>VLOOKUP(B91,'Gebouwgegevens Tabula 2zone'!$K$5:$R$83,8,0)</f>
        <v>17.75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 t="s">
        <v>96</v>
      </c>
      <c r="C92" s="108">
        <f>VLOOKUP(B92,'Gebouwgegevens Tabula 2zone'!$K$5:$R$83,3,0)</f>
        <v>2</v>
      </c>
      <c r="D92" s="108" t="str">
        <f>VLOOKUP(B92,'Gebouwgegevens Tabula 2zone'!$K$5:$R$83,4,0)</f>
        <v>Roof</v>
      </c>
      <c r="E92" s="108">
        <f>VLOOKUP(B92,'Gebouwgegevens Tabula 2zone'!$K$5:$R$83,5,0)</f>
        <v>90</v>
      </c>
      <c r="F92" s="108" t="str">
        <f>VLOOKUP(B92,'Gebouwgegevens Tabula 2zone'!$K$5:$R$83,6,0)</f>
        <v>front/back</v>
      </c>
      <c r="G92" s="108">
        <f>VLOOKUP(B92,'Gebouwgegevens Tabula 2zone'!$K$5:$R$83,7,0)</f>
        <v>1.714339326947635</v>
      </c>
      <c r="H92" s="109">
        <f>VLOOKUP(B92,'Gebouwgegevens Tabula 2zone'!$K$5:$R$83,8,0)</f>
        <v>154.29053942528716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98</v>
      </c>
      <c r="C108" s="123">
        <f>IF(VLOOKUP(B108,'Gebouwgegevens Tabula 2zone'!$K$5:$R$83,2,0)=$B$78,VLOOKUP(B108,'Gebouwgegevens Tabula 2zone'!$K$5:$R$83,2,0),VLOOKUP(B108,'Gebouwgegevens Tabula 2zone'!$K$5:$R$83,3,0))</f>
        <v>2</v>
      </c>
      <c r="D108" s="123">
        <f>IF(VLOOKUP(B108,'Gebouwgegevens Tabula 2zone'!$K$5:$R$83,2,0)=$B$78,VLOOKUP(B108,'Gebouwgegevens Tabula 2zone'!$K$5:$R$83,3,0),VLOOKUP(B108,'Gebouwgegevens Tabula 2zone'!$K$5:$R$83,2,0))</f>
        <v>1</v>
      </c>
      <c r="E108" s="123" t="str">
        <f>VLOOKUP(B108,'Gebouwgegevens Tabula 2zone'!$K$5:$R$83,4,0)</f>
        <v>Floor internal</v>
      </c>
      <c r="F108" s="123">
        <f>VLOOKUP(B108,'Gebouwgegevens Tabula 2zone'!$K$5:$R$83,5,0)</f>
        <v>75.699999999999989</v>
      </c>
      <c r="G108" s="123">
        <f>VLOOKUP('Verwarming Tabula 2zone'!C108,'Gebouwgegevens Tabula 2zone'!$B$34:$G$45,5,0)</f>
        <v>18</v>
      </c>
      <c r="H108" s="123">
        <f>VLOOKUP('Verwarming Tabula 2zone'!D108,'Gebouwgegevens Tabula 2zone'!$B$34:$G$45,5,0)</f>
        <v>21</v>
      </c>
      <c r="I108" s="123">
        <f>VLOOKUP(B108,'Gebouwgegevens Tabula 2zone'!$K$5:$R$83,7,0)</f>
        <v>1.2141280353200883</v>
      </c>
      <c r="J108" s="119">
        <f>VLOOKUP(B108,'Gebouwgegevens Tabula 2zone'!$K$5:$R$83,8,0)</f>
        <v>91.909492273730663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102</v>
      </c>
      <c r="C109" s="123">
        <f>IF(VLOOKUP(B109,'Gebouwgegevens Tabula 2zone'!$K$5:$R$83,2,0)=$B$78,VLOOKUP(B109,'Gebouwgegevens Tabula 2zone'!$K$5:$R$83,2,0),VLOOKUP(B109,'Gebouwgegevens Tabula 2zone'!$K$5:$R$83,3,0))</f>
        <v>2</v>
      </c>
      <c r="D109" s="123">
        <f>IF(VLOOKUP(B109,'Gebouwgegevens Tabula 2zone'!$K$5:$R$83,2,0)=$B$78,VLOOKUP(B109,'Gebouwgegevens Tabula 2zone'!$K$5:$R$83,3,0),VLOOKUP(B109,'Gebouwgegevens Tabula 2zone'!$K$5:$R$83,2,0))</f>
        <v>2</v>
      </c>
      <c r="E109" s="123" t="str">
        <f>VLOOKUP(B109,'Gebouwgegevens Tabula 2zone'!$K$5:$R$83,4,0)</f>
        <v>Wall internal</v>
      </c>
      <c r="F109" s="123">
        <f>VLOOKUP(B109,'Gebouwgegevens Tabula 2zone'!$K$5:$R$83,5,0)</f>
        <v>136.25416887148947</v>
      </c>
      <c r="G109" s="123">
        <f>VLOOKUP('Verwarming Tabula 2zone'!C109,'Gebouwgegevens Tabula 2zone'!$B$34:$G$45,5,0)</f>
        <v>18</v>
      </c>
      <c r="H109" s="123">
        <f>VLOOKUP('Verwarming Tabula 2zone'!D109,'Gebouwgegevens Tabula 2zone'!$B$34:$G$45,5,0)</f>
        <v>18</v>
      </c>
      <c r="I109" s="123">
        <f>VLOOKUP(B109,'Gebouwgegevens Tabula 2zone'!$K$5:$R$83,7,0)</f>
        <v>1.9926199261992623</v>
      </c>
      <c r="J109" s="119">
        <f>VLOOKUP(B109,'Gebouwgegevens Tabula 2zone'!$K$5:$R$83,8,0)</f>
        <v>271.50277192104915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392.72864237979365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10210.944701874636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294" t="s">
        <v>197</v>
      </c>
      <c r="B124" s="294"/>
      <c r="C124" s="294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f>'Tabula data'!B33</f>
        <v>7.7461773700305816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Tabula 2zone'!$B$34:$G$45,2,0)*B127*B128*B129</f>
        <v>191.99669057104913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'Gebouwgegevens Tabula 2zone'!H35</f>
        <v>150.20000000000002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191.99669057104913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1.2038315771158274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0.34*(B137+B131)</f>
        <v>65.278874794156707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1697.2507446480745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294" t="s">
        <v>213</v>
      </c>
      <c r="B142" s="294"/>
      <c r="C142" s="294"/>
      <c r="D142" s="294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0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B133</f>
        <v>150.20000000000002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 2zone'!$B$4)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>
        <f>SUM(B121,B139,B146)</f>
        <v>458.00751717395036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11908.19544652271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294" t="s">
        <v>171</v>
      </c>
      <c r="B159" s="294"/>
      <c r="C159" s="294"/>
      <c r="D159" s="294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2zone'!C188,'Gebouwgegevens Allacker'!$A$35:$F$46,5,0)</f>
        <v>#N/A</v>
      </c>
      <c r="H188" s="123" t="e">
        <f>VLOOKUP('Verwarming Tabula 2zone'!D188,'Gebouwgegevens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2zone'!C189,'Gebouwgegevens Allacker'!$A$35:$F$46,5,0)</f>
        <v>#N/A</v>
      </c>
      <c r="H189" s="123" t="e">
        <f>VLOOKUP('Verwarming Tabula 2zone'!D189,'Gebouwgegevens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2zone'!C190,'Gebouwgegevens Allacker'!$A$35:$F$46,5,0)</f>
        <v>#N/A</v>
      </c>
      <c r="H190" s="123" t="e">
        <f>VLOOKUP('Verwarming Tabula 2zone'!D190,'Gebouwgegevens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294" t="s">
        <v>197</v>
      </c>
      <c r="B204" s="294"/>
      <c r="C204" s="294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294" t="s">
        <v>213</v>
      </c>
      <c r="B222" s="294"/>
      <c r="C222" s="294"/>
      <c r="D222" s="294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294" t="s">
        <v>171</v>
      </c>
      <c r="B238" s="294"/>
      <c r="C238" s="294"/>
      <c r="D238" s="294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2zone'!C267,'Gebouwgegevens Allacker'!$A$35:$F$46,5,0)</f>
        <v>#N/A</v>
      </c>
      <c r="H267" s="123" t="e">
        <f>VLOOKUP('Verwarming Tabula 2zone'!D267,'Gebouwgegevens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2zone'!C268,'Gebouwgegevens Allacker'!$A$35:$F$46,5,0)</f>
        <v>#N/A</v>
      </c>
      <c r="H268" s="123" t="e">
        <f>VLOOKUP('Verwarming Tabula 2zone'!D268,'Gebouwgegevens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2zone'!C269,'Gebouwgegevens Allacker'!$A$35:$F$46,5,0)</f>
        <v>#N/A</v>
      </c>
      <c r="H269" s="123" t="e">
        <f>VLOOKUP('Verwarming Tabula 2zone'!D269,'Gebouwgegevens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2zone'!C270,'Gebouwgegevens Allacker'!$A$35:$F$46,5,0)</f>
        <v>#N/A</v>
      </c>
      <c r="H270" s="123" t="e">
        <f>VLOOKUP('Verwarming Tabula 2zone'!D270,'Gebouwgegevens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294" t="s">
        <v>197</v>
      </c>
      <c r="B283" s="294"/>
      <c r="C283" s="294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294" t="s">
        <v>213</v>
      </c>
      <c r="B301" s="294"/>
      <c r="C301" s="294"/>
      <c r="D301" s="294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294" t="s">
        <v>171</v>
      </c>
      <c r="B317" s="294"/>
      <c r="C317" s="294"/>
      <c r="D317" s="294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2zone'!C346,'Gebouwgegevens Allacker'!$A$35:$F$46,5,0)</f>
        <v>#N/A</v>
      </c>
      <c r="H346" s="123" t="e">
        <f>VLOOKUP('Verwarming Tabula 2zone'!D346,'Gebouwgegevens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2zone'!C347,'Gebouwgegevens Allacker'!$A$35:$F$46,5,0)</f>
        <v>#N/A</v>
      </c>
      <c r="H347" s="123" t="e">
        <f>VLOOKUP('Verwarming Tabula 2zone'!D347,'Gebouwgegevens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2zone'!C348,'Gebouwgegevens Allacker'!$A$35:$F$46,5,0)</f>
        <v>#N/A</v>
      </c>
      <c r="H348" s="123" t="e">
        <f>VLOOKUP('Verwarming Tabula 2zone'!D348,'Gebouwgegevens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2zone'!C349,'Gebouwgegevens Allacker'!$A$35:$F$46,5,0)</f>
        <v>#N/A</v>
      </c>
      <c r="H349" s="123" t="e">
        <f>VLOOKUP('Verwarming Tabula 2zone'!D349,'Gebouwgegevens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2zone'!C350,'Gebouwgegevens Allacker'!$A$35:$F$46,5,0)</f>
        <v>#N/A</v>
      </c>
      <c r="H350" s="123" t="e">
        <f>VLOOKUP('Verwarming Tabula 2zone'!D350,'Gebouwgegevens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294" t="s">
        <v>197</v>
      </c>
      <c r="B362" s="294"/>
      <c r="C362" s="294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294" t="s">
        <v>213</v>
      </c>
      <c r="B380" s="294"/>
      <c r="C380" s="294"/>
      <c r="D380" s="294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294" t="s">
        <v>171</v>
      </c>
      <c r="B395" s="294"/>
      <c r="C395" s="294"/>
      <c r="D395" s="294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2zone'!C424,'Gebouwgegevens Allacker'!$A$35:$F$46,5,0)</f>
        <v>#N/A</v>
      </c>
      <c r="H424" s="123" t="e">
        <f>VLOOKUP('Verwarming Tabula 2zone'!D424,'Gebouwgegevens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2zone'!C425,'Gebouwgegevens Allacker'!$A$35:$F$46,5,0)</f>
        <v>#N/A</v>
      </c>
      <c r="H425" s="123" t="e">
        <f>VLOOKUP('Verwarming Tabula 2zone'!D425,'Gebouwgegevens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2zone'!C426,'Gebouwgegevens Allacker'!$A$35:$F$46,5,0)</f>
        <v>#N/A</v>
      </c>
      <c r="H426" s="123" t="e">
        <f>VLOOKUP('Verwarming Tabula 2zone'!D426,'Gebouwgegevens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2zone'!C427,'Gebouwgegevens Allacker'!$A$35:$F$46,5,0)</f>
        <v>#N/A</v>
      </c>
      <c r="H427" s="123" t="e">
        <f>VLOOKUP('Verwarming Tabula 2zone'!D427,'Gebouwgegevens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2zone'!C428,'Gebouwgegevens Allacker'!$A$35:$F$46,5,0)</f>
        <v>#N/A</v>
      </c>
      <c r="H428" s="123" t="e">
        <f>VLOOKUP('Verwarming Tabula 2zone'!D428,'Gebouwgegevens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294" t="s">
        <v>197</v>
      </c>
      <c r="B440" s="294"/>
      <c r="C440" s="294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294" t="s">
        <v>213</v>
      </c>
      <c r="B458" s="294"/>
      <c r="C458" s="294"/>
      <c r="D458" s="294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294" t="s">
        <v>171</v>
      </c>
      <c r="B473" s="294"/>
      <c r="C473" s="294"/>
      <c r="D473" s="294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2zone'!C502,'Gebouwgegevens Allacker'!$A$35:$F$46,5,0)</f>
        <v>#N/A</v>
      </c>
      <c r="H502" s="123" t="e">
        <f>VLOOKUP('Verwarming Tabula 2zone'!D502,'Gebouwgegevens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2zone'!C503,'Gebouwgegevens Allacker'!$A$35:$F$46,5,0)</f>
        <v>#N/A</v>
      </c>
      <c r="H503" s="123" t="e">
        <f>VLOOKUP('Verwarming Tabula 2zone'!D503,'Gebouwgegevens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2zone'!C504,'Gebouwgegevens Allacker'!$A$35:$F$46,5,0)</f>
        <v>#N/A</v>
      </c>
      <c r="H504" s="123" t="e">
        <f>VLOOKUP('Verwarming Tabula 2zone'!D504,'Gebouwgegevens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294" t="s">
        <v>197</v>
      </c>
      <c r="B518" s="294"/>
      <c r="C518" s="294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294" t="s">
        <v>213</v>
      </c>
      <c r="B536" s="294"/>
      <c r="C536" s="294"/>
      <c r="D536" s="294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294" t="s">
        <v>171</v>
      </c>
      <c r="B552" s="294"/>
      <c r="C552" s="294"/>
      <c r="D552" s="294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2zone'!C581,'Gebouwgegevens Allacker'!$A$35:$F$46,5,0)</f>
        <v>#N/A</v>
      </c>
      <c r="H581" s="123" t="e">
        <f>VLOOKUP('Verwarming Tabula 2zone'!D581,'Gebouwgegevens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2zone'!C582,'Gebouwgegevens Allacker'!$A$35:$F$46,5,0)</f>
        <v>#N/A</v>
      </c>
      <c r="H582" s="123" t="e">
        <f>VLOOKUP('Verwarming Tabula 2zone'!D582,'Gebouwgegevens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2zone'!C583,'Gebouwgegevens Allacker'!$A$35:$F$46,5,0)</f>
        <v>#N/A</v>
      </c>
      <c r="H583" s="123" t="e">
        <f>VLOOKUP('Verwarming Tabula 2zone'!D583,'Gebouwgegevens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294" t="s">
        <v>197</v>
      </c>
      <c r="B597" s="294"/>
      <c r="C597" s="294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294" t="s">
        <v>213</v>
      </c>
      <c r="B615" s="294"/>
      <c r="C615" s="294"/>
      <c r="D615" s="294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294" t="s">
        <v>171</v>
      </c>
      <c r="B631" s="294"/>
      <c r="C631" s="294"/>
      <c r="D631" s="294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2zone'!C660,'Gebouwgegevens Allacker'!$A$35:$F$46,5,0)</f>
        <v>#N/A</v>
      </c>
      <c r="H660" s="123" t="e">
        <f>VLOOKUP('Verwarming Tabula 2zone'!D660,'Gebouwgegevens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2zone'!C661,'Gebouwgegevens Allacker'!$A$35:$F$46,5,0)</f>
        <v>#N/A</v>
      </c>
      <c r="H661" s="123" t="e">
        <f>VLOOKUP('Verwarming Tabula 2zone'!D661,'Gebouwgegevens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294" t="s">
        <v>197</v>
      </c>
      <c r="B676" s="294"/>
      <c r="C676" s="294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294" t="s">
        <v>213</v>
      </c>
      <c r="B694" s="294"/>
      <c r="C694" s="294"/>
      <c r="D694" s="294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294" t="s">
        <v>171</v>
      </c>
      <c r="B710" s="294"/>
      <c r="C710" s="294"/>
      <c r="D710" s="294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2zone'!C739,'Gebouwgegevens Allacker'!$A$35:$F$46,5,0)</f>
        <v>#N/A</v>
      </c>
      <c r="H739" s="123" t="e">
        <f>VLOOKUP('Verwarming Tabula 2zone'!D739,'Gebouwgegevens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2zone'!C740,'Gebouwgegevens Allacker'!$A$35:$F$46,5,0)</f>
        <v>#N/A</v>
      </c>
      <c r="H740" s="123" t="e">
        <f>VLOOKUP('Verwarming Tabula 2zone'!D740,'Gebouwgegevens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2zone'!C741,'Gebouwgegevens Allacker'!$A$35:$F$46,5,0)</f>
        <v>#N/A</v>
      </c>
      <c r="H741" s="123" t="e">
        <f>VLOOKUP('Verwarming Tabula 2zone'!D741,'Gebouwgegevens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2zone'!C742,'Gebouwgegevens Allacker'!$A$35:$F$46,5,0)</f>
        <v>#N/A</v>
      </c>
      <c r="H742" s="123" t="e">
        <f>VLOOKUP('Verwarming Tabula 2zone'!D742,'Gebouwgegevens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2zone'!C743,'Gebouwgegevens Allacker'!$A$35:$F$46,5,0)</f>
        <v>#N/A</v>
      </c>
      <c r="H743" s="123" t="e">
        <f>VLOOKUP('Verwarming Tabula 2zone'!D743,'Gebouwgegevens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2zone'!C744,'Gebouwgegevens Allacker'!$A$35:$F$46,5,0)</f>
        <v>#N/A</v>
      </c>
      <c r="H744" s="123" t="e">
        <f>VLOOKUP('Verwarming Tabula 2zone'!D744,'Gebouwgegevens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2zone'!C745,'Gebouwgegevens Allacker'!$A$35:$F$46,5,0)</f>
        <v>#N/A</v>
      </c>
      <c r="H745" s="123" t="e">
        <f>VLOOKUP('Verwarming Tabula 2zone'!D745,'Gebouwgegevens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2zone'!C746,'Gebouwgegevens Allacker'!$A$35:$F$46,5,0)</f>
        <v>#N/A</v>
      </c>
      <c r="H746" s="123" t="e">
        <f>VLOOKUP('Verwarming Tabula 2zone'!D746,'Gebouwgegevens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2zone'!C747,'Gebouwgegevens Allacker'!$A$35:$F$46,5,0)</f>
        <v>#N/A</v>
      </c>
      <c r="H747" s="123" t="e">
        <f>VLOOKUP('Verwarming Tabula 2zone'!D747,'Gebouwgegevens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2zone'!C748,'Gebouwgegevens Allacker'!$A$35:$F$46,5,0)</f>
        <v>#N/A</v>
      </c>
      <c r="H748" s="123" t="e">
        <f>VLOOKUP('Verwarming Tabula 2zone'!D748,'Gebouwgegevens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2zone'!C749,'Gebouwgegevens Allacker'!$A$35:$F$46,5,0)</f>
        <v>#N/A</v>
      </c>
      <c r="H749" s="123" t="e">
        <f>VLOOKUP('Verwarming Tabula 2zone'!D749,'Gebouwgegevens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2zone'!C750,'Gebouwgegevens Allacker'!$A$35:$F$46,5,0)</f>
        <v>#N/A</v>
      </c>
      <c r="H750" s="123" t="e">
        <f>VLOOKUP('Verwarming Tabula 2zone'!D750,'Gebouwgegevens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294" t="s">
        <v>197</v>
      </c>
      <c r="B755" s="294"/>
      <c r="C755" s="294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294" t="s">
        <v>213</v>
      </c>
      <c r="B773" s="294"/>
      <c r="C773" s="294"/>
      <c r="D773" s="294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238:D238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552:D552"/>
    <mergeCell ref="A597:C597"/>
    <mergeCell ref="A755:C755"/>
    <mergeCell ref="A773:D773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MK784"/>
  <sheetViews>
    <sheetView zoomScale="90" zoomScaleNormal="90" workbookViewId="0">
      <selection activeCell="Z24" sqref="Z24"/>
    </sheetView>
  </sheetViews>
  <sheetFormatPr defaultRowHeight="15" x14ac:dyDescent="0.25"/>
  <cols>
    <col min="1" max="1" width="9.140625" style="152"/>
    <col min="2" max="2" width="16.7109375" style="152" bestFit="1" customWidth="1"/>
    <col min="3" max="1025" width="9.140625" style="152"/>
    <col min="1026" max="16384" width="9.140625" style="81"/>
  </cols>
  <sheetData>
    <row r="1" spans="1:25" ht="20.25" customHeight="1" x14ac:dyDescent="0.25">
      <c r="A1" s="292" t="s">
        <v>164</v>
      </c>
      <c r="B1" s="292"/>
      <c r="C1" s="292"/>
      <c r="D1" s="292"/>
      <c r="E1" s="292"/>
      <c r="F1" s="292"/>
      <c r="G1" s="292"/>
      <c r="H1" s="292"/>
      <c r="I1" s="292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71"/>
      <c r="W4" s="271"/>
      <c r="X4" s="271"/>
      <c r="Y4" s="95"/>
    </row>
    <row r="5" spans="1:25" ht="18" customHeight="1" thickTop="1" thickBot="1" x14ac:dyDescent="0.3">
      <c r="A5" s="94"/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95"/>
      <c r="U5" s="96"/>
      <c r="V5" s="289" t="s">
        <v>168</v>
      </c>
      <c r="W5" s="289"/>
      <c r="X5" s="289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71"/>
      <c r="Y6" s="97"/>
    </row>
    <row r="7" spans="1:25" ht="16.5" customHeight="1" thickTop="1" x14ac:dyDescent="0.25">
      <c r="A7" s="294" t="s">
        <v>171</v>
      </c>
      <c r="B7" s="294"/>
      <c r="C7" s="294"/>
      <c r="D7" s="294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95"/>
      <c r="U7" s="96"/>
      <c r="V7" s="102">
        <f>B6</f>
        <v>1</v>
      </c>
      <c r="W7" s="103">
        <f>B73</f>
        <v>3971.3561965051072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4118.4431681784017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Ref1'!K6</f>
        <v>W1</v>
      </c>
      <c r="C12" s="108">
        <f>VLOOKUP(B12,'Tabula Ref1'!$K$5:$R$83,3,0)</f>
        <v>1</v>
      </c>
      <c r="D12" s="108" t="str">
        <f>VLOOKUP(B12,'Tabula Ref1'!$K$5:$R$83,4,0)</f>
        <v>Wall External</v>
      </c>
      <c r="E12" s="108">
        <f>VLOOKUP(B12,'Tabula Ref1'!$K$5:$R$83,5,0)</f>
        <v>19.486299247454621</v>
      </c>
      <c r="F12" s="108" t="str">
        <f>VLOOKUP(B12,'Tabula Ref1'!$K$5:$R$83,6,0)</f>
        <v>front</v>
      </c>
      <c r="G12" s="108">
        <f>VLOOKUP(B12,'Tabula Ref1'!$K$5:$R$83,7,0)</f>
        <v>0.29666979362101314</v>
      </c>
      <c r="H12" s="109">
        <f>VLOOKUP(B12,'Tabula Ref1'!$K$5:$R$83,8,0)</f>
        <v>5.7809963761796661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Ref1'!K7</f>
        <v>W2</v>
      </c>
      <c r="C13" s="108">
        <f>VLOOKUP(B13,'Tabula Ref1'!$K$5:$R$83,3,0)</f>
        <v>1</v>
      </c>
      <c r="D13" s="108" t="str">
        <f>VLOOKUP(B13,'Tabula Ref1'!$K$5:$R$83,4,0)</f>
        <v>Wall External</v>
      </c>
      <c r="E13" s="108">
        <f>VLOOKUP(B13,'Tabula Ref1'!$K$5:$R$83,5,0)</f>
        <v>0</v>
      </c>
      <c r="F13" s="108" t="str">
        <f>VLOOKUP(B13,'Tabula Ref1'!$K$5:$R$83,6,0)</f>
        <v>right</v>
      </c>
      <c r="G13" s="108">
        <f>VLOOKUP(B13,'Tabula Ref1'!$K$5:$R$83,7,0)</f>
        <v>0.29666979362101314</v>
      </c>
      <c r="H13" s="109">
        <f>VLOOKUP(B13,'Tabula Ref1'!$K$5:$R$83,8,0)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Ref1'!K8</f>
        <v>W3</v>
      </c>
      <c r="C14" s="108">
        <f>VLOOKUP(B14,'Tabula Ref1'!$K$5:$R$83,3,0)</f>
        <v>1</v>
      </c>
      <c r="D14" s="108" t="str">
        <f>VLOOKUP(B14,'Tabula Ref1'!$K$5:$R$83,4,0)</f>
        <v>Wall External</v>
      </c>
      <c r="E14" s="108">
        <f>VLOOKUP(B14,'Tabula Ref1'!$K$5:$R$83,5,0)</f>
        <v>19.486299247454621</v>
      </c>
      <c r="F14" s="108" t="str">
        <f>VLOOKUP(B14,'Tabula Ref1'!$K$5:$R$83,6,0)</f>
        <v>back</v>
      </c>
      <c r="G14" s="108">
        <f>VLOOKUP(B14,'Tabula Ref1'!$K$5:$R$83,7,0)</f>
        <v>0.29666979362101314</v>
      </c>
      <c r="H14" s="109">
        <f>VLOOKUP(B14,'Tabula Ref1'!$K$5:$R$83,8,0)</f>
        <v>5.7809963761796661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Ref1'!K9</f>
        <v>W4</v>
      </c>
      <c r="C15" s="108">
        <f>VLOOKUP(B15,'Tabula Ref1'!$K$5:$R$83,3,0)</f>
        <v>1</v>
      </c>
      <c r="D15" s="108" t="str">
        <f>VLOOKUP(B15,'Tabula Ref1'!$K$5:$R$83,4,0)</f>
        <v>Wall External</v>
      </c>
      <c r="E15" s="108">
        <f>VLOOKUP(B15,'Tabula Ref1'!$K$5:$R$83,5,0)</f>
        <v>0</v>
      </c>
      <c r="F15" s="108" t="str">
        <f>VLOOKUP(B15,'Tabula Ref1'!$K$5:$R$83,6,0)</f>
        <v>left</v>
      </c>
      <c r="G15" s="108">
        <f>VLOOKUP(B15,'Tabula Ref1'!$K$5:$R$83,7,0)</f>
        <v>0.29666979362101314</v>
      </c>
      <c r="H15" s="109">
        <f>VLOOKUP(B15,'Tabula Ref1'!$K$5:$R$83,8,0)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Ref1'!K10</f>
        <v>W5</v>
      </c>
      <c r="C16" s="108">
        <f>VLOOKUP(B16,'Tabula Ref1'!$K$5:$R$83,3,0)</f>
        <v>1</v>
      </c>
      <c r="D16" s="108" t="str">
        <f>VLOOKUP(B16,'Tabula Ref1'!$K$5:$R$83,4,0)</f>
        <v>Window</v>
      </c>
      <c r="E16" s="108">
        <f>VLOOKUP(B16,'Tabula Ref1'!$K$5:$R$83,5,0)</f>
        <v>4.2</v>
      </c>
      <c r="F16" s="108" t="str">
        <f>VLOOKUP(B16,'Tabula Ref1'!$K$5:$R$83,6,0)</f>
        <v>front</v>
      </c>
      <c r="G16" s="108">
        <f>VLOOKUP(B16,'Tabula Ref1'!$K$5:$R$83,7,0)</f>
        <v>2</v>
      </c>
      <c r="H16" s="109">
        <f>VLOOKUP(B16,'Tabula Ref1'!$K$5:$R$83,8,0)</f>
        <v>8.4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Ref1'!K11</f>
        <v>W6</v>
      </c>
      <c r="C17" s="108">
        <f>VLOOKUP(B17,'Tabula Ref1'!$K$5:$R$83,3,0)</f>
        <v>1</v>
      </c>
      <c r="D17" s="108" t="str">
        <f>VLOOKUP(B17,'Tabula Ref1'!$K$5:$R$83,4,0)</f>
        <v>Window</v>
      </c>
      <c r="E17" s="108">
        <f>VLOOKUP(B17,'Tabula Ref1'!$K$5:$R$83,5,0)</f>
        <v>3.95</v>
      </c>
      <c r="F17" s="108" t="str">
        <f>VLOOKUP(B17,'Tabula Ref1'!$K$5:$R$83,6,0)</f>
        <v>right</v>
      </c>
      <c r="G17" s="108">
        <f>VLOOKUP(B17,'Tabula Ref1'!$K$5:$R$83,7,0)</f>
        <v>2</v>
      </c>
      <c r="H17" s="109">
        <f>VLOOKUP(B17,'Tabula Ref1'!$K$5:$R$83,8,0)</f>
        <v>7.9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Ref1'!K12</f>
        <v>W7</v>
      </c>
      <c r="C18" s="108">
        <f>VLOOKUP(B18,'Tabula Ref1'!$K$5:$R$83,3,0)</f>
        <v>1</v>
      </c>
      <c r="D18" s="108" t="str">
        <f>VLOOKUP(B18,'Tabula Ref1'!$K$5:$R$83,4,0)</f>
        <v>Window</v>
      </c>
      <c r="E18" s="108">
        <f>VLOOKUP(B18,'Tabula Ref1'!$K$5:$R$83,5,0)</f>
        <v>4.05</v>
      </c>
      <c r="F18" s="108" t="str">
        <f>VLOOKUP(B18,'Tabula Ref1'!$K$5:$R$83,6,0)</f>
        <v>back</v>
      </c>
      <c r="G18" s="108">
        <f>VLOOKUP(B18,'Tabula Ref1'!$K$5:$R$83,7,0)</f>
        <v>2</v>
      </c>
      <c r="H18" s="109">
        <f>VLOOKUP(B18,'Tabula Ref1'!$K$5:$R$83,8,0)</f>
        <v>8.1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8089.7993646835093</v>
      </c>
      <c r="X18" s="271" t="s">
        <v>172</v>
      </c>
      <c r="Y18" s="97"/>
    </row>
    <row r="19" spans="1:25" ht="16.5" customHeight="1" thickTop="1" thickBot="1" x14ac:dyDescent="0.3">
      <c r="A19" s="96"/>
      <c r="B19" s="107" t="str">
        <f>'Tabula Ref1'!K13</f>
        <v>W8</v>
      </c>
      <c r="C19" s="108">
        <f>VLOOKUP(B19,'Tabula Ref1'!$K$5:$R$83,3,0)</f>
        <v>1</v>
      </c>
      <c r="D19" s="108" t="str">
        <f>VLOOKUP(B19,'Tabula Ref1'!$K$5:$R$83,4,0)</f>
        <v>Window</v>
      </c>
      <c r="E19" s="108">
        <f>VLOOKUP(B19,'Tabula Ref1'!$K$5:$R$83,5,0)</f>
        <v>3.55</v>
      </c>
      <c r="F19" s="108" t="str">
        <f>VLOOKUP(B19,'Tabula Ref1'!$K$5:$R$83,6,0)</f>
        <v>left</v>
      </c>
      <c r="G19" s="108">
        <f>VLOOKUP(B19,'Tabula Ref1'!$K$5:$R$83,7,0)</f>
        <v>2</v>
      </c>
      <c r="H19" s="109">
        <f>VLOOKUP(B19,'Tabula Ref1'!$K$5:$R$83,8,0)</f>
        <v>7.1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Ref1'!$K$5:$R$83,3,0)</f>
        <v>1</v>
      </c>
      <c r="D21" s="108" t="str">
        <f>VLOOKUP(B21,'Tabula Ref1'!$K$5:$R$83,4,0)</f>
        <v>Roof</v>
      </c>
      <c r="E21" s="108">
        <f>VLOOKUP(B21,'Tabula Ref1'!$K$5:$R$83,5,0)</f>
        <v>0</v>
      </c>
      <c r="F21" s="108">
        <f>VLOOKUP(B21,'Tabula Ref1'!$K$5:$R$83,6,0)</f>
        <v>0</v>
      </c>
      <c r="G21" s="108">
        <f>VLOOKUP(B21,'Tabula Ref1'!$K$5:$R$83,7,0)</f>
        <v>0.27481053799679722</v>
      </c>
      <c r="H21" s="109">
        <f>VLOOKUP(B21,'Tabula Ref1'!$K$5:$R$83,8,0)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4368.4918161556179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Ref1'!$K$5:$R$83,3,0)</f>
        <v>1</v>
      </c>
      <c r="D22" s="108" t="str">
        <f>VLOOKUP(B22,'Tabula Ref1'!$K$5:$R$83,4,0)</f>
        <v>Door</v>
      </c>
      <c r="E22" s="108">
        <f>VLOOKUP(B22,'Tabula Ref1'!$K$5:$R$83,5,0)</f>
        <v>9.5</v>
      </c>
      <c r="F22" s="108">
        <f>VLOOKUP(B22,'Tabula Ref1'!$K$5:$R$83,6,0)</f>
        <v>0</v>
      </c>
      <c r="G22" s="108">
        <f>VLOOKUP(B22,'Tabula Ref1'!$K$5:$R$83,7,0)</f>
        <v>4</v>
      </c>
      <c r="H22" s="109">
        <f>VLOOKUP(B22,'Tabula Ref1'!$K$5:$R$83,8,0)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Ref1'!$K$5:$R$83,3,0)</f>
        <v>1</v>
      </c>
      <c r="D28" s="118" t="str">
        <f>VLOOKUP(B28,'Tabula Ref1'!$K$5:$R$83,4,0)</f>
        <v>Floor</v>
      </c>
      <c r="E28" s="118">
        <f>VLOOKUP(B28,'Tabula Ref1'!$K$5:$R$83,5,0)</f>
        <v>75.699999999999989</v>
      </c>
      <c r="F28" s="118">
        <f>VLOOKUP(B28,'Tabula Ref1'!$K$5:$R$83,7,0)</f>
        <v>0.25127131319174395</v>
      </c>
      <c r="G28" s="119">
        <f>VLOOKUP(B28,'Tabula Ref1'!$K$5:$R$83,8,0)</f>
        <v>19.021238408615016</v>
      </c>
      <c r="H28" s="119">
        <f>N28/F28*1.45*(21-12)/(29)</f>
        <v>0.34799602919584299</v>
      </c>
      <c r="I28" s="118">
        <f>'Tabula Ref1'!O14</f>
        <v>75.699999999999989</v>
      </c>
      <c r="J28" s="117">
        <f>SQRT(I28)*4</f>
        <v>34.802298774649927</v>
      </c>
      <c r="K28" s="117">
        <f>SUM('Tabula Ref1'!Z16:Z19)</f>
        <v>0.34499999999999997</v>
      </c>
      <c r="L28" s="120">
        <f>I28/(0.5*J28)</f>
        <v>4.3502873468312409</v>
      </c>
      <c r="M28" s="120">
        <f>K28+2*(1/F28)</f>
        <v>8.3045238095238094</v>
      </c>
      <c r="N28" s="121">
        <f>IF(M28&lt;L28,2*2/(PI()*L28+M28)*LN(PI()*L28/M28+1),2/(0.457*L28+M28))</f>
        <v>0.19431426498122653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2">
        <f>1.1*W18</f>
        <v>8898.7793011518606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Ref1'!$K$5:$R$83,2,0)=B$6,VLOOKUP(B33,'Tabula Ref1'!$K$5:$R$83,2,0),VLOOKUP(B33,'Tabula Ref1'!$K$5:$R$83,3,0))</f>
        <v>1</v>
      </c>
      <c r="D33" s="123">
        <f>IF(VLOOKUP(B33,'Tabula Ref1'!$K$5:$R$83,2,0)=B$6,VLOOKUP(B33,'Tabula Ref1'!$K$5:$R$83,3,0),VLOOKUP(B33,'Tabula Ref1'!$K$5:$R$83,2,0))</f>
        <v>2</v>
      </c>
      <c r="E33" s="123" t="str">
        <f>VLOOKUP(B33,'Tabula Ref1'!$K$5:$R$83,4,0)</f>
        <v>Floor internal</v>
      </c>
      <c r="F33" s="123">
        <f>VLOOKUP(B33,'Tabula Ref1'!$K$5:$R$83,5,0)</f>
        <v>75.699999999999989</v>
      </c>
      <c r="G33" s="123">
        <f>VLOOKUP('Verwarming Tabula 2zone Ref1'!C33,'Tabula Ref1'!$B$34:$G$45,5,0)</f>
        <v>21</v>
      </c>
      <c r="H33" s="123">
        <f>VLOOKUP('Verwarming Tabula 2zone Ref1'!D33,'Tabula Ref1'!$B$34:$G$45,5,0)</f>
        <v>18</v>
      </c>
      <c r="I33" s="123">
        <f>VLOOKUP(B33,'Tabula Ref1'!$K$5:$R$83,7,0)</f>
        <v>1.2141280353200883</v>
      </c>
      <c r="J33" s="119">
        <f>VLOOKUP(B33,'Tabula Ref1'!$K$5:$R$83,8,0)</f>
        <v>91.909492273730663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Ref1'!$K$5:$R$83,2,0)=B$6,VLOOKUP(B34,'Tabula Ref1'!$K$5:$R$83,2,0),VLOOKUP(B34,'Tabula Ref1'!$K$5:$R$83,3,0))</f>
        <v>1</v>
      </c>
      <c r="D34" s="123">
        <f>IF(VLOOKUP(B34,'Tabula Ref1'!$K$5:$R$83,2,0)=B$6,VLOOKUP(B34,'Tabula Ref1'!$K$5:$R$83,3,0),VLOOKUP(B34,'Tabula Ref1'!$K$5:$R$83,2,0))</f>
        <v>1</v>
      </c>
      <c r="E34" s="123" t="str">
        <f>VLOOKUP(B34,'Tabula Ref1'!$K$5:$R$83,4,0)</f>
        <v>Wall internal</v>
      </c>
      <c r="F34" s="123">
        <f>VLOOKUP(B34,'Tabula Ref1'!$K$5:$R$83,5,0)</f>
        <v>68.671375389958385</v>
      </c>
      <c r="G34" s="123">
        <f>VLOOKUP('Verwarming Tabula 2zone Ref1'!C34,'Tabula Ref1'!$B$34:$G$45,5,0)</f>
        <v>21</v>
      </c>
      <c r="H34" s="123">
        <f>VLOOKUP('Verwarming Tabula 2zone Ref1'!D34,'Tabula Ref1'!$B$34:$G$45,5,0)</f>
        <v>21</v>
      </c>
      <c r="I34" s="123">
        <f>VLOOKUP(B34,'Tabula Ref1'!$K$5:$R$83,7,0)</f>
        <v>1.9926199261992623</v>
      </c>
      <c r="J34" s="119">
        <f>VLOOKUP(B34,'Tabula Ref1'!$K$5:$R$83,8,0)</f>
        <v>136.8359509615407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97.189186700020414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2818.4864143005921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294" t="s">
        <v>197</v>
      </c>
      <c r="B45" s="294"/>
      <c r="C45" s="294"/>
      <c r="D45" s="126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data'!E33</f>
        <v>3.119266055045872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Ref1'!C34</f>
        <v>32.471580345285517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Ref1'!H34</f>
        <v>75.699999999999989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32.471580345285517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0.15647295392915217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11.040337317397077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320.16978220451523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294" t="s">
        <v>213</v>
      </c>
      <c r="B63" s="294"/>
      <c r="C63" s="294"/>
      <c r="D63" s="294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Ref1'!C7</f>
        <v>75.699999999999989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Ref1'!$B$4)</f>
        <v>28.713793103448271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832.69999999999982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136.94331712086577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3971.3561965051072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294" t="s">
        <v>171</v>
      </c>
      <c r="B79" s="294"/>
      <c r="C79" s="294"/>
      <c r="D79" s="294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Ref1'!$K$5:$R$83,3,0)</f>
        <v>2</v>
      </c>
      <c r="D84" s="108" t="str">
        <f>VLOOKUP(B84,'Tabula Ref1'!$K$5:$R$83,4,0)</f>
        <v>Wall External</v>
      </c>
      <c r="E84" s="108">
        <f>VLOOKUP(B84,'Tabula Ref1'!$K$5:$R$83,5,0)</f>
        <v>38.663700752545374</v>
      </c>
      <c r="F84" s="108" t="str">
        <f>VLOOKUP(B84,'Tabula Ref1'!$K$5:$R$83,6,0)</f>
        <v>front</v>
      </c>
      <c r="G84" s="108">
        <f>VLOOKUP(B84,'Tabula Ref1'!$K$5:$R$83,7,0)</f>
        <v>0.29666979362101314</v>
      </c>
      <c r="H84" s="109">
        <f>VLOOKUP(B84,'Tabula Ref1'!$K$5:$R$83,8,0)</f>
        <v>11.470352122882247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Ref1'!$K$5:$R$83,3,0)</f>
        <v>2</v>
      </c>
      <c r="D85" s="108" t="str">
        <f>VLOOKUP(B85,'Tabula Ref1'!$K$5:$R$83,4,0)</f>
        <v>Wall External</v>
      </c>
      <c r="E85" s="108">
        <f>VLOOKUP(B85,'Tabula Ref1'!$K$5:$R$83,5,0)</f>
        <v>0</v>
      </c>
      <c r="F85" s="108" t="str">
        <f>VLOOKUP(B85,'Tabula Ref1'!$K$5:$R$83,6,0)</f>
        <v>right</v>
      </c>
      <c r="G85" s="108">
        <f>VLOOKUP(B85,'Tabula Ref1'!$K$5:$R$83,7,0)</f>
        <v>0.29666979362101314</v>
      </c>
      <c r="H85" s="109">
        <f>VLOOKUP(B85,'Tabula Ref1'!$K$5:$R$83,8,0)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Ref1'!$K$5:$R$83,3,0)</f>
        <v>2</v>
      </c>
      <c r="D86" s="108" t="str">
        <f>VLOOKUP(B86,'Tabula Ref1'!$K$5:$R$83,4,0)</f>
        <v>Wall External</v>
      </c>
      <c r="E86" s="108">
        <f>VLOOKUP(B86,'Tabula Ref1'!$K$5:$R$83,5,0)</f>
        <v>38.663700752545374</v>
      </c>
      <c r="F86" s="108" t="str">
        <f>VLOOKUP(B86,'Tabula Ref1'!$K$5:$R$83,6,0)</f>
        <v>back</v>
      </c>
      <c r="G86" s="108">
        <f>VLOOKUP(B86,'Tabula Ref1'!$K$5:$R$83,7,0)</f>
        <v>0.29666979362101314</v>
      </c>
      <c r="H86" s="109">
        <f>VLOOKUP(B86,'Tabula Ref1'!$K$5:$R$83,8,0)</f>
        <v>11.470352122882247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Ref1'!$K$5:$R$83,3,0)</f>
        <v>2</v>
      </c>
      <c r="D87" s="108" t="str">
        <f>VLOOKUP(B87,'Tabula Ref1'!$K$5:$R$83,4,0)</f>
        <v>Wall External</v>
      </c>
      <c r="E87" s="108">
        <f>VLOOKUP(B87,'Tabula Ref1'!$K$5:$R$83,5,0)</f>
        <v>0</v>
      </c>
      <c r="F87" s="108" t="str">
        <f>VLOOKUP(B87,'Tabula Ref1'!$K$5:$R$83,6,0)</f>
        <v>left</v>
      </c>
      <c r="G87" s="108">
        <f>VLOOKUP(B87,'Tabula Ref1'!$K$5:$R$83,7,0)</f>
        <v>0.29666979362101314</v>
      </c>
      <c r="H87" s="109">
        <f>VLOOKUP(B87,'Tabula Ref1'!$K$5:$R$83,8,0)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Ref1'!$K$5:$R$83,3,0)</f>
        <v>2</v>
      </c>
      <c r="D88" s="108" t="str">
        <f>VLOOKUP(B88,'Tabula Ref1'!$K$5:$R$83,4,0)</f>
        <v>Window</v>
      </c>
      <c r="E88" s="108">
        <f>VLOOKUP(B88,'Tabula Ref1'!$K$5:$R$83,5,0)</f>
        <v>4.2</v>
      </c>
      <c r="F88" s="108" t="str">
        <f>VLOOKUP(B88,'Tabula Ref1'!$K$5:$R$83,6,0)</f>
        <v>front</v>
      </c>
      <c r="G88" s="108">
        <f>VLOOKUP(B88,'Tabula Ref1'!$K$5:$R$83,7,0)</f>
        <v>2</v>
      </c>
      <c r="H88" s="109">
        <f>VLOOKUP(B88,'Tabula Ref1'!$K$5:$R$83,8,0)</f>
        <v>8.4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Ref1'!$K$5:$R$83,3,0)</f>
        <v>2</v>
      </c>
      <c r="D89" s="108" t="str">
        <f>VLOOKUP(B89,'Tabula Ref1'!$K$5:$R$83,4,0)</f>
        <v>Window</v>
      </c>
      <c r="E89" s="108">
        <f>VLOOKUP(B89,'Tabula Ref1'!$K$5:$R$83,5,0)</f>
        <v>3.95</v>
      </c>
      <c r="F89" s="108" t="str">
        <f>VLOOKUP(B89,'Tabula Ref1'!$K$5:$R$83,6,0)</f>
        <v>right</v>
      </c>
      <c r="G89" s="108">
        <f>VLOOKUP(B89,'Tabula Ref1'!$K$5:$R$83,7,0)</f>
        <v>2</v>
      </c>
      <c r="H89" s="109">
        <f>VLOOKUP(B89,'Tabula Ref1'!$K$5:$R$83,8,0)</f>
        <v>7.9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Ref1'!$K$5:$R$83,3,0)</f>
        <v>2</v>
      </c>
      <c r="D90" s="108" t="str">
        <f>VLOOKUP(B90,'Tabula Ref1'!$K$5:$R$83,4,0)</f>
        <v>Window</v>
      </c>
      <c r="E90" s="108">
        <f>VLOOKUP(B90,'Tabula Ref1'!$K$5:$R$83,5,0)</f>
        <v>4.05</v>
      </c>
      <c r="F90" s="108" t="str">
        <f>VLOOKUP(B90,'Tabula Ref1'!$K$5:$R$83,6,0)</f>
        <v>back</v>
      </c>
      <c r="G90" s="108">
        <f>VLOOKUP(B90,'Tabula Ref1'!$K$5:$R$83,7,0)</f>
        <v>2</v>
      </c>
      <c r="H90" s="109">
        <f>VLOOKUP(B90,'Tabula Ref1'!$K$5:$R$83,8,0)</f>
        <v>8.1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Ref1'!$K$5:$R$83,3,0)</f>
        <v>2</v>
      </c>
      <c r="D91" s="108" t="str">
        <f>VLOOKUP(B91,'Tabula Ref1'!$K$5:$R$83,4,0)</f>
        <v>Window</v>
      </c>
      <c r="E91" s="108">
        <f>VLOOKUP(B91,'Tabula Ref1'!$K$5:$R$83,5,0)</f>
        <v>3.55</v>
      </c>
      <c r="F91" s="108" t="str">
        <f>VLOOKUP(B91,'Tabula Ref1'!$K$5:$R$83,6,0)</f>
        <v>left</v>
      </c>
      <c r="G91" s="108">
        <f>VLOOKUP(B91,'Tabula Ref1'!$K$5:$R$83,7,0)</f>
        <v>2</v>
      </c>
      <c r="H91" s="109">
        <f>VLOOKUP(B91,'Tabula Ref1'!$K$5:$R$83,8,0)</f>
        <v>7.1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Ref1'!$K$5:$R$83,3,0)</f>
        <v>2</v>
      </c>
      <c r="D92" s="108" t="str">
        <f>VLOOKUP(B92,'Tabula Ref1'!$K$5:$R$83,4,0)</f>
        <v>Roof</v>
      </c>
      <c r="E92" s="108">
        <f>VLOOKUP(B92,'Tabula Ref1'!$K$5:$R$83,5,0)</f>
        <v>90</v>
      </c>
      <c r="F92" s="108" t="str">
        <f>VLOOKUP(B92,'Tabula Ref1'!$K$5:$R$83,6,0)</f>
        <v>front/back</v>
      </c>
      <c r="G92" s="108">
        <f>VLOOKUP(B92,'Tabula Ref1'!$K$5:$R$83,7,0)</f>
        <v>0.27481053799679722</v>
      </c>
      <c r="H92" s="109">
        <f>VLOOKUP(B92,'Tabula Ref1'!$K$5:$R$83,8,0)</f>
        <v>24.73294841971175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Ref1'!$K$5:$R$83,2,0)=$B$78,VLOOKUP(B108,'Tabula Ref1'!$K$5:$R$83,2,0),VLOOKUP(B108,'Tabula Ref1'!$K$5:$R$83,3,0))</f>
        <v>2</v>
      </c>
      <c r="D108" s="123">
        <f>IF(VLOOKUP(B108,'Tabula Ref1'!$K$5:$R$83,2,0)=$B$78,VLOOKUP(B108,'Tabula Ref1'!$K$5:$R$83,3,0),VLOOKUP(B108,'Tabula Ref1'!$K$5:$R$83,2,0))</f>
        <v>1</v>
      </c>
      <c r="E108" s="123" t="str">
        <f>VLOOKUP(B108,'Tabula Ref1'!$K$5:$R$83,4,0)</f>
        <v>Floor internal</v>
      </c>
      <c r="F108" s="123">
        <f>VLOOKUP(B108,'Tabula Ref1'!$K$5:$R$83,5,0)</f>
        <v>75.699999999999989</v>
      </c>
      <c r="G108" s="123">
        <f>VLOOKUP('Verwarming Tabula 2zone Ref1'!C108,'Tabula Ref1'!$B$34:$G$45,5,0)</f>
        <v>18</v>
      </c>
      <c r="H108" s="123">
        <f>VLOOKUP('Verwarming Tabula 2zone Ref1'!D108,'Tabula Ref1'!$B$34:$G$45,5,0)</f>
        <v>21</v>
      </c>
      <c r="I108" s="123">
        <f>VLOOKUP(B108,'Tabula Ref1'!$K$5:$R$83,7,0)</f>
        <v>1.2141280353200883</v>
      </c>
      <c r="J108" s="119">
        <f>VLOOKUP(B108,'Tabula Ref1'!$K$5:$R$83,8,0)</f>
        <v>91.909492273730663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Ref1'!$K$5:$R$83,2,0)=$B$78,VLOOKUP(B109,'Tabula Ref1'!$K$5:$R$83,2,0),VLOOKUP(B109,'Tabula Ref1'!$K$5:$R$83,3,0))</f>
        <v>2</v>
      </c>
      <c r="D109" s="123">
        <f>IF(VLOOKUP(B109,'Tabula Ref1'!$K$5:$R$83,2,0)=$B$78,VLOOKUP(B109,'Tabula Ref1'!$K$5:$R$83,3,0),VLOOKUP(B109,'Tabula Ref1'!$K$5:$R$83,2,0))</f>
        <v>2</v>
      </c>
      <c r="E109" s="123" t="str">
        <f>VLOOKUP(B109,'Tabula Ref1'!$K$5:$R$83,4,0)</f>
        <v>Wall internal</v>
      </c>
      <c r="F109" s="123">
        <f>VLOOKUP(B109,'Tabula Ref1'!$K$5:$R$83,5,0)</f>
        <v>136.25416887148947</v>
      </c>
      <c r="G109" s="123">
        <f>VLOOKUP('Verwarming Tabula 2zone Ref1'!C109,'Tabula Ref1'!$B$34:$G$45,5,0)</f>
        <v>18</v>
      </c>
      <c r="H109" s="123">
        <f>VLOOKUP('Verwarming Tabula 2zone Ref1'!D109,'Tabula Ref1'!$B$34:$G$45,5,0)</f>
        <v>18</v>
      </c>
      <c r="I109" s="123">
        <f>VLOOKUP(B109,'Tabula Ref1'!$K$5:$R$83,7,0)</f>
        <v>1.9926199261992623</v>
      </c>
      <c r="J109" s="119">
        <f>VLOOKUP(B109,'Tabula Ref1'!$K$5:$R$83,8,0)</f>
        <v>271.50277192104915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68.568711249276546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1782.7864924811902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294" t="s">
        <v>197</v>
      </c>
      <c r="B124" s="294"/>
      <c r="C124" s="294"/>
      <c r="D124" s="126" t="s">
        <v>225</v>
      </c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data'!E33</f>
        <v>3.119266055045872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Ref1'!$B$34:$G$45,2,0)*B127*B128*B129</f>
        <v>77.314103585657378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Ref1'!H35</f>
        <v>150.20000000000002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77.314103585657378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0.48476439346946082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0.34*(B137)</f>
        <v>26.286795219123512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683.45667569721127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294" t="s">
        <v>213</v>
      </c>
      <c r="B142" s="294"/>
      <c r="C142" s="294"/>
      <c r="D142" s="294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150.20000000000002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Ref1'!$B$4)</f>
        <v>206.52500000000003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1652.2000000000003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301.38050646840009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4118.4431681784017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71"/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294" t="s">
        <v>171</v>
      </c>
      <c r="B159" s="294"/>
      <c r="C159" s="294"/>
      <c r="D159" s="294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Ref1'!C188,'Gebouwgegevens Allacker'!$A$35:$F$46,5,0)</f>
        <v>#N/A</v>
      </c>
      <c r="H188" s="123" t="e">
        <f>VLOOKUP('Verwarming Tabula 2zone Ref1'!D188,'Gebouwgegevens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Ref1'!C189,'Gebouwgegevens Allacker'!$A$35:$F$46,5,0)</f>
        <v>#N/A</v>
      </c>
      <c r="H189" s="123" t="e">
        <f>VLOOKUP('Verwarming Tabula 2zone Ref1'!D189,'Gebouwgegevens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Ref1'!C190,'Gebouwgegevens Allacker'!$A$35:$F$46,5,0)</f>
        <v>#N/A</v>
      </c>
      <c r="H190" s="123" t="e">
        <f>VLOOKUP('Verwarming Tabula 2zone Ref1'!D190,'Gebouwgegevens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294" t="s">
        <v>197</v>
      </c>
      <c r="B204" s="294"/>
      <c r="C204" s="294"/>
      <c r="D204" s="126" t="s">
        <v>225</v>
      </c>
      <c r="E204" s="271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294" t="s">
        <v>213</v>
      </c>
      <c r="B222" s="294"/>
      <c r="C222" s="294"/>
      <c r="D222" s="294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2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71"/>
      <c r="C236" s="271"/>
      <c r="D236" s="271"/>
      <c r="E236" s="271"/>
      <c r="F236" s="271"/>
      <c r="G236" s="271"/>
      <c r="H236" s="271"/>
      <c r="I236" s="271"/>
      <c r="J236" s="271"/>
      <c r="K236" s="271"/>
      <c r="L236" s="271"/>
      <c r="M236" s="271"/>
      <c r="N236" s="271"/>
      <c r="O236" s="271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294" t="s">
        <v>171</v>
      </c>
      <c r="B238" s="294"/>
      <c r="C238" s="294"/>
      <c r="D238" s="294"/>
      <c r="E238" s="271"/>
      <c r="F238" s="271"/>
      <c r="G238" s="271"/>
      <c r="H238" s="271"/>
      <c r="I238" s="271"/>
      <c r="J238" s="271"/>
      <c r="K238" s="271"/>
      <c r="L238" s="271"/>
      <c r="M238" s="271"/>
      <c r="N238" s="271"/>
      <c r="O238" s="271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Ref1'!C267,'Gebouwgegevens Allacker'!$A$35:$F$46,5,0)</f>
        <v>#N/A</v>
      </c>
      <c r="H267" s="123" t="e">
        <f>VLOOKUP('Verwarming Tabula 2zone Ref1'!D267,'Gebouwgegevens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Ref1'!C268,'Gebouwgegevens Allacker'!$A$35:$F$46,5,0)</f>
        <v>#N/A</v>
      </c>
      <c r="H268" s="123" t="e">
        <f>VLOOKUP('Verwarming Tabula 2zone Ref1'!D268,'Gebouwgegevens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Ref1'!C269,'Gebouwgegevens Allacker'!$A$35:$F$46,5,0)</f>
        <v>#N/A</v>
      </c>
      <c r="H269" s="123" t="e">
        <f>VLOOKUP('Verwarming Tabula 2zone Ref1'!D269,'Gebouwgegevens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Ref1'!C270,'Gebouwgegevens Allacker'!$A$35:$F$46,5,0)</f>
        <v>#N/A</v>
      </c>
      <c r="H270" s="123" t="e">
        <f>VLOOKUP('Verwarming Tabula 2zone Ref1'!D270,'Gebouwgegevens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294" t="s">
        <v>197</v>
      </c>
      <c r="B283" s="294"/>
      <c r="C283" s="294"/>
      <c r="D283" s="126" t="s">
        <v>225</v>
      </c>
      <c r="E283" s="271"/>
      <c r="F283" s="271"/>
      <c r="G283" s="271"/>
      <c r="H283" s="271"/>
      <c r="I283" s="271"/>
      <c r="J283" s="271"/>
      <c r="K283" s="271"/>
      <c r="L283" s="271"/>
      <c r="M283" s="271"/>
      <c r="N283" s="271"/>
      <c r="O283" s="271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294" t="s">
        <v>213</v>
      </c>
      <c r="B301" s="294"/>
      <c r="C301" s="294"/>
      <c r="D301" s="294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2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71"/>
      <c r="C315" s="271"/>
      <c r="D315" s="271"/>
      <c r="E315" s="271"/>
      <c r="F315" s="271"/>
      <c r="G315" s="271"/>
      <c r="H315" s="271"/>
      <c r="I315" s="271"/>
      <c r="J315" s="271"/>
      <c r="K315" s="271"/>
      <c r="L315" s="271"/>
      <c r="M315" s="271"/>
      <c r="N315" s="271"/>
      <c r="O315" s="271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294" t="s">
        <v>171</v>
      </c>
      <c r="B317" s="294"/>
      <c r="C317" s="294"/>
      <c r="D317" s="294"/>
      <c r="E317" s="271"/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Ref1'!C346,'Gebouwgegevens Allacker'!$A$35:$F$46,5,0)</f>
        <v>#N/A</v>
      </c>
      <c r="H346" s="123" t="e">
        <f>VLOOKUP('Verwarming Tabula 2zone Ref1'!D346,'Gebouwgegevens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Ref1'!C347,'Gebouwgegevens Allacker'!$A$35:$F$46,5,0)</f>
        <v>#N/A</v>
      </c>
      <c r="H347" s="123" t="e">
        <f>VLOOKUP('Verwarming Tabula 2zone Ref1'!D347,'Gebouwgegevens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Ref1'!C348,'Gebouwgegevens Allacker'!$A$35:$F$46,5,0)</f>
        <v>#N/A</v>
      </c>
      <c r="H348" s="123" t="e">
        <f>VLOOKUP('Verwarming Tabula 2zone Ref1'!D348,'Gebouwgegevens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Ref1'!C349,'Gebouwgegevens Allacker'!$A$35:$F$46,5,0)</f>
        <v>#N/A</v>
      </c>
      <c r="H349" s="123" t="e">
        <f>VLOOKUP('Verwarming Tabula 2zone Ref1'!D349,'Gebouwgegevens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Ref1'!C350,'Gebouwgegevens Allacker'!$A$35:$F$46,5,0)</f>
        <v>#N/A</v>
      </c>
      <c r="H350" s="123" t="e">
        <f>VLOOKUP('Verwarming Tabula 2zone Ref1'!D350,'Gebouwgegevens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294" t="s">
        <v>197</v>
      </c>
      <c r="B362" s="294"/>
      <c r="C362" s="294"/>
      <c r="D362" s="126" t="s">
        <v>225</v>
      </c>
      <c r="E362" s="271"/>
      <c r="F362" s="271"/>
      <c r="G362" s="271"/>
      <c r="H362" s="271"/>
      <c r="I362" s="271"/>
      <c r="J362" s="271"/>
      <c r="K362" s="271"/>
      <c r="L362" s="271"/>
      <c r="M362" s="271"/>
      <c r="N362" s="271"/>
      <c r="O362" s="271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294" t="s">
        <v>213</v>
      </c>
      <c r="B380" s="294"/>
      <c r="C380" s="294"/>
      <c r="D380" s="294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2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71"/>
      <c r="C393" s="271"/>
      <c r="D393" s="271"/>
      <c r="E393" s="271"/>
      <c r="F393" s="271"/>
      <c r="G393" s="271"/>
      <c r="H393" s="271"/>
      <c r="I393" s="271"/>
      <c r="J393" s="271"/>
      <c r="K393" s="271"/>
      <c r="L393" s="271"/>
      <c r="M393" s="271"/>
      <c r="N393" s="271"/>
      <c r="O393" s="271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294" t="s">
        <v>171</v>
      </c>
      <c r="B395" s="294"/>
      <c r="C395" s="294"/>
      <c r="D395" s="294"/>
      <c r="E395" s="271"/>
      <c r="F395" s="271"/>
      <c r="G395" s="271"/>
      <c r="H395" s="271"/>
      <c r="I395" s="271"/>
      <c r="J395" s="271"/>
      <c r="K395" s="271"/>
      <c r="L395" s="271"/>
      <c r="M395" s="271"/>
      <c r="N395" s="271"/>
      <c r="O395" s="271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Ref1'!C424,'Gebouwgegevens Allacker'!$A$35:$F$46,5,0)</f>
        <v>#N/A</v>
      </c>
      <c r="H424" s="123" t="e">
        <f>VLOOKUP('Verwarming Tabula 2zone Ref1'!D424,'Gebouwgegevens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Ref1'!C425,'Gebouwgegevens Allacker'!$A$35:$F$46,5,0)</f>
        <v>#N/A</v>
      </c>
      <c r="H425" s="123" t="e">
        <f>VLOOKUP('Verwarming Tabula 2zone Ref1'!D425,'Gebouwgegevens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Ref1'!C426,'Gebouwgegevens Allacker'!$A$35:$F$46,5,0)</f>
        <v>#N/A</v>
      </c>
      <c r="H426" s="123" t="e">
        <f>VLOOKUP('Verwarming Tabula 2zone Ref1'!D426,'Gebouwgegevens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Ref1'!C427,'Gebouwgegevens Allacker'!$A$35:$F$46,5,0)</f>
        <v>#N/A</v>
      </c>
      <c r="H427" s="123" t="e">
        <f>VLOOKUP('Verwarming Tabula 2zone Ref1'!D427,'Gebouwgegevens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Ref1'!C428,'Gebouwgegevens Allacker'!$A$35:$F$46,5,0)</f>
        <v>#N/A</v>
      </c>
      <c r="H428" s="123" t="e">
        <f>VLOOKUP('Verwarming Tabula 2zone Ref1'!D428,'Gebouwgegevens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294" t="s">
        <v>197</v>
      </c>
      <c r="B440" s="294"/>
      <c r="C440" s="294"/>
      <c r="D440" s="126" t="s">
        <v>225</v>
      </c>
      <c r="E440" s="271"/>
      <c r="F440" s="271"/>
      <c r="G440" s="271"/>
      <c r="H440" s="271"/>
      <c r="I440" s="271"/>
      <c r="J440" s="271"/>
      <c r="K440" s="271"/>
      <c r="L440" s="271"/>
      <c r="M440" s="271"/>
      <c r="N440" s="271"/>
      <c r="O440" s="271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294" t="s">
        <v>213</v>
      </c>
      <c r="B458" s="294"/>
      <c r="C458" s="294"/>
      <c r="D458" s="294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2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71"/>
      <c r="C471" s="271"/>
      <c r="D471" s="271"/>
      <c r="E471" s="271"/>
      <c r="F471" s="271"/>
      <c r="G471" s="271"/>
      <c r="H471" s="271"/>
      <c r="I471" s="271"/>
      <c r="J471" s="271"/>
      <c r="K471" s="271"/>
      <c r="L471" s="271"/>
      <c r="M471" s="271"/>
      <c r="N471" s="271"/>
      <c r="O471" s="271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294" t="s">
        <v>171</v>
      </c>
      <c r="B473" s="294"/>
      <c r="C473" s="294"/>
      <c r="D473" s="294"/>
      <c r="E473" s="271"/>
      <c r="F473" s="271"/>
      <c r="G473" s="271"/>
      <c r="H473" s="271"/>
      <c r="I473" s="271"/>
      <c r="J473" s="271"/>
      <c r="K473" s="271"/>
      <c r="L473" s="271"/>
      <c r="M473" s="271"/>
      <c r="N473" s="271"/>
      <c r="O473" s="271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Ref1'!C502,'Gebouwgegevens Allacker'!$A$35:$F$46,5,0)</f>
        <v>#N/A</v>
      </c>
      <c r="H502" s="123" t="e">
        <f>VLOOKUP('Verwarming Tabula 2zone Ref1'!D502,'Gebouwgegevens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Ref1'!C503,'Gebouwgegevens Allacker'!$A$35:$F$46,5,0)</f>
        <v>#N/A</v>
      </c>
      <c r="H503" s="123" t="e">
        <f>VLOOKUP('Verwarming Tabula 2zone Ref1'!D503,'Gebouwgegevens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Ref1'!C504,'Gebouwgegevens Allacker'!$A$35:$F$46,5,0)</f>
        <v>#N/A</v>
      </c>
      <c r="H504" s="123" t="e">
        <f>VLOOKUP('Verwarming Tabula 2zone Ref1'!D504,'Gebouwgegevens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294" t="s">
        <v>197</v>
      </c>
      <c r="B518" s="294"/>
      <c r="C518" s="294"/>
      <c r="D518" s="126" t="s">
        <v>225</v>
      </c>
      <c r="E518" s="271"/>
      <c r="F518" s="271"/>
      <c r="G518" s="271"/>
      <c r="H518" s="271"/>
      <c r="I518" s="271"/>
      <c r="J518" s="271"/>
      <c r="K518" s="271"/>
      <c r="L518" s="271"/>
      <c r="M518" s="271"/>
      <c r="N518" s="271"/>
      <c r="O518" s="271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294" t="s">
        <v>213</v>
      </c>
      <c r="B536" s="294"/>
      <c r="C536" s="294"/>
      <c r="D536" s="294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71"/>
      <c r="C550" s="271"/>
      <c r="D550" s="271"/>
      <c r="E550" s="271"/>
      <c r="F550" s="271"/>
      <c r="G550" s="271"/>
      <c r="H550" s="271"/>
      <c r="I550" s="271"/>
      <c r="J550" s="271"/>
      <c r="K550" s="271"/>
      <c r="L550" s="271"/>
      <c r="M550" s="271"/>
      <c r="N550" s="271"/>
      <c r="O550" s="271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294" t="s">
        <v>171</v>
      </c>
      <c r="B552" s="294"/>
      <c r="C552" s="294"/>
      <c r="D552" s="294"/>
      <c r="E552" s="271"/>
      <c r="F552" s="271"/>
      <c r="G552" s="271"/>
      <c r="H552" s="271"/>
      <c r="I552" s="271"/>
      <c r="J552" s="271"/>
      <c r="K552" s="271"/>
      <c r="L552" s="271"/>
      <c r="M552" s="271"/>
      <c r="N552" s="271"/>
      <c r="O552" s="271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Ref1'!C581,'Gebouwgegevens Allacker'!$A$35:$F$46,5,0)</f>
        <v>#N/A</v>
      </c>
      <c r="H581" s="123" t="e">
        <f>VLOOKUP('Verwarming Tabula 2zone Ref1'!D581,'Gebouwgegevens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Ref1'!C582,'Gebouwgegevens Allacker'!$A$35:$F$46,5,0)</f>
        <v>#N/A</v>
      </c>
      <c r="H582" s="123" t="e">
        <f>VLOOKUP('Verwarming Tabula 2zone Ref1'!D582,'Gebouwgegevens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Ref1'!C583,'Gebouwgegevens Allacker'!$A$35:$F$46,5,0)</f>
        <v>#N/A</v>
      </c>
      <c r="H583" s="123" t="e">
        <f>VLOOKUP('Verwarming Tabula 2zone Ref1'!D583,'Gebouwgegevens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294" t="s">
        <v>197</v>
      </c>
      <c r="B597" s="294"/>
      <c r="C597" s="294"/>
      <c r="D597" s="126" t="s">
        <v>225</v>
      </c>
      <c r="E597" s="271"/>
      <c r="F597" s="271"/>
      <c r="G597" s="271"/>
      <c r="H597" s="271"/>
      <c r="I597" s="271"/>
      <c r="J597" s="271"/>
      <c r="K597" s="271"/>
      <c r="L597" s="271"/>
      <c r="M597" s="271"/>
      <c r="N597" s="271"/>
      <c r="O597" s="271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294" t="s">
        <v>213</v>
      </c>
      <c r="B615" s="294"/>
      <c r="C615" s="294"/>
      <c r="D615" s="294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2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71"/>
      <c r="C629" s="271"/>
      <c r="D629" s="271"/>
      <c r="E629" s="271"/>
      <c r="F629" s="271"/>
      <c r="G629" s="271"/>
      <c r="H629" s="271"/>
      <c r="I629" s="271"/>
      <c r="J629" s="271"/>
      <c r="K629" s="271"/>
      <c r="L629" s="271"/>
      <c r="M629" s="271"/>
      <c r="N629" s="271"/>
      <c r="O629" s="271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294" t="s">
        <v>171</v>
      </c>
      <c r="B631" s="294"/>
      <c r="C631" s="294"/>
      <c r="D631" s="294"/>
      <c r="E631" s="271"/>
      <c r="F631" s="271"/>
      <c r="G631" s="271"/>
      <c r="H631" s="271"/>
      <c r="I631" s="271"/>
      <c r="J631" s="271"/>
      <c r="K631" s="271"/>
      <c r="L631" s="271"/>
      <c r="M631" s="271"/>
      <c r="N631" s="271"/>
      <c r="O631" s="271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Ref1'!C660,'Gebouwgegevens Allacker'!$A$35:$F$46,5,0)</f>
        <v>#N/A</v>
      </c>
      <c r="H660" s="123" t="e">
        <f>VLOOKUP('Verwarming Tabula 2zone Ref1'!D660,'Gebouwgegevens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Ref1'!C661,'Gebouwgegevens Allacker'!$A$35:$F$46,5,0)</f>
        <v>#N/A</v>
      </c>
      <c r="H661" s="123" t="e">
        <f>VLOOKUP('Verwarming Tabula 2zone Ref1'!D661,'Gebouwgegevens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294" t="s">
        <v>197</v>
      </c>
      <c r="B676" s="294"/>
      <c r="C676" s="294"/>
      <c r="D676" s="126" t="s">
        <v>225</v>
      </c>
      <c r="E676" s="271"/>
      <c r="F676" s="271"/>
      <c r="G676" s="271"/>
      <c r="H676" s="271"/>
      <c r="I676" s="271"/>
      <c r="J676" s="271"/>
      <c r="K676" s="271"/>
      <c r="L676" s="271"/>
      <c r="M676" s="271"/>
      <c r="N676" s="271"/>
      <c r="O676" s="271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294" t="s">
        <v>213</v>
      </c>
      <c r="B694" s="294"/>
      <c r="C694" s="294"/>
      <c r="D694" s="294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2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71"/>
      <c r="C708" s="271"/>
      <c r="D708" s="271"/>
      <c r="E708" s="271"/>
      <c r="F708" s="271"/>
      <c r="G708" s="271"/>
      <c r="H708" s="271"/>
      <c r="I708" s="271"/>
      <c r="J708" s="271"/>
      <c r="K708" s="271"/>
      <c r="L708" s="271"/>
      <c r="M708" s="271"/>
      <c r="N708" s="271"/>
      <c r="O708" s="271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294" t="s">
        <v>171</v>
      </c>
      <c r="B710" s="294"/>
      <c r="C710" s="294"/>
      <c r="D710" s="294"/>
      <c r="E710" s="271"/>
      <c r="F710" s="271"/>
      <c r="G710" s="271"/>
      <c r="H710" s="271"/>
      <c r="I710" s="271"/>
      <c r="J710" s="271"/>
      <c r="K710" s="271"/>
      <c r="L710" s="271"/>
      <c r="M710" s="271"/>
      <c r="N710" s="271"/>
      <c r="O710" s="271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Ref1'!C739,'Gebouwgegevens Allacker'!$A$35:$F$46,5,0)</f>
        <v>#N/A</v>
      </c>
      <c r="H739" s="123" t="e">
        <f>VLOOKUP('Verwarming Tabula 2zone Ref1'!D739,'Gebouwgegevens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Ref1'!C740,'Gebouwgegevens Allacker'!$A$35:$F$46,5,0)</f>
        <v>#N/A</v>
      </c>
      <c r="H740" s="123" t="e">
        <f>VLOOKUP('Verwarming Tabula 2zone Ref1'!D740,'Gebouwgegevens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Ref1'!C741,'Gebouwgegevens Allacker'!$A$35:$F$46,5,0)</f>
        <v>#N/A</v>
      </c>
      <c r="H741" s="123" t="e">
        <f>VLOOKUP('Verwarming Tabula 2zone Ref1'!D741,'Gebouwgegevens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Ref1'!C742,'Gebouwgegevens Allacker'!$A$35:$F$46,5,0)</f>
        <v>#N/A</v>
      </c>
      <c r="H742" s="123" t="e">
        <f>VLOOKUP('Verwarming Tabula 2zone Ref1'!D742,'Gebouwgegevens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Ref1'!C743,'Gebouwgegevens Allacker'!$A$35:$F$46,5,0)</f>
        <v>#N/A</v>
      </c>
      <c r="H743" s="123" t="e">
        <f>VLOOKUP('Verwarming Tabula 2zone Ref1'!D743,'Gebouwgegevens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Ref1'!C744,'Gebouwgegevens Allacker'!$A$35:$F$46,5,0)</f>
        <v>#N/A</v>
      </c>
      <c r="H744" s="123" t="e">
        <f>VLOOKUP('Verwarming Tabula 2zone Ref1'!D744,'Gebouwgegevens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Ref1'!C745,'Gebouwgegevens Allacker'!$A$35:$F$46,5,0)</f>
        <v>#N/A</v>
      </c>
      <c r="H745" s="123" t="e">
        <f>VLOOKUP('Verwarming Tabula 2zone Ref1'!D745,'Gebouwgegevens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Ref1'!C746,'Gebouwgegevens Allacker'!$A$35:$F$46,5,0)</f>
        <v>#N/A</v>
      </c>
      <c r="H746" s="123" t="e">
        <f>VLOOKUP('Verwarming Tabula 2zone Ref1'!D746,'Gebouwgegevens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Ref1'!C747,'Gebouwgegevens Allacker'!$A$35:$F$46,5,0)</f>
        <v>#N/A</v>
      </c>
      <c r="H747" s="123" t="e">
        <f>VLOOKUP('Verwarming Tabula 2zone Ref1'!D747,'Gebouwgegevens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Ref1'!C748,'Gebouwgegevens Allacker'!$A$35:$F$46,5,0)</f>
        <v>#N/A</v>
      </c>
      <c r="H748" s="123" t="e">
        <f>VLOOKUP('Verwarming Tabula 2zone Ref1'!D748,'Gebouwgegevens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Ref1'!C749,'Gebouwgegevens Allacker'!$A$35:$F$46,5,0)</f>
        <v>#N/A</v>
      </c>
      <c r="H749" s="123" t="e">
        <f>VLOOKUP('Verwarming Tabula 2zone Ref1'!D749,'Gebouwgegevens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Ref1'!C750,'Gebouwgegevens Allacker'!$A$35:$F$46,5,0)</f>
        <v>#N/A</v>
      </c>
      <c r="H750" s="123" t="e">
        <f>VLOOKUP('Verwarming Tabula 2zone Ref1'!D750,'Gebouwgegevens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294" t="s">
        <v>197</v>
      </c>
      <c r="B755" s="294"/>
      <c r="C755" s="294"/>
      <c r="D755" s="126" t="s">
        <v>225</v>
      </c>
      <c r="E755" s="271"/>
      <c r="F755" s="271"/>
      <c r="G755" s="271"/>
      <c r="H755" s="271"/>
      <c r="I755" s="271"/>
      <c r="J755" s="271"/>
      <c r="K755" s="271"/>
      <c r="L755" s="271"/>
      <c r="M755" s="271"/>
      <c r="N755" s="271"/>
      <c r="O755" s="271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294" t="s">
        <v>213</v>
      </c>
      <c r="B773" s="294"/>
      <c r="C773" s="294"/>
      <c r="D773" s="294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2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MK784"/>
  <sheetViews>
    <sheetView zoomScale="90" zoomScaleNormal="90" workbookViewId="0">
      <selection activeCell="W7" sqref="W7:W8"/>
    </sheetView>
  </sheetViews>
  <sheetFormatPr defaultRowHeight="15" x14ac:dyDescent="0.25"/>
  <cols>
    <col min="1" max="1" width="9.140625" style="152"/>
    <col min="2" max="2" width="16.7109375" style="152" bestFit="1" customWidth="1"/>
    <col min="3" max="1025" width="9.140625" style="152"/>
    <col min="1026" max="16384" width="9.140625" style="81"/>
  </cols>
  <sheetData>
    <row r="1" spans="1:25" ht="20.25" customHeight="1" x14ac:dyDescent="0.25">
      <c r="A1" s="292" t="s">
        <v>164</v>
      </c>
      <c r="B1" s="292"/>
      <c r="C1" s="292"/>
      <c r="D1" s="292"/>
      <c r="E1" s="292"/>
      <c r="F1" s="292"/>
      <c r="G1" s="292"/>
      <c r="H1" s="292"/>
      <c r="I1" s="292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71"/>
      <c r="W4" s="271"/>
      <c r="X4" s="271"/>
      <c r="Y4" s="95"/>
    </row>
    <row r="5" spans="1:25" ht="18" customHeight="1" thickTop="1" thickBot="1" x14ac:dyDescent="0.3">
      <c r="A5" s="94"/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95"/>
      <c r="U5" s="96"/>
      <c r="V5" s="289" t="s">
        <v>168</v>
      </c>
      <c r="W5" s="289"/>
      <c r="X5" s="289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71"/>
      <c r="Y6" s="97"/>
    </row>
    <row r="7" spans="1:25" ht="16.5" customHeight="1" thickTop="1" x14ac:dyDescent="0.25">
      <c r="A7" s="294" t="s">
        <v>171</v>
      </c>
      <c r="B7" s="294"/>
      <c r="C7" s="294"/>
      <c r="D7" s="294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95"/>
      <c r="U7" s="96"/>
      <c r="V7" s="102">
        <f>B6</f>
        <v>1</v>
      </c>
      <c r="W7" s="103">
        <f>B73</f>
        <v>3199.7322737440281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3095.4476560388539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Ref2'!K6</f>
        <v>W1</v>
      </c>
      <c r="C12" s="108">
        <f>VLOOKUP(B12,'Tabula Ref2'!$K$5:$R$83,3,0)</f>
        <v>1</v>
      </c>
      <c r="D12" s="108" t="str">
        <f>VLOOKUP(B12,'Tabula Ref2'!$K$5:$R$83,4,0)</f>
        <v>Wall External</v>
      </c>
      <c r="E12" s="108">
        <f>VLOOKUP(B12,'Tabula Ref2'!$K$5:$R$83,5,0)</f>
        <v>19.486299247454621</v>
      </c>
      <c r="F12" s="108" t="str">
        <f>VLOOKUP(B12,'Tabula Ref2'!$K$5:$R$83,6,0)</f>
        <v>front</v>
      </c>
      <c r="G12" s="108">
        <f>VLOOKUP(B12,'Tabula Ref2'!$K$5:$R$83,7,0)</f>
        <v>0.18334883383860953</v>
      </c>
      <c r="H12" s="109">
        <f>VLOOKUP(B12,'Tabula Ref2'!$K$5:$R$83,8,0)</f>
        <v>3.5727902428509792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Ref2'!K7</f>
        <v>W2</v>
      </c>
      <c r="C13" s="108">
        <f>VLOOKUP(B13,'Tabula Ref2'!$K$5:$R$83,3,0)</f>
        <v>1</v>
      </c>
      <c r="D13" s="108" t="str">
        <f>VLOOKUP(B13,'Tabula Ref2'!$K$5:$R$83,4,0)</f>
        <v>Wall External</v>
      </c>
      <c r="E13" s="108">
        <f>VLOOKUP(B13,'Tabula Ref2'!$K$5:$R$83,5,0)</f>
        <v>0</v>
      </c>
      <c r="F13" s="108" t="str">
        <f>VLOOKUP(B13,'Tabula Ref2'!$K$5:$R$83,6,0)</f>
        <v>right</v>
      </c>
      <c r="G13" s="108">
        <f>VLOOKUP(B13,'Tabula Ref2'!$K$5:$R$83,7,0)</f>
        <v>0.18334883383860953</v>
      </c>
      <c r="H13" s="109">
        <f>VLOOKUP(B13,'Tabula Ref2'!$K$5:$R$83,8,0)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Ref2'!K8</f>
        <v>W3</v>
      </c>
      <c r="C14" s="108">
        <f>VLOOKUP(B14,'Tabula Ref2'!$K$5:$R$83,3,0)</f>
        <v>1</v>
      </c>
      <c r="D14" s="108" t="str">
        <f>VLOOKUP(B14,'Tabula Ref2'!$K$5:$R$83,4,0)</f>
        <v>Wall External</v>
      </c>
      <c r="E14" s="108">
        <f>VLOOKUP(B14,'Tabula Ref2'!$K$5:$R$83,5,0)</f>
        <v>19.486299247454621</v>
      </c>
      <c r="F14" s="108" t="str">
        <f>VLOOKUP(B14,'Tabula Ref2'!$K$5:$R$83,6,0)</f>
        <v>back</v>
      </c>
      <c r="G14" s="108">
        <f>VLOOKUP(B14,'Tabula Ref2'!$K$5:$R$83,7,0)</f>
        <v>0.18334883383860953</v>
      </c>
      <c r="H14" s="109">
        <f>VLOOKUP(B14,'Tabula Ref2'!$K$5:$R$83,8,0)</f>
        <v>3.5727902428509792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Ref2'!K9</f>
        <v>W4</v>
      </c>
      <c r="C15" s="108">
        <f>VLOOKUP(B15,'Tabula Ref2'!$K$5:$R$83,3,0)</f>
        <v>1</v>
      </c>
      <c r="D15" s="108" t="str">
        <f>VLOOKUP(B15,'Tabula Ref2'!$K$5:$R$83,4,0)</f>
        <v>Wall External</v>
      </c>
      <c r="E15" s="108">
        <f>VLOOKUP(B15,'Tabula Ref2'!$K$5:$R$83,5,0)</f>
        <v>0</v>
      </c>
      <c r="F15" s="108" t="str">
        <f>VLOOKUP(B15,'Tabula Ref2'!$K$5:$R$83,6,0)</f>
        <v>left</v>
      </c>
      <c r="G15" s="108">
        <f>VLOOKUP(B15,'Tabula Ref2'!$K$5:$R$83,7,0)</f>
        <v>0.18334883383860953</v>
      </c>
      <c r="H15" s="109">
        <f>VLOOKUP(B15,'Tabula Ref2'!$K$5:$R$83,8,0)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Ref2'!K10</f>
        <v>W5</v>
      </c>
      <c r="C16" s="108">
        <f>VLOOKUP(B16,'Tabula Ref2'!$K$5:$R$83,3,0)</f>
        <v>1</v>
      </c>
      <c r="D16" s="108" t="str">
        <f>VLOOKUP(B16,'Tabula Ref2'!$K$5:$R$83,4,0)</f>
        <v>Window</v>
      </c>
      <c r="E16" s="108">
        <f>VLOOKUP(B16,'Tabula Ref2'!$K$5:$R$83,5,0)</f>
        <v>4.2</v>
      </c>
      <c r="F16" s="108" t="str">
        <f>VLOOKUP(B16,'Tabula Ref2'!$K$5:$R$83,6,0)</f>
        <v>front</v>
      </c>
      <c r="G16" s="108">
        <f>VLOOKUP(B16,'Tabula Ref2'!$K$5:$R$83,7,0)</f>
        <v>1.1000000000000001</v>
      </c>
      <c r="H16" s="109">
        <f>VLOOKUP(B16,'Tabula Ref2'!$K$5:$R$83,8,0)</f>
        <v>4.620000000000001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Ref2'!K11</f>
        <v>W6</v>
      </c>
      <c r="C17" s="108">
        <f>VLOOKUP(B17,'Tabula Ref2'!$K$5:$R$83,3,0)</f>
        <v>1</v>
      </c>
      <c r="D17" s="108" t="str">
        <f>VLOOKUP(B17,'Tabula Ref2'!$K$5:$R$83,4,0)</f>
        <v>Window</v>
      </c>
      <c r="E17" s="108">
        <f>VLOOKUP(B17,'Tabula Ref2'!$K$5:$R$83,5,0)</f>
        <v>3.95</v>
      </c>
      <c r="F17" s="108" t="str">
        <f>VLOOKUP(B17,'Tabula Ref2'!$K$5:$R$83,6,0)</f>
        <v>right</v>
      </c>
      <c r="G17" s="108">
        <f>VLOOKUP(B17,'Tabula Ref2'!$K$5:$R$83,7,0)</f>
        <v>1.1000000000000001</v>
      </c>
      <c r="H17" s="109">
        <f>VLOOKUP(B17,'Tabula Ref2'!$K$5:$R$83,8,0)</f>
        <v>4.3450000000000006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Ref2'!K12</f>
        <v>W7</v>
      </c>
      <c r="C18" s="108">
        <f>VLOOKUP(B18,'Tabula Ref2'!$K$5:$R$83,3,0)</f>
        <v>1</v>
      </c>
      <c r="D18" s="108" t="str">
        <f>VLOOKUP(B18,'Tabula Ref2'!$K$5:$R$83,4,0)</f>
        <v>Window</v>
      </c>
      <c r="E18" s="108">
        <f>VLOOKUP(B18,'Tabula Ref2'!$K$5:$R$83,5,0)</f>
        <v>4.05</v>
      </c>
      <c r="F18" s="108" t="str">
        <f>VLOOKUP(B18,'Tabula Ref2'!$K$5:$R$83,6,0)</f>
        <v>back</v>
      </c>
      <c r="G18" s="108">
        <f>VLOOKUP(B18,'Tabula Ref2'!$K$5:$R$83,7,0)</f>
        <v>1.1000000000000001</v>
      </c>
      <c r="H18" s="109">
        <f>VLOOKUP(B18,'Tabula Ref2'!$K$5:$R$83,8,0)</f>
        <v>4.4550000000000001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6295.179929782882</v>
      </c>
      <c r="X18" s="271" t="s">
        <v>172</v>
      </c>
      <c r="Y18" s="97"/>
    </row>
    <row r="19" spans="1:25" ht="16.5" customHeight="1" thickTop="1" thickBot="1" x14ac:dyDescent="0.3">
      <c r="A19" s="96"/>
      <c r="B19" s="107" t="str">
        <f>'Tabula Ref2'!K13</f>
        <v>W8</v>
      </c>
      <c r="C19" s="108">
        <f>VLOOKUP(B19,'Tabula Ref2'!$K$5:$R$83,3,0)</f>
        <v>1</v>
      </c>
      <c r="D19" s="108" t="str">
        <f>VLOOKUP(B19,'Tabula Ref2'!$K$5:$R$83,4,0)</f>
        <v>Window</v>
      </c>
      <c r="E19" s="108">
        <f>VLOOKUP(B19,'Tabula Ref2'!$K$5:$R$83,5,0)</f>
        <v>3.55</v>
      </c>
      <c r="F19" s="108" t="str">
        <f>VLOOKUP(B19,'Tabula Ref2'!$K$5:$R$83,6,0)</f>
        <v>left</v>
      </c>
      <c r="G19" s="108">
        <f>VLOOKUP(B19,'Tabula Ref2'!$K$5:$R$83,7,0)</f>
        <v>1.1000000000000001</v>
      </c>
      <c r="H19" s="109">
        <f>VLOOKUP(B19,'Tabula Ref2'!$K$5:$R$83,8,0)</f>
        <v>3.9050000000000002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Ref2'!$K$5:$R$83,3,0)</f>
        <v>1</v>
      </c>
      <c r="D21" s="108" t="str">
        <f>VLOOKUP(B21,'Tabula Ref2'!$K$5:$R$83,4,0)</f>
        <v>Roof</v>
      </c>
      <c r="E21" s="108">
        <f>VLOOKUP(B21,'Tabula Ref2'!$K$5:$R$83,5,0)</f>
        <v>0</v>
      </c>
      <c r="F21" s="108">
        <f>VLOOKUP(B21,'Tabula Ref2'!$K$5:$R$83,6,0)</f>
        <v>0</v>
      </c>
      <c r="G21" s="108">
        <f>VLOOKUP(B21,'Tabula Ref2'!$K$5:$R$83,7,0)</f>
        <v>0.14117683417924493</v>
      </c>
      <c r="H21" s="109">
        <f>VLOOKUP(B21,'Tabula Ref2'!$K$5:$R$83,8,0)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3519.7055011184311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Ref2'!$K$5:$R$83,3,0)</f>
        <v>1</v>
      </c>
      <c r="D22" s="108" t="str">
        <f>VLOOKUP(B22,'Tabula Ref2'!$K$5:$R$83,4,0)</f>
        <v>Door</v>
      </c>
      <c r="E22" s="108">
        <f>VLOOKUP(B22,'Tabula Ref2'!$K$5:$R$83,5,0)</f>
        <v>9.5</v>
      </c>
      <c r="F22" s="108">
        <f>VLOOKUP(B22,'Tabula Ref2'!$K$5:$R$83,6,0)</f>
        <v>0</v>
      </c>
      <c r="G22" s="108">
        <f>VLOOKUP(B22,'Tabula Ref2'!$K$5:$R$83,7,0)</f>
        <v>4</v>
      </c>
      <c r="H22" s="109">
        <f>VLOOKUP(B22,'Tabula Ref2'!$K$5:$R$83,8,0)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Ref2'!$K$5:$R$83,3,0)</f>
        <v>1</v>
      </c>
      <c r="D28" s="118" t="str">
        <f>VLOOKUP(B28,'Tabula Ref2'!$K$5:$R$83,4,0)</f>
        <v>Floor</v>
      </c>
      <c r="E28" s="118">
        <f>VLOOKUP(B28,'Tabula Ref2'!$K$5:$R$83,5,0)</f>
        <v>75.699999999999989</v>
      </c>
      <c r="F28" s="118">
        <f>VLOOKUP(B28,'Tabula Ref2'!$K$5:$R$83,7,0)</f>
        <v>0.17975604536700196</v>
      </c>
      <c r="G28" s="119">
        <f>VLOOKUP(B28,'Tabula Ref2'!$K$5:$R$83,8,0)</f>
        <v>13.607532634282046</v>
      </c>
      <c r="H28" s="119">
        <f>N28/F28*1.45*(21-12)/(29)</f>
        <v>0.37061847527736053</v>
      </c>
      <c r="I28" s="118">
        <f>'Tabula Ref2'!O14</f>
        <v>75.699999999999989</v>
      </c>
      <c r="J28" s="117">
        <f>SQRT(I28)*4</f>
        <v>34.802298774649927</v>
      </c>
      <c r="K28" s="117">
        <f>SUM('Tabula Ref2'!Z16:Z19)</f>
        <v>0.39500000000000002</v>
      </c>
      <c r="L28" s="120">
        <f>I28/(0.5*J28)</f>
        <v>4.3502873468312409</v>
      </c>
      <c r="M28" s="120">
        <f>K28+2*(1/F28)</f>
        <v>11.521190476190474</v>
      </c>
      <c r="N28" s="121">
        <f>IF(M28&lt;L28,2*2/(PI()*L28+M28)*LN(PI()*L28/M28+1),2/(0.457*L28+M28))</f>
        <v>0.14804646990179182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2">
        <f>1.1*W18</f>
        <v>6924.697922761171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Ref2'!$K$5:$R$83,2,0)=B$6,VLOOKUP(B33,'Tabula Ref2'!$K$5:$R$83,2,0),VLOOKUP(B33,'Tabula Ref2'!$K$5:$R$83,3,0))</f>
        <v>1</v>
      </c>
      <c r="D33" s="123">
        <f>IF(VLOOKUP(B33,'Tabula Ref2'!$K$5:$R$83,2,0)=B$6,VLOOKUP(B33,'Tabula Ref2'!$K$5:$R$83,3,0),VLOOKUP(B33,'Tabula Ref2'!$K$5:$R$83,2,0))</f>
        <v>2</v>
      </c>
      <c r="E33" s="123" t="str">
        <f>VLOOKUP(B33,'Tabula Ref2'!$K$5:$R$83,4,0)</f>
        <v>Floor internal</v>
      </c>
      <c r="F33" s="123">
        <f>VLOOKUP(B33,'Tabula Ref2'!$K$5:$R$83,5,0)</f>
        <v>75.699999999999989</v>
      </c>
      <c r="G33" s="123">
        <f>VLOOKUP('Verwarming Tabula 2zone Ref2'!C33,'Tabula Ref2'!$B$34:$G$45,5,0)</f>
        <v>21</v>
      </c>
      <c r="H33" s="123">
        <f>VLOOKUP('Verwarming Tabula 2zone Ref2'!D33,'Tabula Ref2'!$B$34:$G$45,5,0)</f>
        <v>18</v>
      </c>
      <c r="I33" s="123">
        <f>VLOOKUP(B33,'Tabula Ref2'!$K$5:$R$83,7,0)</f>
        <v>1.2141280353200883</v>
      </c>
      <c r="J33" s="119">
        <f>VLOOKUP(B33,'Tabula Ref2'!$K$5:$R$83,8,0)</f>
        <v>91.909492273730663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Ref2'!$K$5:$R$83,2,0)=B$6,VLOOKUP(B34,'Tabula Ref2'!$K$5:$R$83,2,0),VLOOKUP(B34,'Tabula Ref2'!$K$5:$R$83,3,0))</f>
        <v>1</v>
      </c>
      <c r="D34" s="123">
        <f>IF(VLOOKUP(B34,'Tabula Ref2'!$K$5:$R$83,2,0)=B$6,VLOOKUP(B34,'Tabula Ref2'!$K$5:$R$83,3,0),VLOOKUP(B34,'Tabula Ref2'!$K$5:$R$83,2,0))</f>
        <v>1</v>
      </c>
      <c r="E34" s="123" t="str">
        <f>VLOOKUP(B34,'Tabula Ref2'!$K$5:$R$83,4,0)</f>
        <v>Wall internal</v>
      </c>
      <c r="F34" s="123">
        <f>VLOOKUP(B34,'Tabula Ref2'!$K$5:$R$83,5,0)</f>
        <v>68.671375389958385</v>
      </c>
      <c r="G34" s="123">
        <f>VLOOKUP('Verwarming Tabula 2zone Ref2'!C34,'Tabula Ref2'!$B$34:$G$45,5,0)</f>
        <v>21</v>
      </c>
      <c r="H34" s="123">
        <f>VLOOKUP('Verwarming Tabula 2zone Ref2'!D34,'Tabula Ref2'!$B$34:$G$45,5,0)</f>
        <v>21</v>
      </c>
      <c r="I34" s="123">
        <f>VLOOKUP(B34,'Tabula Ref2'!$K$5:$R$83,7,0)</f>
        <v>1.9926199261992623</v>
      </c>
      <c r="J34" s="119">
        <f>VLOOKUP(B34,'Tabula Ref2'!$K$5:$R$83,8,0)</f>
        <v>136.8359509615407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77.021661993982079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2233.6281978254801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294" t="s">
        <v>197</v>
      </c>
      <c r="B45" s="294"/>
      <c r="C45" s="294"/>
      <c r="D45" s="126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data'!F33</f>
        <v>1.2996941896024465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Ref2'!C34</f>
        <v>13.529825143868967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Ref2'!H34</f>
        <v>75.699999999999989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13.529825143868967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6.5197064137146751E-2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4.6001405489154488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133.40407591854802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294" t="s">
        <v>213</v>
      </c>
      <c r="B63" s="294"/>
      <c r="C63" s="294"/>
      <c r="D63" s="294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Ref2'!C7</f>
        <v>75.699999999999989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Ref2'!$B$4)</f>
        <v>28.713793103448271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832.69999999999982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110.33559564634579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3199.7322737440281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294" t="s">
        <v>171</v>
      </c>
      <c r="B79" s="294"/>
      <c r="C79" s="294"/>
      <c r="D79" s="294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Ref2'!$K$5:$R$83,3,0)</f>
        <v>2</v>
      </c>
      <c r="D84" s="108" t="str">
        <f>VLOOKUP(B84,'Tabula Ref2'!$K$5:$R$83,4,0)</f>
        <v>Wall External</v>
      </c>
      <c r="E84" s="108">
        <f>VLOOKUP(B84,'Tabula Ref2'!$K$5:$R$83,5,0)</f>
        <v>38.663700752545374</v>
      </c>
      <c r="F84" s="108" t="str">
        <f>VLOOKUP(B84,'Tabula Ref2'!$K$5:$R$83,6,0)</f>
        <v>front</v>
      </c>
      <c r="G84" s="108">
        <f>VLOOKUP(B84,'Tabula Ref2'!$K$5:$R$83,7,0)</f>
        <v>0.18334883383860953</v>
      </c>
      <c r="H84" s="109">
        <f>VLOOKUP(B84,'Tabula Ref2'!$K$5:$R$83,8,0)</f>
        <v>7.0889444448641639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Ref2'!$K$5:$R$83,3,0)</f>
        <v>2</v>
      </c>
      <c r="D85" s="108" t="str">
        <f>VLOOKUP(B85,'Tabula Ref2'!$K$5:$R$83,4,0)</f>
        <v>Wall External</v>
      </c>
      <c r="E85" s="108">
        <f>VLOOKUP(B85,'Tabula Ref2'!$K$5:$R$83,5,0)</f>
        <v>0</v>
      </c>
      <c r="F85" s="108" t="str">
        <f>VLOOKUP(B85,'Tabula Ref2'!$K$5:$R$83,6,0)</f>
        <v>right</v>
      </c>
      <c r="G85" s="108">
        <f>VLOOKUP(B85,'Tabula Ref2'!$K$5:$R$83,7,0)</f>
        <v>0.18334883383860953</v>
      </c>
      <c r="H85" s="109">
        <f>VLOOKUP(B85,'Tabula Ref2'!$K$5:$R$83,8,0)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Ref2'!$K$5:$R$83,3,0)</f>
        <v>2</v>
      </c>
      <c r="D86" s="108" t="str">
        <f>VLOOKUP(B86,'Tabula Ref2'!$K$5:$R$83,4,0)</f>
        <v>Wall External</v>
      </c>
      <c r="E86" s="108">
        <f>VLOOKUP(B86,'Tabula Ref2'!$K$5:$R$83,5,0)</f>
        <v>38.663700752545374</v>
      </c>
      <c r="F86" s="108" t="str">
        <f>VLOOKUP(B86,'Tabula Ref2'!$K$5:$R$83,6,0)</f>
        <v>back</v>
      </c>
      <c r="G86" s="108">
        <f>VLOOKUP(B86,'Tabula Ref2'!$K$5:$R$83,7,0)</f>
        <v>0.18334883383860953</v>
      </c>
      <c r="H86" s="109">
        <f>VLOOKUP(B86,'Tabula Ref2'!$K$5:$R$83,8,0)</f>
        <v>7.0889444448641639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Ref2'!$K$5:$R$83,3,0)</f>
        <v>2</v>
      </c>
      <c r="D87" s="108" t="str">
        <f>VLOOKUP(B87,'Tabula Ref2'!$K$5:$R$83,4,0)</f>
        <v>Wall External</v>
      </c>
      <c r="E87" s="108">
        <f>VLOOKUP(B87,'Tabula Ref2'!$K$5:$R$83,5,0)</f>
        <v>0</v>
      </c>
      <c r="F87" s="108" t="str">
        <f>VLOOKUP(B87,'Tabula Ref2'!$K$5:$R$83,6,0)</f>
        <v>left</v>
      </c>
      <c r="G87" s="108">
        <f>VLOOKUP(B87,'Tabula Ref2'!$K$5:$R$83,7,0)</f>
        <v>0.18334883383860953</v>
      </c>
      <c r="H87" s="109">
        <f>VLOOKUP(B87,'Tabula Ref2'!$K$5:$R$83,8,0)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Ref2'!$K$5:$R$83,3,0)</f>
        <v>2</v>
      </c>
      <c r="D88" s="108" t="str">
        <f>VLOOKUP(B88,'Tabula Ref2'!$K$5:$R$83,4,0)</f>
        <v>Window</v>
      </c>
      <c r="E88" s="108">
        <f>VLOOKUP(B88,'Tabula Ref2'!$K$5:$R$83,5,0)</f>
        <v>4.2</v>
      </c>
      <c r="F88" s="108" t="str">
        <f>VLOOKUP(B88,'Tabula Ref2'!$K$5:$R$83,6,0)</f>
        <v>front</v>
      </c>
      <c r="G88" s="108">
        <f>VLOOKUP(B88,'Tabula Ref2'!$K$5:$R$83,7,0)</f>
        <v>1.1000000000000001</v>
      </c>
      <c r="H88" s="109">
        <f>VLOOKUP(B88,'Tabula Ref2'!$K$5:$R$83,8,0)</f>
        <v>4.620000000000001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Ref2'!$K$5:$R$83,3,0)</f>
        <v>2</v>
      </c>
      <c r="D89" s="108" t="str">
        <f>VLOOKUP(B89,'Tabula Ref2'!$K$5:$R$83,4,0)</f>
        <v>Window</v>
      </c>
      <c r="E89" s="108">
        <f>VLOOKUP(B89,'Tabula Ref2'!$K$5:$R$83,5,0)</f>
        <v>3.95</v>
      </c>
      <c r="F89" s="108" t="str">
        <f>VLOOKUP(B89,'Tabula Ref2'!$K$5:$R$83,6,0)</f>
        <v>right</v>
      </c>
      <c r="G89" s="108">
        <f>VLOOKUP(B89,'Tabula Ref2'!$K$5:$R$83,7,0)</f>
        <v>1.1000000000000001</v>
      </c>
      <c r="H89" s="109">
        <f>VLOOKUP(B89,'Tabula Ref2'!$K$5:$R$83,8,0)</f>
        <v>4.3450000000000006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Ref2'!$K$5:$R$83,3,0)</f>
        <v>2</v>
      </c>
      <c r="D90" s="108" t="str">
        <f>VLOOKUP(B90,'Tabula Ref2'!$K$5:$R$83,4,0)</f>
        <v>Window</v>
      </c>
      <c r="E90" s="108">
        <f>VLOOKUP(B90,'Tabula Ref2'!$K$5:$R$83,5,0)</f>
        <v>4.05</v>
      </c>
      <c r="F90" s="108" t="str">
        <f>VLOOKUP(B90,'Tabula Ref2'!$K$5:$R$83,6,0)</f>
        <v>back</v>
      </c>
      <c r="G90" s="108">
        <f>VLOOKUP(B90,'Tabula Ref2'!$K$5:$R$83,7,0)</f>
        <v>1.1000000000000001</v>
      </c>
      <c r="H90" s="109">
        <f>VLOOKUP(B90,'Tabula Ref2'!$K$5:$R$83,8,0)</f>
        <v>4.4550000000000001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Ref2'!$K$5:$R$83,3,0)</f>
        <v>2</v>
      </c>
      <c r="D91" s="108" t="str">
        <f>VLOOKUP(B91,'Tabula Ref2'!$K$5:$R$83,4,0)</f>
        <v>Window</v>
      </c>
      <c r="E91" s="108">
        <f>VLOOKUP(B91,'Tabula Ref2'!$K$5:$R$83,5,0)</f>
        <v>3.55</v>
      </c>
      <c r="F91" s="108" t="str">
        <f>VLOOKUP(B91,'Tabula Ref2'!$K$5:$R$83,6,0)</f>
        <v>left</v>
      </c>
      <c r="G91" s="108">
        <f>VLOOKUP(B91,'Tabula Ref2'!$K$5:$R$83,7,0)</f>
        <v>1.1000000000000001</v>
      </c>
      <c r="H91" s="109">
        <f>VLOOKUP(B91,'Tabula Ref2'!$K$5:$R$83,8,0)</f>
        <v>3.9050000000000002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Ref2'!$K$5:$R$83,3,0)</f>
        <v>2</v>
      </c>
      <c r="D92" s="108" t="str">
        <f>VLOOKUP(B92,'Tabula Ref2'!$K$5:$R$83,4,0)</f>
        <v>Roof</v>
      </c>
      <c r="E92" s="108">
        <f>VLOOKUP(B92,'Tabula Ref2'!$K$5:$R$83,5,0)</f>
        <v>90</v>
      </c>
      <c r="F92" s="108" t="str">
        <f>VLOOKUP(B92,'Tabula Ref2'!$K$5:$R$83,6,0)</f>
        <v>front/back</v>
      </c>
      <c r="G92" s="108">
        <f>VLOOKUP(B92,'Tabula Ref2'!$K$5:$R$83,7,0)</f>
        <v>0.14117683417924493</v>
      </c>
      <c r="H92" s="109">
        <f>VLOOKUP(B92,'Tabula Ref2'!$K$5:$R$83,8,0)</f>
        <v>12.705915076132044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Ref2'!$K$5:$R$83,2,0)=$B$78,VLOOKUP(B108,'Tabula Ref2'!$K$5:$R$83,2,0),VLOOKUP(B108,'Tabula Ref2'!$K$5:$R$83,3,0))</f>
        <v>2</v>
      </c>
      <c r="D108" s="123">
        <f>IF(VLOOKUP(B108,'Tabula Ref2'!$K$5:$R$83,2,0)=$B$78,VLOOKUP(B108,'Tabula Ref2'!$K$5:$R$83,3,0),VLOOKUP(B108,'Tabula Ref2'!$K$5:$R$83,2,0))</f>
        <v>1</v>
      </c>
      <c r="E108" s="123" t="str">
        <f>VLOOKUP(B108,'Tabula Ref2'!$K$5:$R$83,4,0)</f>
        <v>Floor internal</v>
      </c>
      <c r="F108" s="123">
        <f>VLOOKUP(B108,'Tabula Ref2'!$K$5:$R$83,5,0)</f>
        <v>75.699999999999989</v>
      </c>
      <c r="G108" s="123">
        <f>VLOOKUP('Verwarming Tabula 2zone Ref2'!C108,'Tabula Ref2'!$B$34:$G$45,5,0)</f>
        <v>18</v>
      </c>
      <c r="H108" s="123">
        <f>VLOOKUP('Verwarming Tabula 2zone Ref2'!D108,'Tabula Ref2'!$B$34:$G$45,5,0)</f>
        <v>21</v>
      </c>
      <c r="I108" s="123">
        <f>VLOOKUP(B108,'Tabula Ref2'!$K$5:$R$83,7,0)</f>
        <v>1.2141280353200883</v>
      </c>
      <c r="J108" s="119">
        <f>VLOOKUP(B108,'Tabula Ref2'!$K$5:$R$83,8,0)</f>
        <v>91.909492273730663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Ref2'!$K$5:$R$83,2,0)=$B$78,VLOOKUP(B109,'Tabula Ref2'!$K$5:$R$83,2,0),VLOOKUP(B109,'Tabula Ref2'!$K$5:$R$83,3,0))</f>
        <v>2</v>
      </c>
      <c r="D109" s="123">
        <f>IF(VLOOKUP(B109,'Tabula Ref2'!$K$5:$R$83,2,0)=$B$78,VLOOKUP(B109,'Tabula Ref2'!$K$5:$R$83,3,0),VLOOKUP(B109,'Tabula Ref2'!$K$5:$R$83,2,0))</f>
        <v>2</v>
      </c>
      <c r="E109" s="123" t="str">
        <f>VLOOKUP(B109,'Tabula Ref2'!$K$5:$R$83,4,0)</f>
        <v>Wall internal</v>
      </c>
      <c r="F109" s="123">
        <f>VLOOKUP(B109,'Tabula Ref2'!$K$5:$R$83,5,0)</f>
        <v>136.25416887148947</v>
      </c>
      <c r="G109" s="123">
        <f>VLOOKUP('Verwarming Tabula 2zone Ref2'!C109,'Tabula Ref2'!$B$34:$G$45,5,0)</f>
        <v>18</v>
      </c>
      <c r="H109" s="123">
        <f>VLOOKUP('Verwarming Tabula 2zone Ref2'!D109,'Tabula Ref2'!$B$34:$G$45,5,0)</f>
        <v>18</v>
      </c>
      <c r="I109" s="123">
        <f>VLOOKUP(B109,'Tabula Ref2'!$K$5:$R$83,7,0)</f>
        <v>1.9926199261992623</v>
      </c>
      <c r="J109" s="119">
        <f>VLOOKUP(B109,'Tabula Ref2'!$K$5:$R$83,8,0)</f>
        <v>271.50277192104915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33.603862549660676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873.70042629117756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294" t="s">
        <v>197</v>
      </c>
      <c r="B124" s="294"/>
      <c r="C124" s="294"/>
      <c r="D124" s="126" t="s">
        <v>225</v>
      </c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data'!F33</f>
        <v>1.2996941896024465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Ref2'!$B$34:$G$45,2,0)*B127*B128*B129</f>
        <v>32.214209827357237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Ref2'!H35</f>
        <v>150.20000000000002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32.214209827357237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0.20198516394560864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21.905662682602923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569.54722974767606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294" t="s">
        <v>213</v>
      </c>
      <c r="B142" s="294"/>
      <c r="C142" s="294"/>
      <c r="D142" s="294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150.20000000000002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Ref2'!$B$4)</f>
        <v>206.52500000000003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1652.2000000000003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262.0345252322636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3095.4476560388539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71"/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294" t="s">
        <v>171</v>
      </c>
      <c r="B159" s="294"/>
      <c r="C159" s="294"/>
      <c r="D159" s="294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Ref2'!C188,'Gebouwgegevens Allacker'!$A$35:$F$46,5,0)</f>
        <v>#N/A</v>
      </c>
      <c r="H188" s="123" t="e">
        <f>VLOOKUP('Verwarming Tabula 2zone Ref2'!D188,'Gebouwgegevens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Ref2'!C189,'Gebouwgegevens Allacker'!$A$35:$F$46,5,0)</f>
        <v>#N/A</v>
      </c>
      <c r="H189" s="123" t="e">
        <f>VLOOKUP('Verwarming Tabula 2zone Ref2'!D189,'Gebouwgegevens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Ref2'!C190,'Gebouwgegevens Allacker'!$A$35:$F$46,5,0)</f>
        <v>#N/A</v>
      </c>
      <c r="H190" s="123" t="e">
        <f>VLOOKUP('Verwarming Tabula 2zone Ref2'!D190,'Gebouwgegevens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294" t="s">
        <v>197</v>
      </c>
      <c r="B204" s="294"/>
      <c r="C204" s="294"/>
      <c r="D204" s="126" t="s">
        <v>225</v>
      </c>
      <c r="E204" s="271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294" t="s">
        <v>213</v>
      </c>
      <c r="B222" s="294"/>
      <c r="C222" s="294"/>
      <c r="D222" s="294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2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Ref2'!$B$4)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71"/>
      <c r="C236" s="271"/>
      <c r="D236" s="271"/>
      <c r="E236" s="271"/>
      <c r="F236" s="271"/>
      <c r="G236" s="271"/>
      <c r="H236" s="271"/>
      <c r="I236" s="271"/>
      <c r="J236" s="271"/>
      <c r="K236" s="271"/>
      <c r="L236" s="271"/>
      <c r="M236" s="271"/>
      <c r="N236" s="271"/>
      <c r="O236" s="271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294" t="s">
        <v>171</v>
      </c>
      <c r="B238" s="294"/>
      <c r="C238" s="294"/>
      <c r="D238" s="294"/>
      <c r="E238" s="271"/>
      <c r="F238" s="271"/>
      <c r="G238" s="271"/>
      <c r="H238" s="271"/>
      <c r="I238" s="271"/>
      <c r="J238" s="271"/>
      <c r="K238" s="271"/>
      <c r="L238" s="271"/>
      <c r="M238" s="271"/>
      <c r="N238" s="271"/>
      <c r="O238" s="271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Ref2'!C267,'Gebouwgegevens Allacker'!$A$35:$F$46,5,0)</f>
        <v>#N/A</v>
      </c>
      <c r="H267" s="123" t="e">
        <f>VLOOKUP('Verwarming Tabula 2zone Ref2'!D267,'Gebouwgegevens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Ref2'!C268,'Gebouwgegevens Allacker'!$A$35:$F$46,5,0)</f>
        <v>#N/A</v>
      </c>
      <c r="H268" s="123" t="e">
        <f>VLOOKUP('Verwarming Tabula 2zone Ref2'!D268,'Gebouwgegevens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Ref2'!C269,'Gebouwgegevens Allacker'!$A$35:$F$46,5,0)</f>
        <v>#N/A</v>
      </c>
      <c r="H269" s="123" t="e">
        <f>VLOOKUP('Verwarming Tabula 2zone Ref2'!D269,'Gebouwgegevens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Ref2'!C270,'Gebouwgegevens Allacker'!$A$35:$F$46,5,0)</f>
        <v>#N/A</v>
      </c>
      <c r="H270" s="123" t="e">
        <f>VLOOKUP('Verwarming Tabula 2zone Ref2'!D270,'Gebouwgegevens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294" t="s">
        <v>197</v>
      </c>
      <c r="B283" s="294"/>
      <c r="C283" s="294"/>
      <c r="D283" s="126" t="s">
        <v>225</v>
      </c>
      <c r="E283" s="271"/>
      <c r="F283" s="271"/>
      <c r="G283" s="271"/>
      <c r="H283" s="271"/>
      <c r="I283" s="271"/>
      <c r="J283" s="271"/>
      <c r="K283" s="271"/>
      <c r="L283" s="271"/>
      <c r="M283" s="271"/>
      <c r="N283" s="271"/>
      <c r="O283" s="271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294" t="s">
        <v>213</v>
      </c>
      <c r="B301" s="294"/>
      <c r="C301" s="294"/>
      <c r="D301" s="294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2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Ref2'!$B$4)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71"/>
      <c r="C315" s="271"/>
      <c r="D315" s="271"/>
      <c r="E315" s="271"/>
      <c r="F315" s="271"/>
      <c r="G315" s="271"/>
      <c r="H315" s="271"/>
      <c r="I315" s="271"/>
      <c r="J315" s="271"/>
      <c r="K315" s="271"/>
      <c r="L315" s="271"/>
      <c r="M315" s="271"/>
      <c r="N315" s="271"/>
      <c r="O315" s="271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294" t="s">
        <v>171</v>
      </c>
      <c r="B317" s="294"/>
      <c r="C317" s="294"/>
      <c r="D317" s="294"/>
      <c r="E317" s="271"/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Ref2'!C346,'Gebouwgegevens Allacker'!$A$35:$F$46,5,0)</f>
        <v>#N/A</v>
      </c>
      <c r="H346" s="123" t="e">
        <f>VLOOKUP('Verwarming Tabula 2zone Ref2'!D346,'Gebouwgegevens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Ref2'!C347,'Gebouwgegevens Allacker'!$A$35:$F$46,5,0)</f>
        <v>#N/A</v>
      </c>
      <c r="H347" s="123" t="e">
        <f>VLOOKUP('Verwarming Tabula 2zone Ref2'!D347,'Gebouwgegevens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Ref2'!C348,'Gebouwgegevens Allacker'!$A$35:$F$46,5,0)</f>
        <v>#N/A</v>
      </c>
      <c r="H348" s="123" t="e">
        <f>VLOOKUP('Verwarming Tabula 2zone Ref2'!D348,'Gebouwgegevens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Ref2'!C349,'Gebouwgegevens Allacker'!$A$35:$F$46,5,0)</f>
        <v>#N/A</v>
      </c>
      <c r="H349" s="123" t="e">
        <f>VLOOKUP('Verwarming Tabula 2zone Ref2'!D349,'Gebouwgegevens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Ref2'!C350,'Gebouwgegevens Allacker'!$A$35:$F$46,5,0)</f>
        <v>#N/A</v>
      </c>
      <c r="H350" s="123" t="e">
        <f>VLOOKUP('Verwarming Tabula 2zone Ref2'!D350,'Gebouwgegevens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294" t="s">
        <v>197</v>
      </c>
      <c r="B362" s="294"/>
      <c r="C362" s="294"/>
      <c r="D362" s="126" t="s">
        <v>225</v>
      </c>
      <c r="E362" s="271"/>
      <c r="F362" s="271"/>
      <c r="G362" s="271"/>
      <c r="H362" s="271"/>
      <c r="I362" s="271"/>
      <c r="J362" s="271"/>
      <c r="K362" s="271"/>
      <c r="L362" s="271"/>
      <c r="M362" s="271"/>
      <c r="N362" s="271"/>
      <c r="O362" s="271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294" t="s">
        <v>213</v>
      </c>
      <c r="B380" s="294"/>
      <c r="C380" s="294"/>
      <c r="D380" s="294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2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Ref2'!$B$4)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71"/>
      <c r="C393" s="271"/>
      <c r="D393" s="271"/>
      <c r="E393" s="271"/>
      <c r="F393" s="271"/>
      <c r="G393" s="271"/>
      <c r="H393" s="271"/>
      <c r="I393" s="271"/>
      <c r="J393" s="271"/>
      <c r="K393" s="271"/>
      <c r="L393" s="271"/>
      <c r="M393" s="271"/>
      <c r="N393" s="271"/>
      <c r="O393" s="271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294" t="s">
        <v>171</v>
      </c>
      <c r="B395" s="294"/>
      <c r="C395" s="294"/>
      <c r="D395" s="294"/>
      <c r="E395" s="271"/>
      <c r="F395" s="271"/>
      <c r="G395" s="271"/>
      <c r="H395" s="271"/>
      <c r="I395" s="271"/>
      <c r="J395" s="271"/>
      <c r="K395" s="271"/>
      <c r="L395" s="271"/>
      <c r="M395" s="271"/>
      <c r="N395" s="271"/>
      <c r="O395" s="271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Ref2'!C424,'Gebouwgegevens Allacker'!$A$35:$F$46,5,0)</f>
        <v>#N/A</v>
      </c>
      <c r="H424" s="123" t="e">
        <f>VLOOKUP('Verwarming Tabula 2zone Ref2'!D424,'Gebouwgegevens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Ref2'!C425,'Gebouwgegevens Allacker'!$A$35:$F$46,5,0)</f>
        <v>#N/A</v>
      </c>
      <c r="H425" s="123" t="e">
        <f>VLOOKUP('Verwarming Tabula 2zone Ref2'!D425,'Gebouwgegevens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Ref2'!C426,'Gebouwgegevens Allacker'!$A$35:$F$46,5,0)</f>
        <v>#N/A</v>
      </c>
      <c r="H426" s="123" t="e">
        <f>VLOOKUP('Verwarming Tabula 2zone Ref2'!D426,'Gebouwgegevens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Ref2'!C427,'Gebouwgegevens Allacker'!$A$35:$F$46,5,0)</f>
        <v>#N/A</v>
      </c>
      <c r="H427" s="123" t="e">
        <f>VLOOKUP('Verwarming Tabula 2zone Ref2'!D427,'Gebouwgegevens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Ref2'!C428,'Gebouwgegevens Allacker'!$A$35:$F$46,5,0)</f>
        <v>#N/A</v>
      </c>
      <c r="H428" s="123" t="e">
        <f>VLOOKUP('Verwarming Tabula 2zone Ref2'!D428,'Gebouwgegevens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294" t="s">
        <v>197</v>
      </c>
      <c r="B440" s="294"/>
      <c r="C440" s="294"/>
      <c r="D440" s="126" t="s">
        <v>225</v>
      </c>
      <c r="E440" s="271"/>
      <c r="F440" s="271"/>
      <c r="G440" s="271"/>
      <c r="H440" s="271"/>
      <c r="I440" s="271"/>
      <c r="J440" s="271"/>
      <c r="K440" s="271"/>
      <c r="L440" s="271"/>
      <c r="M440" s="271"/>
      <c r="N440" s="271"/>
      <c r="O440" s="271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294" t="s">
        <v>213</v>
      </c>
      <c r="B458" s="294"/>
      <c r="C458" s="294"/>
      <c r="D458" s="294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2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Ref2'!$B$4)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71"/>
      <c r="C471" s="271"/>
      <c r="D471" s="271"/>
      <c r="E471" s="271"/>
      <c r="F471" s="271"/>
      <c r="G471" s="271"/>
      <c r="H471" s="271"/>
      <c r="I471" s="271"/>
      <c r="J471" s="271"/>
      <c r="K471" s="271"/>
      <c r="L471" s="271"/>
      <c r="M471" s="271"/>
      <c r="N471" s="271"/>
      <c r="O471" s="271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294" t="s">
        <v>171</v>
      </c>
      <c r="B473" s="294"/>
      <c r="C473" s="294"/>
      <c r="D473" s="294"/>
      <c r="E473" s="271"/>
      <c r="F473" s="271"/>
      <c r="G473" s="271"/>
      <c r="H473" s="271"/>
      <c r="I473" s="271"/>
      <c r="J473" s="271"/>
      <c r="K473" s="271"/>
      <c r="L473" s="271"/>
      <c r="M473" s="271"/>
      <c r="N473" s="271"/>
      <c r="O473" s="271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Ref2'!C502,'Gebouwgegevens Allacker'!$A$35:$F$46,5,0)</f>
        <v>#N/A</v>
      </c>
      <c r="H502" s="123" t="e">
        <f>VLOOKUP('Verwarming Tabula 2zone Ref2'!D502,'Gebouwgegevens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Ref2'!C503,'Gebouwgegevens Allacker'!$A$35:$F$46,5,0)</f>
        <v>#N/A</v>
      </c>
      <c r="H503" s="123" t="e">
        <f>VLOOKUP('Verwarming Tabula 2zone Ref2'!D503,'Gebouwgegevens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Ref2'!C504,'Gebouwgegevens Allacker'!$A$35:$F$46,5,0)</f>
        <v>#N/A</v>
      </c>
      <c r="H504" s="123" t="e">
        <f>VLOOKUP('Verwarming Tabula 2zone Ref2'!D504,'Gebouwgegevens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294" t="s">
        <v>197</v>
      </c>
      <c r="B518" s="294"/>
      <c r="C518" s="294"/>
      <c r="D518" s="126" t="s">
        <v>225</v>
      </c>
      <c r="E518" s="271"/>
      <c r="F518" s="271"/>
      <c r="G518" s="271"/>
      <c r="H518" s="271"/>
      <c r="I518" s="271"/>
      <c r="J518" s="271"/>
      <c r="K518" s="271"/>
      <c r="L518" s="271"/>
      <c r="M518" s="271"/>
      <c r="N518" s="271"/>
      <c r="O518" s="271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294" t="s">
        <v>213</v>
      </c>
      <c r="B536" s="294"/>
      <c r="C536" s="294"/>
      <c r="D536" s="294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Ref2'!$B$4)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71"/>
      <c r="C550" s="271"/>
      <c r="D550" s="271"/>
      <c r="E550" s="271"/>
      <c r="F550" s="271"/>
      <c r="G550" s="271"/>
      <c r="H550" s="271"/>
      <c r="I550" s="271"/>
      <c r="J550" s="271"/>
      <c r="K550" s="271"/>
      <c r="L550" s="271"/>
      <c r="M550" s="271"/>
      <c r="N550" s="271"/>
      <c r="O550" s="271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294" t="s">
        <v>171</v>
      </c>
      <c r="B552" s="294"/>
      <c r="C552" s="294"/>
      <c r="D552" s="294"/>
      <c r="E552" s="271"/>
      <c r="F552" s="271"/>
      <c r="G552" s="271"/>
      <c r="H552" s="271"/>
      <c r="I552" s="271"/>
      <c r="J552" s="271"/>
      <c r="K552" s="271"/>
      <c r="L552" s="271"/>
      <c r="M552" s="271"/>
      <c r="N552" s="271"/>
      <c r="O552" s="271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Ref2'!C581,'Gebouwgegevens Allacker'!$A$35:$F$46,5,0)</f>
        <v>#N/A</v>
      </c>
      <c r="H581" s="123" t="e">
        <f>VLOOKUP('Verwarming Tabula 2zone Ref2'!D581,'Gebouwgegevens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Ref2'!C582,'Gebouwgegevens Allacker'!$A$35:$F$46,5,0)</f>
        <v>#N/A</v>
      </c>
      <c r="H582" s="123" t="e">
        <f>VLOOKUP('Verwarming Tabula 2zone Ref2'!D582,'Gebouwgegevens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Ref2'!C583,'Gebouwgegevens Allacker'!$A$35:$F$46,5,0)</f>
        <v>#N/A</v>
      </c>
      <c r="H583" s="123" t="e">
        <f>VLOOKUP('Verwarming Tabula 2zone Ref2'!D583,'Gebouwgegevens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294" t="s">
        <v>197</v>
      </c>
      <c r="B597" s="294"/>
      <c r="C597" s="294"/>
      <c r="D597" s="126" t="s">
        <v>225</v>
      </c>
      <c r="E597" s="271"/>
      <c r="F597" s="271"/>
      <c r="G597" s="271"/>
      <c r="H597" s="271"/>
      <c r="I597" s="271"/>
      <c r="J597" s="271"/>
      <c r="K597" s="271"/>
      <c r="L597" s="271"/>
      <c r="M597" s="271"/>
      <c r="N597" s="271"/>
      <c r="O597" s="271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294" t="s">
        <v>213</v>
      </c>
      <c r="B615" s="294"/>
      <c r="C615" s="294"/>
      <c r="D615" s="294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2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Ref2'!$B$4)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71"/>
      <c r="C629" s="271"/>
      <c r="D629" s="271"/>
      <c r="E629" s="271"/>
      <c r="F629" s="271"/>
      <c r="G629" s="271"/>
      <c r="H629" s="271"/>
      <c r="I629" s="271"/>
      <c r="J629" s="271"/>
      <c r="K629" s="271"/>
      <c r="L629" s="271"/>
      <c r="M629" s="271"/>
      <c r="N629" s="271"/>
      <c r="O629" s="271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294" t="s">
        <v>171</v>
      </c>
      <c r="B631" s="294"/>
      <c r="C631" s="294"/>
      <c r="D631" s="294"/>
      <c r="E631" s="271"/>
      <c r="F631" s="271"/>
      <c r="G631" s="271"/>
      <c r="H631" s="271"/>
      <c r="I631" s="271"/>
      <c r="J631" s="271"/>
      <c r="K631" s="271"/>
      <c r="L631" s="271"/>
      <c r="M631" s="271"/>
      <c r="N631" s="271"/>
      <c r="O631" s="271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Ref2'!C660,'Gebouwgegevens Allacker'!$A$35:$F$46,5,0)</f>
        <v>#N/A</v>
      </c>
      <c r="H660" s="123" t="e">
        <f>VLOOKUP('Verwarming Tabula 2zone Ref2'!D660,'Gebouwgegevens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Ref2'!C661,'Gebouwgegevens Allacker'!$A$35:$F$46,5,0)</f>
        <v>#N/A</v>
      </c>
      <c r="H661" s="123" t="e">
        <f>VLOOKUP('Verwarming Tabula 2zone Ref2'!D661,'Gebouwgegevens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294" t="s">
        <v>197</v>
      </c>
      <c r="B676" s="294"/>
      <c r="C676" s="294"/>
      <c r="D676" s="126" t="s">
        <v>225</v>
      </c>
      <c r="E676" s="271"/>
      <c r="F676" s="271"/>
      <c r="G676" s="271"/>
      <c r="H676" s="271"/>
      <c r="I676" s="271"/>
      <c r="J676" s="271"/>
      <c r="K676" s="271"/>
      <c r="L676" s="271"/>
      <c r="M676" s="271"/>
      <c r="N676" s="271"/>
      <c r="O676" s="271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294" t="s">
        <v>213</v>
      </c>
      <c r="B694" s="294"/>
      <c r="C694" s="294"/>
      <c r="D694" s="294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2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Ref2'!$B$4)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71"/>
      <c r="C708" s="271"/>
      <c r="D708" s="271"/>
      <c r="E708" s="271"/>
      <c r="F708" s="271"/>
      <c r="G708" s="271"/>
      <c r="H708" s="271"/>
      <c r="I708" s="271"/>
      <c r="J708" s="271"/>
      <c r="K708" s="271"/>
      <c r="L708" s="271"/>
      <c r="M708" s="271"/>
      <c r="N708" s="271"/>
      <c r="O708" s="271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294" t="s">
        <v>171</v>
      </c>
      <c r="B710" s="294"/>
      <c r="C710" s="294"/>
      <c r="D710" s="294"/>
      <c r="E710" s="271"/>
      <c r="F710" s="271"/>
      <c r="G710" s="271"/>
      <c r="H710" s="271"/>
      <c r="I710" s="271"/>
      <c r="J710" s="271"/>
      <c r="K710" s="271"/>
      <c r="L710" s="271"/>
      <c r="M710" s="271"/>
      <c r="N710" s="271"/>
      <c r="O710" s="271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Ref2'!C739,'Gebouwgegevens Allacker'!$A$35:$F$46,5,0)</f>
        <v>#N/A</v>
      </c>
      <c r="H739" s="123" t="e">
        <f>VLOOKUP('Verwarming Tabula 2zone Ref2'!D739,'Gebouwgegevens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Ref2'!C740,'Gebouwgegevens Allacker'!$A$35:$F$46,5,0)</f>
        <v>#N/A</v>
      </c>
      <c r="H740" s="123" t="e">
        <f>VLOOKUP('Verwarming Tabula 2zone Ref2'!D740,'Gebouwgegevens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Ref2'!C741,'Gebouwgegevens Allacker'!$A$35:$F$46,5,0)</f>
        <v>#N/A</v>
      </c>
      <c r="H741" s="123" t="e">
        <f>VLOOKUP('Verwarming Tabula 2zone Ref2'!D741,'Gebouwgegevens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Ref2'!C742,'Gebouwgegevens Allacker'!$A$35:$F$46,5,0)</f>
        <v>#N/A</v>
      </c>
      <c r="H742" s="123" t="e">
        <f>VLOOKUP('Verwarming Tabula 2zone Ref2'!D742,'Gebouwgegevens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Ref2'!C743,'Gebouwgegevens Allacker'!$A$35:$F$46,5,0)</f>
        <v>#N/A</v>
      </c>
      <c r="H743" s="123" t="e">
        <f>VLOOKUP('Verwarming Tabula 2zone Ref2'!D743,'Gebouwgegevens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Ref2'!C744,'Gebouwgegevens Allacker'!$A$35:$F$46,5,0)</f>
        <v>#N/A</v>
      </c>
      <c r="H744" s="123" t="e">
        <f>VLOOKUP('Verwarming Tabula 2zone Ref2'!D744,'Gebouwgegevens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Ref2'!C745,'Gebouwgegevens Allacker'!$A$35:$F$46,5,0)</f>
        <v>#N/A</v>
      </c>
      <c r="H745" s="123" t="e">
        <f>VLOOKUP('Verwarming Tabula 2zone Ref2'!D745,'Gebouwgegevens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Ref2'!C746,'Gebouwgegevens Allacker'!$A$35:$F$46,5,0)</f>
        <v>#N/A</v>
      </c>
      <c r="H746" s="123" t="e">
        <f>VLOOKUP('Verwarming Tabula 2zone Ref2'!D746,'Gebouwgegevens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Ref2'!C747,'Gebouwgegevens Allacker'!$A$35:$F$46,5,0)</f>
        <v>#N/A</v>
      </c>
      <c r="H747" s="123" t="e">
        <f>VLOOKUP('Verwarming Tabula 2zone Ref2'!D747,'Gebouwgegevens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Ref2'!C748,'Gebouwgegevens Allacker'!$A$35:$F$46,5,0)</f>
        <v>#N/A</v>
      </c>
      <c r="H748" s="123" t="e">
        <f>VLOOKUP('Verwarming Tabula 2zone Ref2'!D748,'Gebouwgegevens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Ref2'!C749,'Gebouwgegevens Allacker'!$A$35:$F$46,5,0)</f>
        <v>#N/A</v>
      </c>
      <c r="H749" s="123" t="e">
        <f>VLOOKUP('Verwarming Tabula 2zone Ref2'!D749,'Gebouwgegevens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Ref2'!C750,'Gebouwgegevens Allacker'!$A$35:$F$46,5,0)</f>
        <v>#N/A</v>
      </c>
      <c r="H750" s="123" t="e">
        <f>VLOOKUP('Verwarming Tabula 2zone Ref2'!D750,'Gebouwgegevens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294" t="s">
        <v>197</v>
      </c>
      <c r="B755" s="294"/>
      <c r="C755" s="294"/>
      <c r="D755" s="126" t="s">
        <v>225</v>
      </c>
      <c r="E755" s="271"/>
      <c r="F755" s="271"/>
      <c r="G755" s="271"/>
      <c r="H755" s="271"/>
      <c r="I755" s="271"/>
      <c r="J755" s="271"/>
      <c r="K755" s="271"/>
      <c r="L755" s="271"/>
      <c r="M755" s="271"/>
      <c r="N755" s="271"/>
      <c r="O755" s="271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294" t="s">
        <v>213</v>
      </c>
      <c r="B773" s="294"/>
      <c r="C773" s="294"/>
      <c r="D773" s="294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2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Ref2'!$B$4)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A109" zoomScale="90" zoomScaleNormal="90" workbookViewId="0">
      <selection activeCell="B139" sqref="B139"/>
    </sheetView>
  </sheetViews>
  <sheetFormatPr defaultRowHeight="15" x14ac:dyDescent="0.25"/>
  <cols>
    <col min="1" max="1" width="9.140625" style="152"/>
    <col min="2" max="2" width="16.7109375" style="152" bestFit="1" customWidth="1"/>
    <col min="3" max="1025" width="9.140625" style="152"/>
    <col min="1026" max="16384" width="9.140625" style="81"/>
  </cols>
  <sheetData>
    <row r="1" spans="1:25" ht="20.25" customHeight="1" x14ac:dyDescent="0.25">
      <c r="A1" s="292" t="s">
        <v>164</v>
      </c>
      <c r="B1" s="292"/>
      <c r="C1" s="292"/>
      <c r="D1" s="292"/>
      <c r="E1" s="292"/>
      <c r="F1" s="292"/>
      <c r="G1" s="292"/>
      <c r="H1" s="292"/>
      <c r="I1" s="292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73"/>
      <c r="W4" s="273"/>
      <c r="X4" s="273"/>
      <c r="Y4" s="95"/>
    </row>
    <row r="5" spans="1:25" ht="18" customHeight="1" thickTop="1" thickBot="1" x14ac:dyDescent="0.3">
      <c r="A5" s="94"/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95"/>
      <c r="U5" s="96"/>
      <c r="V5" s="289" t="s">
        <v>168</v>
      </c>
      <c r="W5" s="289"/>
      <c r="X5" s="289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73"/>
      <c r="Y6" s="97"/>
    </row>
    <row r="7" spans="1:25" ht="16.5" customHeight="1" thickTop="1" x14ac:dyDescent="0.25">
      <c r="A7" s="294" t="s">
        <v>171</v>
      </c>
      <c r="B7" s="294"/>
      <c r="C7" s="294"/>
      <c r="D7" s="294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95"/>
      <c r="U7" s="96"/>
      <c r="V7" s="102">
        <f>B6</f>
        <v>1</v>
      </c>
      <c r="W7" s="103">
        <f>B73</f>
        <v>6587.8333212753296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6364.8417711830407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 1'!K6</f>
        <v>W1</v>
      </c>
      <c r="C12" s="108">
        <f>VLOOKUP(B12,'Tabula RefULG 1'!$K$5:$R$83,3,0)</f>
        <v>1</v>
      </c>
      <c r="D12" s="108" t="str">
        <f>VLOOKUP(B12,'Tabula RefULG 1'!$K$5:$R$83,4,0)</f>
        <v>Wall External</v>
      </c>
      <c r="E12" s="108">
        <f>VLOOKUP(B12,'Tabula RefULG 1'!$K$5:$R$83,5,0)</f>
        <v>19.486299247454621</v>
      </c>
      <c r="F12" s="108" t="str">
        <f>VLOOKUP(B12,'Tabula RefULG 1'!$K$5:$R$83,6,0)</f>
        <v>front</v>
      </c>
      <c r="G12" s="108">
        <f>VLOOKUP(B12,'Tabula RefULG 1'!$K$5:$R$83,7,0)</f>
        <v>2.2022341505875525</v>
      </c>
      <c r="H12" s="109">
        <f>VLOOKUP(B12,'Tabula RefULG 1'!$K$5:$R$83,8,0)</f>
        <v>42.913393671313088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 1'!K7</f>
        <v>W2</v>
      </c>
      <c r="C13" s="108">
        <f>VLOOKUP(B13,'Tabula RefULG 1'!$K$5:$R$83,3,0)</f>
        <v>1</v>
      </c>
      <c r="D13" s="108" t="str">
        <f>VLOOKUP(B13,'Tabula RefULG 1'!$K$5:$R$83,4,0)</f>
        <v>Wall External</v>
      </c>
      <c r="E13" s="108">
        <f>VLOOKUP(B13,'Tabula RefULG 1'!$K$5:$R$83,5,0)</f>
        <v>0</v>
      </c>
      <c r="F13" s="108" t="str">
        <f>VLOOKUP(B13,'Tabula RefULG 1'!$K$5:$R$83,6,0)</f>
        <v>right</v>
      </c>
      <c r="G13" s="108">
        <f>VLOOKUP(B13,'Tabula RefULG 1'!$K$5:$R$83,7,0)</f>
        <v>2.2022341505875525</v>
      </c>
      <c r="H13" s="109">
        <f>VLOOKUP(B13,'Tabula RefULG 1'!$K$5:$R$83,8,0)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 1'!K8</f>
        <v>W3</v>
      </c>
      <c r="C14" s="108">
        <f>VLOOKUP(B14,'Tabula RefULG 1'!$K$5:$R$83,3,0)</f>
        <v>1</v>
      </c>
      <c r="D14" s="108" t="str">
        <f>VLOOKUP(B14,'Tabula RefULG 1'!$K$5:$R$83,4,0)</f>
        <v>Wall External</v>
      </c>
      <c r="E14" s="108">
        <f>VLOOKUP(B14,'Tabula RefULG 1'!$K$5:$R$83,5,0)</f>
        <v>19.486299247454621</v>
      </c>
      <c r="F14" s="108" t="str">
        <f>VLOOKUP(B14,'Tabula RefULG 1'!$K$5:$R$83,6,0)</f>
        <v>back</v>
      </c>
      <c r="G14" s="108">
        <f>VLOOKUP(B14,'Tabula RefULG 1'!$K$5:$R$83,7,0)</f>
        <v>2.2022341505875525</v>
      </c>
      <c r="H14" s="109">
        <f>VLOOKUP(B14,'Tabula RefULG 1'!$K$5:$R$83,8,0)</f>
        <v>42.913393671313088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 1'!K9</f>
        <v>W4</v>
      </c>
      <c r="C15" s="108">
        <f>VLOOKUP(B15,'Tabula RefULG 1'!$K$5:$R$83,3,0)</f>
        <v>1</v>
      </c>
      <c r="D15" s="108" t="str">
        <f>VLOOKUP(B15,'Tabula RefULG 1'!$K$5:$R$83,4,0)</f>
        <v>Wall External</v>
      </c>
      <c r="E15" s="108">
        <f>VLOOKUP(B15,'Tabula RefULG 1'!$K$5:$R$83,5,0)</f>
        <v>0</v>
      </c>
      <c r="F15" s="108" t="str">
        <f>VLOOKUP(B15,'Tabula RefULG 1'!$K$5:$R$83,6,0)</f>
        <v>left</v>
      </c>
      <c r="G15" s="108">
        <f>VLOOKUP(B15,'Tabula RefULG 1'!$K$5:$R$83,7,0)</f>
        <v>2.2022341505875525</v>
      </c>
      <c r="H15" s="109">
        <f>VLOOKUP(B15,'Tabula RefULG 1'!$K$5:$R$83,8,0)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 1'!K10</f>
        <v>W5</v>
      </c>
      <c r="C16" s="108">
        <f>VLOOKUP(B16,'Tabula RefULG 1'!$K$5:$R$83,3,0)</f>
        <v>1</v>
      </c>
      <c r="D16" s="108" t="str">
        <f>VLOOKUP(B16,'Tabula RefULG 1'!$K$5:$R$83,4,0)</f>
        <v>Window</v>
      </c>
      <c r="E16" s="108">
        <f>VLOOKUP(B16,'Tabula RefULG 1'!$K$5:$R$83,5,0)</f>
        <v>4.2</v>
      </c>
      <c r="F16" s="108" t="str">
        <f>VLOOKUP(B16,'Tabula RefULG 1'!$K$5:$R$83,6,0)</f>
        <v>front</v>
      </c>
      <c r="G16" s="108">
        <f>VLOOKUP(B16,'Tabula RefULG 1'!$K$5:$R$83,7,0)</f>
        <v>2</v>
      </c>
      <c r="H16" s="109">
        <f>VLOOKUP(B16,'Tabula RefULG 1'!$K$5:$R$83,8,0)</f>
        <v>8.4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 1'!K11</f>
        <v>W6</v>
      </c>
      <c r="C17" s="108">
        <f>VLOOKUP(B17,'Tabula RefULG 1'!$K$5:$R$83,3,0)</f>
        <v>1</v>
      </c>
      <c r="D17" s="108" t="str">
        <f>VLOOKUP(B17,'Tabula RefULG 1'!$K$5:$R$83,4,0)</f>
        <v>Window</v>
      </c>
      <c r="E17" s="108">
        <f>VLOOKUP(B17,'Tabula RefULG 1'!$K$5:$R$83,5,0)</f>
        <v>3.95</v>
      </c>
      <c r="F17" s="108" t="str">
        <f>VLOOKUP(B17,'Tabula RefULG 1'!$K$5:$R$83,6,0)</f>
        <v>right</v>
      </c>
      <c r="G17" s="108">
        <f>VLOOKUP(B17,'Tabula RefULG 1'!$K$5:$R$83,7,0)</f>
        <v>2</v>
      </c>
      <c r="H17" s="109">
        <f>VLOOKUP(B17,'Tabula RefULG 1'!$K$5:$R$83,8,0)</f>
        <v>7.9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 1'!K12</f>
        <v>W7</v>
      </c>
      <c r="C18" s="108">
        <f>VLOOKUP(B18,'Tabula RefULG 1'!$K$5:$R$83,3,0)</f>
        <v>1</v>
      </c>
      <c r="D18" s="108" t="str">
        <f>VLOOKUP(B18,'Tabula RefULG 1'!$K$5:$R$83,4,0)</f>
        <v>Window</v>
      </c>
      <c r="E18" s="108">
        <f>VLOOKUP(B18,'Tabula RefULG 1'!$K$5:$R$83,5,0)</f>
        <v>4.05</v>
      </c>
      <c r="F18" s="108" t="str">
        <f>VLOOKUP(B18,'Tabula RefULG 1'!$K$5:$R$83,6,0)</f>
        <v>back</v>
      </c>
      <c r="G18" s="108">
        <f>VLOOKUP(B18,'Tabula RefULG 1'!$K$5:$R$83,7,0)</f>
        <v>2</v>
      </c>
      <c r="H18" s="109">
        <f>VLOOKUP(B18,'Tabula RefULG 1'!$K$5:$R$83,8,0)</f>
        <v>8.1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12952.67509245837</v>
      </c>
      <c r="X18" s="273" t="s">
        <v>172</v>
      </c>
      <c r="Y18" s="97"/>
    </row>
    <row r="19" spans="1:25" ht="16.5" customHeight="1" thickTop="1" thickBot="1" x14ac:dyDescent="0.3">
      <c r="A19" s="96"/>
      <c r="B19" s="107" t="str">
        <f>'Tabula RefULG 1'!K13</f>
        <v>W8</v>
      </c>
      <c r="C19" s="108">
        <f>VLOOKUP(B19,'Tabula RefULG 1'!$K$5:$R$83,3,0)</f>
        <v>1</v>
      </c>
      <c r="D19" s="108" t="str">
        <f>VLOOKUP(B19,'Tabula RefULG 1'!$K$5:$R$83,4,0)</f>
        <v>Window</v>
      </c>
      <c r="E19" s="108">
        <f>VLOOKUP(B19,'Tabula RefULG 1'!$K$5:$R$83,5,0)</f>
        <v>3.55</v>
      </c>
      <c r="F19" s="108" t="str">
        <f>VLOOKUP(B19,'Tabula RefULG 1'!$K$5:$R$83,6,0)</f>
        <v>left</v>
      </c>
      <c r="G19" s="108">
        <f>VLOOKUP(B19,'Tabula RefULG 1'!$K$5:$R$83,7,0)</f>
        <v>2</v>
      </c>
      <c r="H19" s="109">
        <f>VLOOKUP(B19,'Tabula RefULG 1'!$K$5:$R$83,8,0)</f>
        <v>7.1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 1'!$K$5:$R$83,3,0)</f>
        <v>1</v>
      </c>
      <c r="D21" s="108" t="str">
        <f>VLOOKUP(B21,'Tabula RefULG 1'!$K$5:$R$83,4,0)</f>
        <v>Roof</v>
      </c>
      <c r="E21" s="108">
        <f>VLOOKUP(B21,'Tabula RefULG 1'!$K$5:$R$83,5,0)</f>
        <v>0</v>
      </c>
      <c r="F21" s="108">
        <f>VLOOKUP(B21,'Tabula RefULG 1'!$K$5:$R$83,6,0)</f>
        <v>0</v>
      </c>
      <c r="G21" s="108">
        <f>VLOOKUP(B21,'Tabula RefULG 1'!$K$5:$R$83,7,0)</f>
        <v>0.27481053799679722</v>
      </c>
      <c r="H21" s="109">
        <f>VLOOKUP(B21,'Tabula RefULG 1'!$K$5:$R$83,8,0)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7246.6166534028634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 1'!$K$5:$R$83,3,0)</f>
        <v>1</v>
      </c>
      <c r="D22" s="108" t="str">
        <f>VLOOKUP(B22,'Tabula RefULG 1'!$K$5:$R$83,4,0)</f>
        <v>Door</v>
      </c>
      <c r="E22" s="108">
        <f>VLOOKUP(B22,'Tabula RefULG 1'!$K$5:$R$83,5,0)</f>
        <v>9.5</v>
      </c>
      <c r="F22" s="108">
        <f>VLOOKUP(B22,'Tabula RefULG 1'!$K$5:$R$83,6,0)</f>
        <v>0</v>
      </c>
      <c r="G22" s="108">
        <f>VLOOKUP(B22,'Tabula RefULG 1'!$K$5:$R$83,7,0)</f>
        <v>4</v>
      </c>
      <c r="H22" s="109">
        <f>VLOOKUP(B22,'Tabula RefULG 1'!$K$5:$R$83,8,0)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 1'!$K$5:$R$83,3,0)</f>
        <v>1</v>
      </c>
      <c r="D28" s="118" t="str">
        <f>VLOOKUP(B28,'Tabula RefULG 1'!$K$5:$R$83,4,0)</f>
        <v>Floor</v>
      </c>
      <c r="E28" s="118">
        <f>VLOOKUP(B28,'Tabula RefULG 1'!$K$5:$R$83,5,0)</f>
        <v>75.699999999999989</v>
      </c>
      <c r="F28" s="118">
        <f>VLOOKUP(B28,'Tabula RefULG 1'!$K$5:$R$83,7,0)</f>
        <v>2.8187919463087252</v>
      </c>
      <c r="G28" s="119">
        <f>VLOOKUP(B28,'Tabula RefULG 1'!$K$5:$R$83,8,0)</f>
        <v>213.38255033557047</v>
      </c>
      <c r="H28" s="119">
        <f>N28/F28*1.45*(21-12)/(29)</f>
        <v>0.11670734054286241</v>
      </c>
      <c r="I28" s="118">
        <f>'Tabula RefULG 1'!O14</f>
        <v>75.699999999999989</v>
      </c>
      <c r="J28" s="117">
        <f>SQRT(I28)*4</f>
        <v>34.802298774649927</v>
      </c>
      <c r="K28" s="117">
        <f>SUM('Tabula RefULG 1'!Z16:Z19)</f>
        <v>0.29500000000000004</v>
      </c>
      <c r="L28" s="120">
        <f>I28/(0.5*J28)</f>
        <v>4.3502873468312409</v>
      </c>
      <c r="M28" s="120">
        <f>K28+2*(1/F28)</f>
        <v>1.0045238095238096</v>
      </c>
      <c r="N28" s="121">
        <f>IF(M28&lt;L28,2*2/(PI()*L28+M28)*LN(PI()*L28/M28+1),2/(0.457*L28+M28))</f>
        <v>0.7310526924385119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2">
        <f>1.1*W18</f>
        <v>14247.942601704208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 1'!$K$5:$R$83,2,0)=B$6,VLOOKUP(B33,'Tabula RefULG 1'!$K$5:$R$83,2,0),VLOOKUP(B33,'Tabula RefULG 1'!$K$5:$R$83,3,0))</f>
        <v>1</v>
      </c>
      <c r="D33" s="123">
        <f>IF(VLOOKUP(B33,'Tabula RefULG 1'!$K$5:$R$83,2,0)=B$6,VLOOKUP(B33,'Tabula RefULG 1'!$K$5:$R$83,3,0),VLOOKUP(B33,'Tabula RefULG 1'!$K$5:$R$83,2,0))</f>
        <v>2</v>
      </c>
      <c r="E33" s="123" t="str">
        <f>VLOOKUP(B33,'Tabula RefULG 1'!$K$5:$R$83,4,0)</f>
        <v>Floor internal</v>
      </c>
      <c r="F33" s="123">
        <f>VLOOKUP(B33,'Tabula RefULG 1'!$K$5:$R$83,5,0)</f>
        <v>75.699999999999989</v>
      </c>
      <c r="G33" s="123">
        <f>VLOOKUP('Verwarming Tabula 2zone RefULG1'!C33,'Tabula RefULG 1'!$B$34:$G$45,5,0)</f>
        <v>21</v>
      </c>
      <c r="H33" s="123">
        <f>VLOOKUP('Verwarming Tabula 2zone RefULG1'!D33,'Tabula RefULG 1'!$B$34:$G$45,5,0)</f>
        <v>18</v>
      </c>
      <c r="I33" s="123">
        <f>VLOOKUP(B33,'Tabula RefULG 1'!$K$5:$R$83,7,0)</f>
        <v>0.91717620900500274</v>
      </c>
      <c r="J33" s="119">
        <f>VLOOKUP(B33,'Tabula RefULG 1'!$K$5:$R$83,8,0)</f>
        <v>69.430239021678702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 1'!$K$5:$R$83,2,0)=B$6,VLOOKUP(B34,'Tabula RefULG 1'!$K$5:$R$83,2,0),VLOOKUP(B34,'Tabula RefULG 1'!$K$5:$R$83,3,0))</f>
        <v>1</v>
      </c>
      <c r="D34" s="123">
        <f>IF(VLOOKUP(B34,'Tabula RefULG 1'!$K$5:$R$83,2,0)=B$6,VLOOKUP(B34,'Tabula RefULG 1'!$K$5:$R$83,3,0),VLOOKUP(B34,'Tabula RefULG 1'!$K$5:$R$83,2,0))</f>
        <v>1</v>
      </c>
      <c r="E34" s="123" t="str">
        <f>VLOOKUP(B34,'Tabula RefULG 1'!$K$5:$R$83,4,0)</f>
        <v>Wall internal</v>
      </c>
      <c r="F34" s="123">
        <f>VLOOKUP(B34,'Tabula RefULG 1'!$K$5:$R$83,5,0)</f>
        <v>68.671375389958385</v>
      </c>
      <c r="G34" s="123">
        <f>VLOOKUP('Verwarming Tabula 2zone RefULG1'!C34,'Tabula RefULG 1'!$B$34:$G$45,5,0)</f>
        <v>21</v>
      </c>
      <c r="H34" s="123">
        <f>VLOOKUP('Verwarming Tabula 2zone RefULG1'!D34,'Tabula RefULG 1'!$B$34:$G$45,5,0)</f>
        <v>21</v>
      </c>
      <c r="I34" s="123">
        <f>VLOOKUP(B34,'Tabula RefULG 1'!$K$5:$R$83,7,0)</f>
        <v>1.330049261083744</v>
      </c>
      <c r="J34" s="119">
        <f>VLOOKUP(B34,'Tabula RefULG 1'!$K$5:$R$83,8,0)</f>
        <v>91.336312095018556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187.41253583002808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5434.9635390708145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294" t="s">
        <v>197</v>
      </c>
      <c r="B45" s="294"/>
      <c r="C45" s="294"/>
      <c r="D45" s="126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data'!E33</f>
        <v>3.119266055045872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 1'!C34</f>
        <v>32.471580345285517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 1'!H34</f>
        <v>75.699999999999989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32.471580345285517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0.15647295392915217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11.040337317397077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320.16978220451523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294" t="s">
        <v>213</v>
      </c>
      <c r="B63" s="294"/>
      <c r="C63" s="294"/>
      <c r="D63" s="294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 1'!C7</f>
        <v>75.699999999999989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RefULG1'!$B$4)</f>
        <v>28.713793103448271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832.69999999999982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227.16666625087342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6587.8333212753296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294" t="s">
        <v>171</v>
      </c>
      <c r="B79" s="294"/>
      <c r="C79" s="294"/>
      <c r="D79" s="294"/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 1'!$K$5:$R$83,3,0)</f>
        <v>2</v>
      </c>
      <c r="D84" s="108" t="str">
        <f>VLOOKUP(B84,'Tabula RefULG 1'!$K$5:$R$83,4,0)</f>
        <v>Wall External</v>
      </c>
      <c r="E84" s="108">
        <f>VLOOKUP(B84,'Tabula RefULG 1'!$K$5:$R$83,5,0)</f>
        <v>38.663700752545374</v>
      </c>
      <c r="F84" s="108" t="str">
        <f>VLOOKUP(B84,'Tabula RefULG 1'!$K$5:$R$83,6,0)</f>
        <v>front</v>
      </c>
      <c r="G84" s="108">
        <f>VLOOKUP(B84,'Tabula RefULG 1'!$K$5:$R$83,7,0)</f>
        <v>2.2022341505875525</v>
      </c>
      <c r="H84" s="109">
        <f>VLOOKUP(B84,'Tabula RefULG 1'!$K$5:$R$83,8,0)</f>
        <v>85.146522185353078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 1'!$K$5:$R$83,3,0)</f>
        <v>2</v>
      </c>
      <c r="D85" s="108" t="str">
        <f>VLOOKUP(B85,'Tabula RefULG 1'!$K$5:$R$83,4,0)</f>
        <v>Wall External</v>
      </c>
      <c r="E85" s="108">
        <f>VLOOKUP(B85,'Tabula RefULG 1'!$K$5:$R$83,5,0)</f>
        <v>0</v>
      </c>
      <c r="F85" s="108" t="str">
        <f>VLOOKUP(B85,'Tabula RefULG 1'!$K$5:$R$83,6,0)</f>
        <v>right</v>
      </c>
      <c r="G85" s="108">
        <f>VLOOKUP(B85,'Tabula RefULG 1'!$K$5:$R$83,7,0)</f>
        <v>2.2022341505875525</v>
      </c>
      <c r="H85" s="109">
        <f>VLOOKUP(B85,'Tabula RefULG 1'!$K$5:$R$83,8,0)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 1'!$K$5:$R$83,3,0)</f>
        <v>2</v>
      </c>
      <c r="D86" s="108" t="str">
        <f>VLOOKUP(B86,'Tabula RefULG 1'!$K$5:$R$83,4,0)</f>
        <v>Wall External</v>
      </c>
      <c r="E86" s="108">
        <f>VLOOKUP(B86,'Tabula RefULG 1'!$K$5:$R$83,5,0)</f>
        <v>38.663700752545374</v>
      </c>
      <c r="F86" s="108" t="str">
        <f>VLOOKUP(B86,'Tabula RefULG 1'!$K$5:$R$83,6,0)</f>
        <v>back</v>
      </c>
      <c r="G86" s="108">
        <f>VLOOKUP(B86,'Tabula RefULG 1'!$K$5:$R$83,7,0)</f>
        <v>2.2022341505875525</v>
      </c>
      <c r="H86" s="109">
        <f>VLOOKUP(B86,'Tabula RefULG 1'!$K$5:$R$83,8,0)</f>
        <v>85.146522185353078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 1'!$K$5:$R$83,3,0)</f>
        <v>2</v>
      </c>
      <c r="D87" s="108" t="str">
        <f>VLOOKUP(B87,'Tabula RefULG 1'!$K$5:$R$83,4,0)</f>
        <v>Wall External</v>
      </c>
      <c r="E87" s="108">
        <f>VLOOKUP(B87,'Tabula RefULG 1'!$K$5:$R$83,5,0)</f>
        <v>0</v>
      </c>
      <c r="F87" s="108" t="str">
        <f>VLOOKUP(B87,'Tabula RefULG 1'!$K$5:$R$83,6,0)</f>
        <v>left</v>
      </c>
      <c r="G87" s="108">
        <f>VLOOKUP(B87,'Tabula RefULG 1'!$K$5:$R$83,7,0)</f>
        <v>2.2022341505875525</v>
      </c>
      <c r="H87" s="109">
        <f>VLOOKUP(B87,'Tabula RefULG 1'!$K$5:$R$83,8,0)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 1'!$K$5:$R$83,3,0)</f>
        <v>2</v>
      </c>
      <c r="D88" s="108" t="str">
        <f>VLOOKUP(B88,'Tabula RefULG 1'!$K$5:$R$83,4,0)</f>
        <v>Window</v>
      </c>
      <c r="E88" s="108">
        <f>VLOOKUP(B88,'Tabula RefULG 1'!$K$5:$R$83,5,0)</f>
        <v>4.2</v>
      </c>
      <c r="F88" s="108" t="str">
        <f>VLOOKUP(B88,'Tabula RefULG 1'!$K$5:$R$83,6,0)</f>
        <v>front</v>
      </c>
      <c r="G88" s="108">
        <f>VLOOKUP(B88,'Tabula RefULG 1'!$K$5:$R$83,7,0)</f>
        <v>2</v>
      </c>
      <c r="H88" s="109">
        <f>VLOOKUP(B88,'Tabula RefULG 1'!$K$5:$R$83,8,0)</f>
        <v>8.4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 1'!$K$5:$R$83,3,0)</f>
        <v>2</v>
      </c>
      <c r="D89" s="108" t="str">
        <f>VLOOKUP(B89,'Tabula RefULG 1'!$K$5:$R$83,4,0)</f>
        <v>Window</v>
      </c>
      <c r="E89" s="108">
        <f>VLOOKUP(B89,'Tabula RefULG 1'!$K$5:$R$83,5,0)</f>
        <v>3.95</v>
      </c>
      <c r="F89" s="108" t="str">
        <f>VLOOKUP(B89,'Tabula RefULG 1'!$K$5:$R$83,6,0)</f>
        <v>right</v>
      </c>
      <c r="G89" s="108">
        <f>VLOOKUP(B89,'Tabula RefULG 1'!$K$5:$R$83,7,0)</f>
        <v>2</v>
      </c>
      <c r="H89" s="109">
        <f>VLOOKUP(B89,'Tabula RefULG 1'!$K$5:$R$83,8,0)</f>
        <v>7.9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 1'!$K$5:$R$83,3,0)</f>
        <v>2</v>
      </c>
      <c r="D90" s="108" t="str">
        <f>VLOOKUP(B90,'Tabula RefULG 1'!$K$5:$R$83,4,0)</f>
        <v>Window</v>
      </c>
      <c r="E90" s="108">
        <f>VLOOKUP(B90,'Tabula RefULG 1'!$K$5:$R$83,5,0)</f>
        <v>4.05</v>
      </c>
      <c r="F90" s="108" t="str">
        <f>VLOOKUP(B90,'Tabula RefULG 1'!$K$5:$R$83,6,0)</f>
        <v>back</v>
      </c>
      <c r="G90" s="108">
        <f>VLOOKUP(B90,'Tabula RefULG 1'!$K$5:$R$83,7,0)</f>
        <v>2</v>
      </c>
      <c r="H90" s="109">
        <f>VLOOKUP(B90,'Tabula RefULG 1'!$K$5:$R$83,8,0)</f>
        <v>8.1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 1'!$K$5:$R$83,3,0)</f>
        <v>2</v>
      </c>
      <c r="D91" s="108" t="str">
        <f>VLOOKUP(B91,'Tabula RefULG 1'!$K$5:$R$83,4,0)</f>
        <v>Window</v>
      </c>
      <c r="E91" s="108">
        <f>VLOOKUP(B91,'Tabula RefULG 1'!$K$5:$R$83,5,0)</f>
        <v>3.55</v>
      </c>
      <c r="F91" s="108" t="str">
        <f>VLOOKUP(B91,'Tabula RefULG 1'!$K$5:$R$83,6,0)</f>
        <v>left</v>
      </c>
      <c r="G91" s="108">
        <f>VLOOKUP(B91,'Tabula RefULG 1'!$K$5:$R$83,7,0)</f>
        <v>2</v>
      </c>
      <c r="H91" s="109">
        <f>VLOOKUP(B91,'Tabula RefULG 1'!$K$5:$R$83,8,0)</f>
        <v>7.1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 1'!$K$5:$R$83,3,0)</f>
        <v>2</v>
      </c>
      <c r="D92" s="108" t="str">
        <f>VLOOKUP(B92,'Tabula RefULG 1'!$K$5:$R$83,4,0)</f>
        <v>Roof</v>
      </c>
      <c r="E92" s="108">
        <f>VLOOKUP(B92,'Tabula RefULG 1'!$K$5:$R$83,5,0)</f>
        <v>90</v>
      </c>
      <c r="F92" s="108" t="str">
        <f>VLOOKUP(B92,'Tabula RefULG 1'!$K$5:$R$83,6,0)</f>
        <v>front/back</v>
      </c>
      <c r="G92" s="108">
        <f>VLOOKUP(B92,'Tabula RefULG 1'!$K$5:$R$83,7,0)</f>
        <v>0.27481053799679722</v>
      </c>
      <c r="H92" s="109">
        <f>VLOOKUP(B92,'Tabula RefULG 1'!$K$5:$R$83,8,0)</f>
        <v>24.73294841971175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 1'!$K$5:$R$83,2,0)=$B$78,VLOOKUP(B108,'Tabula RefULG 1'!$K$5:$R$83,2,0),VLOOKUP(B108,'Tabula RefULG 1'!$K$5:$R$83,3,0))</f>
        <v>2</v>
      </c>
      <c r="D108" s="123">
        <f>IF(VLOOKUP(B108,'Tabula RefULG 1'!$K$5:$R$83,2,0)=$B$78,VLOOKUP(B108,'Tabula RefULG 1'!$K$5:$R$83,3,0),VLOOKUP(B108,'Tabula RefULG 1'!$K$5:$R$83,2,0))</f>
        <v>1</v>
      </c>
      <c r="E108" s="123" t="str">
        <f>VLOOKUP(B108,'Tabula RefULG 1'!$K$5:$R$83,4,0)</f>
        <v>Floor internal</v>
      </c>
      <c r="F108" s="123">
        <f>VLOOKUP(B108,'Tabula RefULG 1'!$K$5:$R$83,5,0)</f>
        <v>75.699999999999989</v>
      </c>
      <c r="G108" s="123">
        <f>VLOOKUP('Verwarming Tabula 2zone RefULG1'!C108,'Tabula RefULG 1'!$B$34:$G$45,5,0)</f>
        <v>18</v>
      </c>
      <c r="H108" s="123">
        <f>VLOOKUP('Verwarming Tabula 2zone RefULG1'!D108,'Tabula RefULG 1'!$B$34:$G$45,5,0)</f>
        <v>21</v>
      </c>
      <c r="I108" s="123">
        <f>VLOOKUP(B108,'Tabula RefULG 1'!$K$5:$R$83,7,0)</f>
        <v>0.91717620900500274</v>
      </c>
      <c r="J108" s="119">
        <f>VLOOKUP(B108,'Tabula RefULG 1'!$K$5:$R$83,8,0)</f>
        <v>69.430239021678702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 1'!$K$5:$R$83,2,0)=$B$78,VLOOKUP(B109,'Tabula RefULG 1'!$K$5:$R$83,2,0),VLOOKUP(B109,'Tabula RefULG 1'!$K$5:$R$83,3,0))</f>
        <v>2</v>
      </c>
      <c r="D109" s="123">
        <f>IF(VLOOKUP(B109,'Tabula RefULG 1'!$K$5:$R$83,2,0)=$B$78,VLOOKUP(B109,'Tabula RefULG 1'!$K$5:$R$83,3,0),VLOOKUP(B109,'Tabula RefULG 1'!$K$5:$R$83,2,0))</f>
        <v>2</v>
      </c>
      <c r="E109" s="123" t="str">
        <f>VLOOKUP(B109,'Tabula RefULG 1'!$K$5:$R$83,4,0)</f>
        <v>Wall internal</v>
      </c>
      <c r="F109" s="123">
        <f>VLOOKUP(B109,'Tabula RefULG 1'!$K$5:$R$83,5,0)</f>
        <v>136.25416887148947</v>
      </c>
      <c r="G109" s="123">
        <f>VLOOKUP('Verwarming Tabula 2zone RefULG1'!C109,'Tabula RefULG 1'!$B$34:$G$45,5,0)</f>
        <v>18</v>
      </c>
      <c r="H109" s="123">
        <f>VLOOKUP('Verwarming Tabula 2zone RefULG1'!D109,'Tabula RefULG 1'!$B$34:$G$45,5,0)</f>
        <v>18</v>
      </c>
      <c r="I109" s="123">
        <f>VLOOKUP(B109,'Tabula RefULG 1'!$K$5:$R$83,7,0)</f>
        <v>1.330049261083744</v>
      </c>
      <c r="J109" s="119">
        <f>VLOOKUP(B109,'Tabula RefULG 1'!$K$5:$R$83,8,0)</f>
        <v>181.22475662710423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218.5148113648396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5681.3850954858299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294" t="s">
        <v>197</v>
      </c>
      <c r="B124" s="294"/>
      <c r="C124" s="294"/>
      <c r="D124" s="126" t="s">
        <v>225</v>
      </c>
      <c r="E124" s="273"/>
      <c r="F124" s="273"/>
      <c r="G124" s="273"/>
      <c r="H124" s="273"/>
      <c r="I124" s="273"/>
      <c r="J124" s="273"/>
      <c r="K124" s="273"/>
      <c r="L124" s="273"/>
      <c r="M124" s="273"/>
      <c r="N124" s="273"/>
      <c r="O124" s="273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data'!E33</f>
        <v>3.119266055045872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 1'!$B$34:$G$45,2,0)*B127*B128*B129</f>
        <v>77.314103585657378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 1'!H35</f>
        <v>150.20000000000002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77.314103585657378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0.48476439346946082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0.34*(B137)</f>
        <v>26.286795219123512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683.45667569721127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294" t="s">
        <v>213</v>
      </c>
      <c r="B142" s="294"/>
      <c r="C142" s="294"/>
      <c r="D142" s="294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0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150.20000000000002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RefULG1'!$B$4)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244.80160658396312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6364.8417711830407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73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294" t="s">
        <v>171</v>
      </c>
      <c r="B159" s="294"/>
      <c r="C159" s="294"/>
      <c r="D159" s="294"/>
      <c r="E159" s="273"/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RefULG1'!C188,'Gebouwgegevens Allacker'!$A$35:$F$46,5,0)</f>
        <v>#N/A</v>
      </c>
      <c r="H188" s="123" t="e">
        <f>VLOOKUP('Verwarming Tabula 2zone RefULG1'!D188,'Gebouwgegevens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RefULG1'!C189,'Gebouwgegevens Allacker'!$A$35:$F$46,5,0)</f>
        <v>#N/A</v>
      </c>
      <c r="H189" s="123" t="e">
        <f>VLOOKUP('Verwarming Tabula 2zone RefULG1'!D189,'Gebouwgegevens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RefULG1'!C190,'Gebouwgegevens Allacker'!$A$35:$F$46,5,0)</f>
        <v>#N/A</v>
      </c>
      <c r="H190" s="123" t="e">
        <f>VLOOKUP('Verwarming Tabula 2zone RefULG1'!D190,'Gebouwgegevens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294" t="s">
        <v>197</v>
      </c>
      <c r="B204" s="294"/>
      <c r="C204" s="294"/>
      <c r="D204" s="126" t="s">
        <v>225</v>
      </c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294" t="s">
        <v>213</v>
      </c>
      <c r="B222" s="294"/>
      <c r="C222" s="294"/>
      <c r="D222" s="294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2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73"/>
      <c r="C236" s="273"/>
      <c r="D236" s="273"/>
      <c r="E236" s="273"/>
      <c r="F236" s="273"/>
      <c r="G236" s="273"/>
      <c r="H236" s="273"/>
      <c r="I236" s="273"/>
      <c r="J236" s="273"/>
      <c r="K236" s="273"/>
      <c r="L236" s="273"/>
      <c r="M236" s="273"/>
      <c r="N236" s="273"/>
      <c r="O236" s="273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294" t="s">
        <v>171</v>
      </c>
      <c r="B238" s="294"/>
      <c r="C238" s="294"/>
      <c r="D238" s="294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73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RefULG1'!C267,'Gebouwgegevens Allacker'!$A$35:$F$46,5,0)</f>
        <v>#N/A</v>
      </c>
      <c r="H267" s="123" t="e">
        <f>VLOOKUP('Verwarming Tabula 2zone RefULG1'!D267,'Gebouwgegevens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RefULG1'!C268,'Gebouwgegevens Allacker'!$A$35:$F$46,5,0)</f>
        <v>#N/A</v>
      </c>
      <c r="H268" s="123" t="e">
        <f>VLOOKUP('Verwarming Tabula 2zone RefULG1'!D268,'Gebouwgegevens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RefULG1'!C269,'Gebouwgegevens Allacker'!$A$35:$F$46,5,0)</f>
        <v>#N/A</v>
      </c>
      <c r="H269" s="123" t="e">
        <f>VLOOKUP('Verwarming Tabula 2zone RefULG1'!D269,'Gebouwgegevens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RefULG1'!C270,'Gebouwgegevens Allacker'!$A$35:$F$46,5,0)</f>
        <v>#N/A</v>
      </c>
      <c r="H270" s="123" t="e">
        <f>VLOOKUP('Verwarming Tabula 2zone RefULG1'!D270,'Gebouwgegevens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294" t="s">
        <v>197</v>
      </c>
      <c r="B283" s="294"/>
      <c r="C283" s="294"/>
      <c r="D283" s="126" t="s">
        <v>225</v>
      </c>
      <c r="E283" s="273"/>
      <c r="F283" s="273"/>
      <c r="G283" s="273"/>
      <c r="H283" s="273"/>
      <c r="I283" s="273"/>
      <c r="J283" s="273"/>
      <c r="K283" s="273"/>
      <c r="L283" s="273"/>
      <c r="M283" s="273"/>
      <c r="N283" s="273"/>
      <c r="O283" s="273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294" t="s">
        <v>213</v>
      </c>
      <c r="B301" s="294"/>
      <c r="C301" s="294"/>
      <c r="D301" s="294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2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73"/>
      <c r="C315" s="273"/>
      <c r="D315" s="273"/>
      <c r="E315" s="273"/>
      <c r="F315" s="273"/>
      <c r="G315" s="273"/>
      <c r="H315" s="273"/>
      <c r="I315" s="273"/>
      <c r="J315" s="273"/>
      <c r="K315" s="273"/>
      <c r="L315" s="273"/>
      <c r="M315" s="273"/>
      <c r="N315" s="273"/>
      <c r="O315" s="273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294" t="s">
        <v>171</v>
      </c>
      <c r="B317" s="294"/>
      <c r="C317" s="294"/>
      <c r="D317" s="294"/>
      <c r="E317" s="273"/>
      <c r="F317" s="273"/>
      <c r="G317" s="273"/>
      <c r="H317" s="273"/>
      <c r="I317" s="273"/>
      <c r="J317" s="273"/>
      <c r="K317" s="273"/>
      <c r="L317" s="273"/>
      <c r="M317" s="273"/>
      <c r="N317" s="273"/>
      <c r="O317" s="273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RefULG1'!C346,'Gebouwgegevens Allacker'!$A$35:$F$46,5,0)</f>
        <v>#N/A</v>
      </c>
      <c r="H346" s="123" t="e">
        <f>VLOOKUP('Verwarming Tabula 2zone RefULG1'!D346,'Gebouwgegevens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RefULG1'!C347,'Gebouwgegevens Allacker'!$A$35:$F$46,5,0)</f>
        <v>#N/A</v>
      </c>
      <c r="H347" s="123" t="e">
        <f>VLOOKUP('Verwarming Tabula 2zone RefULG1'!D347,'Gebouwgegevens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RefULG1'!C348,'Gebouwgegevens Allacker'!$A$35:$F$46,5,0)</f>
        <v>#N/A</v>
      </c>
      <c r="H348" s="123" t="e">
        <f>VLOOKUP('Verwarming Tabula 2zone RefULG1'!D348,'Gebouwgegevens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RefULG1'!C349,'Gebouwgegevens Allacker'!$A$35:$F$46,5,0)</f>
        <v>#N/A</v>
      </c>
      <c r="H349" s="123" t="e">
        <f>VLOOKUP('Verwarming Tabula 2zone RefULG1'!D349,'Gebouwgegevens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RefULG1'!C350,'Gebouwgegevens Allacker'!$A$35:$F$46,5,0)</f>
        <v>#N/A</v>
      </c>
      <c r="H350" s="123" t="e">
        <f>VLOOKUP('Verwarming Tabula 2zone RefULG1'!D350,'Gebouwgegevens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294" t="s">
        <v>197</v>
      </c>
      <c r="B362" s="294"/>
      <c r="C362" s="294"/>
      <c r="D362" s="126" t="s">
        <v>225</v>
      </c>
      <c r="E362" s="273"/>
      <c r="F362" s="273"/>
      <c r="G362" s="273"/>
      <c r="H362" s="273"/>
      <c r="I362" s="273"/>
      <c r="J362" s="273"/>
      <c r="K362" s="273"/>
      <c r="L362" s="273"/>
      <c r="M362" s="273"/>
      <c r="N362" s="273"/>
      <c r="O362" s="273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294" t="s">
        <v>213</v>
      </c>
      <c r="B380" s="294"/>
      <c r="C380" s="294"/>
      <c r="D380" s="294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2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73"/>
      <c r="C393" s="273"/>
      <c r="D393" s="273"/>
      <c r="E393" s="273"/>
      <c r="F393" s="273"/>
      <c r="G393" s="273"/>
      <c r="H393" s="273"/>
      <c r="I393" s="273"/>
      <c r="J393" s="273"/>
      <c r="K393" s="273"/>
      <c r="L393" s="273"/>
      <c r="M393" s="273"/>
      <c r="N393" s="273"/>
      <c r="O393" s="273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294" t="s">
        <v>171</v>
      </c>
      <c r="B395" s="294"/>
      <c r="C395" s="294"/>
      <c r="D395" s="294"/>
      <c r="E395" s="273"/>
      <c r="F395" s="273"/>
      <c r="G395" s="273"/>
      <c r="H395" s="273"/>
      <c r="I395" s="273"/>
      <c r="J395" s="273"/>
      <c r="K395" s="273"/>
      <c r="L395" s="273"/>
      <c r="M395" s="273"/>
      <c r="N395" s="273"/>
      <c r="O395" s="273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RefULG1'!C424,'Gebouwgegevens Allacker'!$A$35:$F$46,5,0)</f>
        <v>#N/A</v>
      </c>
      <c r="H424" s="123" t="e">
        <f>VLOOKUP('Verwarming Tabula 2zone RefULG1'!D424,'Gebouwgegevens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RefULG1'!C425,'Gebouwgegevens Allacker'!$A$35:$F$46,5,0)</f>
        <v>#N/A</v>
      </c>
      <c r="H425" s="123" t="e">
        <f>VLOOKUP('Verwarming Tabula 2zone RefULG1'!D425,'Gebouwgegevens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RefULG1'!C426,'Gebouwgegevens Allacker'!$A$35:$F$46,5,0)</f>
        <v>#N/A</v>
      </c>
      <c r="H426" s="123" t="e">
        <f>VLOOKUP('Verwarming Tabula 2zone RefULG1'!D426,'Gebouwgegevens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RefULG1'!C427,'Gebouwgegevens Allacker'!$A$35:$F$46,5,0)</f>
        <v>#N/A</v>
      </c>
      <c r="H427" s="123" t="e">
        <f>VLOOKUP('Verwarming Tabula 2zone RefULG1'!D427,'Gebouwgegevens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RefULG1'!C428,'Gebouwgegevens Allacker'!$A$35:$F$46,5,0)</f>
        <v>#N/A</v>
      </c>
      <c r="H428" s="123" t="e">
        <f>VLOOKUP('Verwarming Tabula 2zone RefULG1'!D428,'Gebouwgegevens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294" t="s">
        <v>197</v>
      </c>
      <c r="B440" s="294"/>
      <c r="C440" s="294"/>
      <c r="D440" s="126" t="s">
        <v>225</v>
      </c>
      <c r="E440" s="273"/>
      <c r="F440" s="273"/>
      <c r="G440" s="273"/>
      <c r="H440" s="273"/>
      <c r="I440" s="273"/>
      <c r="J440" s="273"/>
      <c r="K440" s="273"/>
      <c r="L440" s="273"/>
      <c r="M440" s="273"/>
      <c r="N440" s="273"/>
      <c r="O440" s="273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294" t="s">
        <v>213</v>
      </c>
      <c r="B458" s="294"/>
      <c r="C458" s="294"/>
      <c r="D458" s="294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2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73"/>
      <c r="C471" s="273"/>
      <c r="D471" s="273"/>
      <c r="E471" s="273"/>
      <c r="F471" s="273"/>
      <c r="G471" s="273"/>
      <c r="H471" s="273"/>
      <c r="I471" s="273"/>
      <c r="J471" s="273"/>
      <c r="K471" s="273"/>
      <c r="L471" s="273"/>
      <c r="M471" s="273"/>
      <c r="N471" s="273"/>
      <c r="O471" s="273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294" t="s">
        <v>171</v>
      </c>
      <c r="B473" s="294"/>
      <c r="C473" s="294"/>
      <c r="D473" s="294"/>
      <c r="E473" s="273"/>
      <c r="F473" s="273"/>
      <c r="G473" s="273"/>
      <c r="H473" s="273"/>
      <c r="I473" s="273"/>
      <c r="J473" s="273"/>
      <c r="K473" s="273"/>
      <c r="L473" s="273"/>
      <c r="M473" s="273"/>
      <c r="N473" s="273"/>
      <c r="O473" s="273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RefULG1'!C502,'Gebouwgegevens Allacker'!$A$35:$F$46,5,0)</f>
        <v>#N/A</v>
      </c>
      <c r="H502" s="123" t="e">
        <f>VLOOKUP('Verwarming Tabula 2zone RefULG1'!D502,'Gebouwgegevens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RefULG1'!C503,'Gebouwgegevens Allacker'!$A$35:$F$46,5,0)</f>
        <v>#N/A</v>
      </c>
      <c r="H503" s="123" t="e">
        <f>VLOOKUP('Verwarming Tabula 2zone RefULG1'!D503,'Gebouwgegevens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RefULG1'!C504,'Gebouwgegevens Allacker'!$A$35:$F$46,5,0)</f>
        <v>#N/A</v>
      </c>
      <c r="H504" s="123" t="e">
        <f>VLOOKUP('Verwarming Tabula 2zone RefULG1'!D504,'Gebouwgegevens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294" t="s">
        <v>197</v>
      </c>
      <c r="B518" s="294"/>
      <c r="C518" s="294"/>
      <c r="D518" s="126" t="s">
        <v>225</v>
      </c>
      <c r="E518" s="273"/>
      <c r="F518" s="273"/>
      <c r="G518" s="273"/>
      <c r="H518" s="273"/>
      <c r="I518" s="273"/>
      <c r="J518" s="273"/>
      <c r="K518" s="273"/>
      <c r="L518" s="273"/>
      <c r="M518" s="273"/>
      <c r="N518" s="273"/>
      <c r="O518" s="273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294" t="s">
        <v>213</v>
      </c>
      <c r="B536" s="294"/>
      <c r="C536" s="294"/>
      <c r="D536" s="294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73"/>
      <c r="C550" s="273"/>
      <c r="D550" s="273"/>
      <c r="E550" s="273"/>
      <c r="F550" s="273"/>
      <c r="G550" s="273"/>
      <c r="H550" s="273"/>
      <c r="I550" s="273"/>
      <c r="J550" s="273"/>
      <c r="K550" s="273"/>
      <c r="L550" s="273"/>
      <c r="M550" s="273"/>
      <c r="N550" s="273"/>
      <c r="O550" s="273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294" t="s">
        <v>171</v>
      </c>
      <c r="B552" s="294"/>
      <c r="C552" s="294"/>
      <c r="D552" s="294"/>
      <c r="E552" s="273"/>
      <c r="F552" s="273"/>
      <c r="G552" s="273"/>
      <c r="H552" s="273"/>
      <c r="I552" s="273"/>
      <c r="J552" s="273"/>
      <c r="K552" s="273"/>
      <c r="L552" s="273"/>
      <c r="M552" s="273"/>
      <c r="N552" s="273"/>
      <c r="O552" s="273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RefULG1'!C581,'Gebouwgegevens Allacker'!$A$35:$F$46,5,0)</f>
        <v>#N/A</v>
      </c>
      <c r="H581" s="123" t="e">
        <f>VLOOKUP('Verwarming Tabula 2zone RefULG1'!D581,'Gebouwgegevens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RefULG1'!C582,'Gebouwgegevens Allacker'!$A$35:$F$46,5,0)</f>
        <v>#N/A</v>
      </c>
      <c r="H582" s="123" t="e">
        <f>VLOOKUP('Verwarming Tabula 2zone RefULG1'!D582,'Gebouwgegevens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RefULG1'!C583,'Gebouwgegevens Allacker'!$A$35:$F$46,5,0)</f>
        <v>#N/A</v>
      </c>
      <c r="H583" s="123" t="e">
        <f>VLOOKUP('Verwarming Tabula 2zone RefULG1'!D583,'Gebouwgegevens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294" t="s">
        <v>197</v>
      </c>
      <c r="B597" s="294"/>
      <c r="C597" s="294"/>
      <c r="D597" s="126" t="s">
        <v>225</v>
      </c>
      <c r="E597" s="273"/>
      <c r="F597" s="273"/>
      <c r="G597" s="273"/>
      <c r="H597" s="273"/>
      <c r="I597" s="273"/>
      <c r="J597" s="273"/>
      <c r="K597" s="273"/>
      <c r="L597" s="273"/>
      <c r="M597" s="273"/>
      <c r="N597" s="273"/>
      <c r="O597" s="273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294" t="s">
        <v>213</v>
      </c>
      <c r="B615" s="294"/>
      <c r="C615" s="294"/>
      <c r="D615" s="294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2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73"/>
      <c r="C629" s="273"/>
      <c r="D629" s="273"/>
      <c r="E629" s="273"/>
      <c r="F629" s="273"/>
      <c r="G629" s="273"/>
      <c r="H629" s="273"/>
      <c r="I629" s="273"/>
      <c r="J629" s="273"/>
      <c r="K629" s="273"/>
      <c r="L629" s="273"/>
      <c r="M629" s="273"/>
      <c r="N629" s="273"/>
      <c r="O629" s="273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294" t="s">
        <v>171</v>
      </c>
      <c r="B631" s="294"/>
      <c r="C631" s="294"/>
      <c r="D631" s="294"/>
      <c r="E631" s="273"/>
      <c r="F631" s="273"/>
      <c r="G631" s="273"/>
      <c r="H631" s="273"/>
      <c r="I631" s="273"/>
      <c r="J631" s="273"/>
      <c r="K631" s="273"/>
      <c r="L631" s="273"/>
      <c r="M631" s="273"/>
      <c r="N631" s="273"/>
      <c r="O631" s="273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RefULG1'!C660,'Gebouwgegevens Allacker'!$A$35:$F$46,5,0)</f>
        <v>#N/A</v>
      </c>
      <c r="H660" s="123" t="e">
        <f>VLOOKUP('Verwarming Tabula 2zone RefULG1'!D660,'Gebouwgegevens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RefULG1'!C661,'Gebouwgegevens Allacker'!$A$35:$F$46,5,0)</f>
        <v>#N/A</v>
      </c>
      <c r="H661" s="123" t="e">
        <f>VLOOKUP('Verwarming Tabula 2zone RefULG1'!D661,'Gebouwgegevens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294" t="s">
        <v>197</v>
      </c>
      <c r="B676" s="294"/>
      <c r="C676" s="294"/>
      <c r="D676" s="126" t="s">
        <v>225</v>
      </c>
      <c r="E676" s="273"/>
      <c r="F676" s="273"/>
      <c r="G676" s="273"/>
      <c r="H676" s="273"/>
      <c r="I676" s="273"/>
      <c r="J676" s="273"/>
      <c r="K676" s="273"/>
      <c r="L676" s="273"/>
      <c r="M676" s="273"/>
      <c r="N676" s="273"/>
      <c r="O676" s="273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294" t="s">
        <v>213</v>
      </c>
      <c r="B694" s="294"/>
      <c r="C694" s="294"/>
      <c r="D694" s="294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2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73"/>
      <c r="C708" s="273"/>
      <c r="D708" s="273"/>
      <c r="E708" s="273"/>
      <c r="F708" s="273"/>
      <c r="G708" s="273"/>
      <c r="H708" s="273"/>
      <c r="I708" s="273"/>
      <c r="J708" s="273"/>
      <c r="K708" s="273"/>
      <c r="L708" s="273"/>
      <c r="M708" s="273"/>
      <c r="N708" s="273"/>
      <c r="O708" s="273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294" t="s">
        <v>171</v>
      </c>
      <c r="B710" s="294"/>
      <c r="C710" s="294"/>
      <c r="D710" s="294"/>
      <c r="E710" s="273"/>
      <c r="F710" s="273"/>
      <c r="G710" s="273"/>
      <c r="H710" s="273"/>
      <c r="I710" s="273"/>
      <c r="J710" s="273"/>
      <c r="K710" s="273"/>
      <c r="L710" s="273"/>
      <c r="M710" s="273"/>
      <c r="N710" s="273"/>
      <c r="O710" s="273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RefULG1'!C739,'Gebouwgegevens Allacker'!$A$35:$F$46,5,0)</f>
        <v>#N/A</v>
      </c>
      <c r="H739" s="123" t="e">
        <f>VLOOKUP('Verwarming Tabula 2zone RefULG1'!D739,'Gebouwgegevens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RefULG1'!C740,'Gebouwgegevens Allacker'!$A$35:$F$46,5,0)</f>
        <v>#N/A</v>
      </c>
      <c r="H740" s="123" t="e">
        <f>VLOOKUP('Verwarming Tabula 2zone RefULG1'!D740,'Gebouwgegevens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RefULG1'!C741,'Gebouwgegevens Allacker'!$A$35:$F$46,5,0)</f>
        <v>#N/A</v>
      </c>
      <c r="H741" s="123" t="e">
        <f>VLOOKUP('Verwarming Tabula 2zone RefULG1'!D741,'Gebouwgegevens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RefULG1'!C742,'Gebouwgegevens Allacker'!$A$35:$F$46,5,0)</f>
        <v>#N/A</v>
      </c>
      <c r="H742" s="123" t="e">
        <f>VLOOKUP('Verwarming Tabula 2zone RefULG1'!D742,'Gebouwgegevens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RefULG1'!C743,'Gebouwgegevens Allacker'!$A$35:$F$46,5,0)</f>
        <v>#N/A</v>
      </c>
      <c r="H743" s="123" t="e">
        <f>VLOOKUP('Verwarming Tabula 2zone RefULG1'!D743,'Gebouwgegevens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RefULG1'!C744,'Gebouwgegevens Allacker'!$A$35:$F$46,5,0)</f>
        <v>#N/A</v>
      </c>
      <c r="H744" s="123" t="e">
        <f>VLOOKUP('Verwarming Tabula 2zone RefULG1'!D744,'Gebouwgegevens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RefULG1'!C745,'Gebouwgegevens Allacker'!$A$35:$F$46,5,0)</f>
        <v>#N/A</v>
      </c>
      <c r="H745" s="123" t="e">
        <f>VLOOKUP('Verwarming Tabula 2zone RefULG1'!D745,'Gebouwgegevens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RefULG1'!C746,'Gebouwgegevens Allacker'!$A$35:$F$46,5,0)</f>
        <v>#N/A</v>
      </c>
      <c r="H746" s="123" t="e">
        <f>VLOOKUP('Verwarming Tabula 2zone RefULG1'!D746,'Gebouwgegevens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RefULG1'!C747,'Gebouwgegevens Allacker'!$A$35:$F$46,5,0)</f>
        <v>#N/A</v>
      </c>
      <c r="H747" s="123" t="e">
        <f>VLOOKUP('Verwarming Tabula 2zone RefULG1'!D747,'Gebouwgegevens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RefULG1'!C748,'Gebouwgegevens Allacker'!$A$35:$F$46,5,0)</f>
        <v>#N/A</v>
      </c>
      <c r="H748" s="123" t="e">
        <f>VLOOKUP('Verwarming Tabula 2zone RefULG1'!D748,'Gebouwgegevens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RefULG1'!C749,'Gebouwgegevens Allacker'!$A$35:$F$46,5,0)</f>
        <v>#N/A</v>
      </c>
      <c r="H749" s="123" t="e">
        <f>VLOOKUP('Verwarming Tabula 2zone RefULG1'!D749,'Gebouwgegevens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RefULG1'!C750,'Gebouwgegevens Allacker'!$A$35:$F$46,5,0)</f>
        <v>#N/A</v>
      </c>
      <c r="H750" s="123" t="e">
        <f>VLOOKUP('Verwarming Tabula 2zone RefULG1'!D750,'Gebouwgegevens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294" t="s">
        <v>197</v>
      </c>
      <c r="B755" s="294"/>
      <c r="C755" s="294"/>
      <c r="D755" s="126" t="s">
        <v>225</v>
      </c>
      <c r="E755" s="273"/>
      <c r="F755" s="273"/>
      <c r="G755" s="273"/>
      <c r="H755" s="273"/>
      <c r="I755" s="273"/>
      <c r="J755" s="273"/>
      <c r="K755" s="273"/>
      <c r="L755" s="273"/>
      <c r="M755" s="273"/>
      <c r="N755" s="273"/>
      <c r="O755" s="273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294" t="s">
        <v>213</v>
      </c>
      <c r="B773" s="294"/>
      <c r="C773" s="294"/>
      <c r="D773" s="294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2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="90" zoomScaleNormal="90" workbookViewId="0">
      <selection activeCell="D12" sqref="D12"/>
    </sheetView>
  </sheetViews>
  <sheetFormatPr defaultRowHeight="15" x14ac:dyDescent="0.25"/>
  <cols>
    <col min="1" max="1" width="9.140625" style="152"/>
    <col min="2" max="2" width="16.7109375" style="152" bestFit="1" customWidth="1"/>
    <col min="3" max="1025" width="9.140625" style="152"/>
    <col min="1026" max="16384" width="9.140625" style="81"/>
  </cols>
  <sheetData>
    <row r="1" spans="1:25" ht="20.25" customHeight="1" x14ac:dyDescent="0.25">
      <c r="A1" s="292" t="s">
        <v>164</v>
      </c>
      <c r="B1" s="292"/>
      <c r="C1" s="292"/>
      <c r="D1" s="292"/>
      <c r="E1" s="292"/>
      <c r="F1" s="292"/>
      <c r="G1" s="292"/>
      <c r="H1" s="292"/>
      <c r="I1" s="292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73"/>
      <c r="W4" s="273"/>
      <c r="X4" s="273"/>
      <c r="Y4" s="95"/>
    </row>
    <row r="5" spans="1:25" ht="18" customHeight="1" thickTop="1" thickBot="1" x14ac:dyDescent="0.3">
      <c r="A5" s="94"/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95"/>
      <c r="U5" s="96"/>
      <c r="V5" s="289" t="s">
        <v>168</v>
      </c>
      <c r="W5" s="289"/>
      <c r="X5" s="289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73"/>
      <c r="Y6" s="97"/>
    </row>
    <row r="7" spans="1:25" ht="16.5" customHeight="1" thickTop="1" x14ac:dyDescent="0.25">
      <c r="A7" s="294" t="s">
        <v>171</v>
      </c>
      <c r="B7" s="294"/>
      <c r="C7" s="294"/>
      <c r="D7" s="294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95"/>
      <c r="U7" s="96"/>
      <c r="V7" s="102">
        <f>B6</f>
        <v>1</v>
      </c>
      <c r="W7" s="103">
        <f>B73</f>
        <v>3903.9184367489515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3217.1376036317688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 2'!K6</f>
        <v>W1</v>
      </c>
      <c r="C12" s="108">
        <f>VLOOKUP(B12,'Tabula RefULG 2'!$K$5:$R$83,3,0)</f>
        <v>1</v>
      </c>
      <c r="D12" s="108" t="str">
        <f>VLOOKUP(B12,'Tabula RefULG 2'!$K$5:$R$83,4,0)</f>
        <v>Wall External</v>
      </c>
      <c r="E12" s="108">
        <f>VLOOKUP(B12,'Tabula RefULG 2'!$K$5:$R$83,5,0)</f>
        <v>19.486299247454621</v>
      </c>
      <c r="F12" s="108" t="str">
        <f>VLOOKUP(B12,'Tabula RefULG 2'!$K$5:$R$83,6,0)</f>
        <v>front</v>
      </c>
      <c r="G12" s="108">
        <f>VLOOKUP(B12,'Tabula RefULG 2'!$K$5:$R$83,7,0)</f>
        <v>0.29666979362101314</v>
      </c>
      <c r="H12" s="109">
        <f>VLOOKUP(B12,'Tabula RefULG 2'!$K$5:$R$83,8,0)</f>
        <v>5.7809963761796661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 2'!K7</f>
        <v>W2</v>
      </c>
      <c r="C13" s="108">
        <f>VLOOKUP(B13,'Tabula RefULG 2'!$K$5:$R$83,3,0)</f>
        <v>1</v>
      </c>
      <c r="D13" s="108" t="str">
        <f>VLOOKUP(B13,'Tabula RefULG 2'!$K$5:$R$83,4,0)</f>
        <v>Wall External</v>
      </c>
      <c r="E13" s="108">
        <f>VLOOKUP(B13,'Tabula RefULG 2'!$K$5:$R$83,5,0)</f>
        <v>0</v>
      </c>
      <c r="F13" s="108" t="str">
        <f>VLOOKUP(B13,'Tabula RefULG 2'!$K$5:$R$83,6,0)</f>
        <v>right</v>
      </c>
      <c r="G13" s="108">
        <f>VLOOKUP(B13,'Tabula RefULG 2'!$K$5:$R$83,7,0)</f>
        <v>0.29666979362101314</v>
      </c>
      <c r="H13" s="109">
        <f>VLOOKUP(B13,'Tabula RefULG 2'!$K$5:$R$83,8,0)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 2'!K8</f>
        <v>W3</v>
      </c>
      <c r="C14" s="108">
        <f>VLOOKUP(B14,'Tabula RefULG 2'!$K$5:$R$83,3,0)</f>
        <v>1</v>
      </c>
      <c r="D14" s="108" t="str">
        <f>VLOOKUP(B14,'Tabula RefULG 2'!$K$5:$R$83,4,0)</f>
        <v>Wall External</v>
      </c>
      <c r="E14" s="108">
        <f>VLOOKUP(B14,'Tabula RefULG 2'!$K$5:$R$83,5,0)</f>
        <v>19.486299247454621</v>
      </c>
      <c r="F14" s="108" t="str">
        <f>VLOOKUP(B14,'Tabula RefULG 2'!$K$5:$R$83,6,0)</f>
        <v>back</v>
      </c>
      <c r="G14" s="108">
        <f>VLOOKUP(B14,'Tabula RefULG 2'!$K$5:$R$83,7,0)</f>
        <v>0.29666979362101314</v>
      </c>
      <c r="H14" s="109">
        <f>VLOOKUP(B14,'Tabula RefULG 2'!$K$5:$R$83,8,0)</f>
        <v>5.7809963761796661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 2'!K9</f>
        <v>W4</v>
      </c>
      <c r="C15" s="108">
        <f>VLOOKUP(B15,'Tabula RefULG 2'!$K$5:$R$83,3,0)</f>
        <v>1</v>
      </c>
      <c r="D15" s="108" t="str">
        <f>VLOOKUP(B15,'Tabula RefULG 2'!$K$5:$R$83,4,0)</f>
        <v>Wall External</v>
      </c>
      <c r="E15" s="108">
        <f>VLOOKUP(B15,'Tabula RefULG 2'!$K$5:$R$83,5,0)</f>
        <v>0</v>
      </c>
      <c r="F15" s="108" t="str">
        <f>VLOOKUP(B15,'Tabula RefULG 2'!$K$5:$R$83,6,0)</f>
        <v>left</v>
      </c>
      <c r="G15" s="108">
        <f>VLOOKUP(B15,'Tabula RefULG 2'!$K$5:$R$83,7,0)</f>
        <v>0.29666979362101314</v>
      </c>
      <c r="H15" s="109">
        <f>VLOOKUP(B15,'Tabula RefULG 2'!$K$5:$R$83,8,0)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 2'!K10</f>
        <v>W5</v>
      </c>
      <c r="C16" s="108">
        <f>VLOOKUP(B16,'Tabula RefULG 2'!$K$5:$R$83,3,0)</f>
        <v>1</v>
      </c>
      <c r="D16" s="108" t="str">
        <f>VLOOKUP(B16,'Tabula RefULG 2'!$K$5:$R$83,4,0)</f>
        <v>Window</v>
      </c>
      <c r="E16" s="108">
        <f>VLOOKUP(B16,'Tabula RefULG 2'!$K$5:$R$83,5,0)</f>
        <v>4.2</v>
      </c>
      <c r="F16" s="108" t="str">
        <f>VLOOKUP(B16,'Tabula RefULG 2'!$K$5:$R$83,6,0)</f>
        <v>front</v>
      </c>
      <c r="G16" s="108">
        <f>VLOOKUP(B16,'Tabula RefULG 2'!$K$5:$R$83,7,0)</f>
        <v>2</v>
      </c>
      <c r="H16" s="109">
        <f>VLOOKUP(B16,'Tabula RefULG 2'!$K$5:$R$83,8,0)</f>
        <v>8.4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 2'!K11</f>
        <v>W6</v>
      </c>
      <c r="C17" s="108">
        <f>VLOOKUP(B17,'Tabula RefULG 2'!$K$5:$R$83,3,0)</f>
        <v>1</v>
      </c>
      <c r="D17" s="108" t="str">
        <f>VLOOKUP(B17,'Tabula RefULG 2'!$K$5:$R$83,4,0)</f>
        <v>Window</v>
      </c>
      <c r="E17" s="108">
        <f>VLOOKUP(B17,'Tabula RefULG 2'!$K$5:$R$83,5,0)</f>
        <v>3.95</v>
      </c>
      <c r="F17" s="108" t="str">
        <f>VLOOKUP(B17,'Tabula RefULG 2'!$K$5:$R$83,6,0)</f>
        <v>right</v>
      </c>
      <c r="G17" s="108">
        <f>VLOOKUP(B17,'Tabula RefULG 2'!$K$5:$R$83,7,0)</f>
        <v>2</v>
      </c>
      <c r="H17" s="109">
        <f>VLOOKUP(B17,'Tabula RefULG 2'!$K$5:$R$83,8,0)</f>
        <v>7.9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 2'!K12</f>
        <v>W7</v>
      </c>
      <c r="C18" s="108">
        <f>VLOOKUP(B18,'Tabula RefULG 2'!$K$5:$R$83,3,0)</f>
        <v>1</v>
      </c>
      <c r="D18" s="108" t="str">
        <f>VLOOKUP(B18,'Tabula RefULG 2'!$K$5:$R$83,4,0)</f>
        <v>Window</v>
      </c>
      <c r="E18" s="108">
        <f>VLOOKUP(B18,'Tabula RefULG 2'!$K$5:$R$83,5,0)</f>
        <v>4.05</v>
      </c>
      <c r="F18" s="108" t="str">
        <f>VLOOKUP(B18,'Tabula RefULG 2'!$K$5:$R$83,6,0)</f>
        <v>back</v>
      </c>
      <c r="G18" s="108">
        <f>VLOOKUP(B18,'Tabula RefULG 2'!$K$5:$R$83,7,0)</f>
        <v>2</v>
      </c>
      <c r="H18" s="109">
        <f>VLOOKUP(B18,'Tabula RefULG 2'!$K$5:$R$83,8,0)</f>
        <v>8.1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7121.0560403807203</v>
      </c>
      <c r="X18" s="273" t="s">
        <v>172</v>
      </c>
      <c r="Y18" s="97"/>
    </row>
    <row r="19" spans="1:25" ht="16.5" customHeight="1" thickTop="1" thickBot="1" x14ac:dyDescent="0.3">
      <c r="A19" s="96"/>
      <c r="B19" s="107" t="str">
        <f>'Tabula RefULG 2'!K13</f>
        <v>W8</v>
      </c>
      <c r="C19" s="108">
        <f>VLOOKUP(B19,'Tabula RefULG 2'!$K$5:$R$83,3,0)</f>
        <v>1</v>
      </c>
      <c r="D19" s="108" t="str">
        <f>VLOOKUP(B19,'Tabula RefULG 2'!$K$5:$R$83,4,0)</f>
        <v>Window</v>
      </c>
      <c r="E19" s="108">
        <f>VLOOKUP(B19,'Tabula RefULG 2'!$K$5:$R$83,5,0)</f>
        <v>3.55</v>
      </c>
      <c r="F19" s="108" t="str">
        <f>VLOOKUP(B19,'Tabula RefULG 2'!$K$5:$R$83,6,0)</f>
        <v>left</v>
      </c>
      <c r="G19" s="108">
        <f>VLOOKUP(B19,'Tabula RefULG 2'!$K$5:$R$83,7,0)</f>
        <v>2</v>
      </c>
      <c r="H19" s="109">
        <f>VLOOKUP(B19,'Tabula RefULG 2'!$K$5:$R$83,8,0)</f>
        <v>7.1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 2'!$K$5:$R$83,3,0)</f>
        <v>1</v>
      </c>
      <c r="D21" s="108" t="str">
        <f>VLOOKUP(B21,'Tabula RefULG 2'!$K$5:$R$83,4,0)</f>
        <v>Roof</v>
      </c>
      <c r="E21" s="108">
        <f>VLOOKUP(B21,'Tabula RefULG 2'!$K$5:$R$83,5,0)</f>
        <v>0</v>
      </c>
      <c r="F21" s="108">
        <f>VLOOKUP(B21,'Tabula RefULG 2'!$K$5:$R$83,6,0)</f>
        <v>0</v>
      </c>
      <c r="G21" s="108">
        <f>VLOOKUP(B21,'Tabula RefULG 2'!$K$5:$R$83,7,0)</f>
        <v>0.27481053799679722</v>
      </c>
      <c r="H21" s="109">
        <f>VLOOKUP(B21,'Tabula RefULG 2'!$K$5:$R$83,8,0)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4294.310280423847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 2'!$K$5:$R$83,3,0)</f>
        <v>1</v>
      </c>
      <c r="D22" s="108" t="str">
        <f>VLOOKUP(B22,'Tabula RefULG 2'!$K$5:$R$83,4,0)</f>
        <v>Door</v>
      </c>
      <c r="E22" s="108">
        <f>VLOOKUP(B22,'Tabula RefULG 2'!$K$5:$R$83,5,0)</f>
        <v>9.5</v>
      </c>
      <c r="F22" s="108">
        <f>VLOOKUP(B22,'Tabula RefULG 2'!$K$5:$R$83,6,0)</f>
        <v>0</v>
      </c>
      <c r="G22" s="108">
        <f>VLOOKUP(B22,'Tabula RefULG 2'!$K$5:$R$83,7,0)</f>
        <v>4</v>
      </c>
      <c r="H22" s="109">
        <f>VLOOKUP(B22,'Tabula RefULG 2'!$K$5:$R$83,8,0)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 2'!$K$5:$R$83,3,0)</f>
        <v>1</v>
      </c>
      <c r="D28" s="118" t="str">
        <f>VLOOKUP(B28,'Tabula RefULG 2'!$K$5:$R$83,4,0)</f>
        <v>Floor</v>
      </c>
      <c r="E28" s="118">
        <f>VLOOKUP(B28,'Tabula RefULG 2'!$K$5:$R$83,5,0)</f>
        <v>75.699999999999989</v>
      </c>
      <c r="F28" s="118">
        <f>VLOOKUP(B28,'Tabula RefULG 2'!$K$5:$R$83,7,0)</f>
        <v>0.25127131319174395</v>
      </c>
      <c r="G28" s="119">
        <f>VLOOKUP(B28,'Tabula RefULG 2'!$K$5:$R$83,8,0)</f>
        <v>19.021238408615016</v>
      </c>
      <c r="H28" s="119">
        <f>N28/F28*1.45*(21-12)/(29)</f>
        <v>0.34799602919584299</v>
      </c>
      <c r="I28" s="118">
        <f>'Tabula RefULG 2'!O14</f>
        <v>75.699999999999989</v>
      </c>
      <c r="J28" s="117">
        <f>SQRT(I28)*4</f>
        <v>34.802298774649927</v>
      </c>
      <c r="K28" s="117">
        <f>SUM('Tabula RefULG 2'!Z16:Z19)</f>
        <v>0.34499999999999997</v>
      </c>
      <c r="L28" s="120">
        <f>I28/(0.5*J28)</f>
        <v>4.3502873468312409</v>
      </c>
      <c r="M28" s="120">
        <f>K28+2*(1/F28)</f>
        <v>8.3045238095238094</v>
      </c>
      <c r="N28" s="121">
        <f>IF(M28&lt;L28,2*2/(PI()*L28+M28)*LN(PI()*L28/M28+1),2/(0.457*L28+M28))</f>
        <v>0.19431426498122653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2">
        <f>1.1*W18</f>
        <v>7833.161644418793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 2'!$K$5:$R$83,2,0)=B$6,VLOOKUP(B33,'Tabula RefULG 2'!$K$5:$R$83,2,0),VLOOKUP(B33,'Tabula RefULG 2'!$K$5:$R$83,3,0))</f>
        <v>1</v>
      </c>
      <c r="D33" s="123">
        <f>IF(VLOOKUP(B33,'Tabula RefULG 2'!$K$5:$R$83,2,0)=B$6,VLOOKUP(B33,'Tabula RefULG 2'!$K$5:$R$83,3,0),VLOOKUP(B33,'Tabula RefULG 2'!$K$5:$R$83,2,0))</f>
        <v>2</v>
      </c>
      <c r="E33" s="123" t="str">
        <f>VLOOKUP(B33,'Tabula RefULG 2'!$K$5:$R$83,4,0)</f>
        <v>Floor internal</v>
      </c>
      <c r="F33" s="123">
        <f>VLOOKUP(B33,'Tabula RefULG 2'!$K$5:$R$83,5,0)</f>
        <v>75.699999999999989</v>
      </c>
      <c r="G33" s="123">
        <f>VLOOKUP('Verwarming Tabula 2zone RefULG2'!C33,'Tabula RefULG 2'!$B$34:$G$45,5,0)</f>
        <v>21</v>
      </c>
      <c r="H33" s="123">
        <f>VLOOKUP('Verwarming Tabula 2zone RefULG2'!D33,'Tabula RefULG 2'!$B$34:$G$45,5,0)</f>
        <v>18</v>
      </c>
      <c r="I33" s="123">
        <f>VLOOKUP(B33,'Tabula RefULG 2'!$K$5:$R$83,7,0)</f>
        <v>0.91717620900500274</v>
      </c>
      <c r="J33" s="119">
        <f>VLOOKUP(B33,'Tabula RefULG 2'!$K$5:$R$83,8,0)</f>
        <v>69.430239021678702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 2'!$K$5:$R$83,2,0)=B$6,VLOOKUP(B34,'Tabula RefULG 2'!$K$5:$R$83,2,0),VLOOKUP(B34,'Tabula RefULG 2'!$K$5:$R$83,3,0))</f>
        <v>1</v>
      </c>
      <c r="D34" s="123">
        <f>IF(VLOOKUP(B34,'Tabula RefULG 2'!$K$5:$R$83,2,0)=B$6,VLOOKUP(B34,'Tabula RefULG 2'!$K$5:$R$83,3,0),VLOOKUP(B34,'Tabula RefULG 2'!$K$5:$R$83,2,0))</f>
        <v>1</v>
      </c>
      <c r="E34" s="123" t="str">
        <f>VLOOKUP(B34,'Tabula RefULG 2'!$K$5:$R$83,4,0)</f>
        <v>Wall internal</v>
      </c>
      <c r="F34" s="123">
        <f>VLOOKUP(B34,'Tabula RefULG 2'!$K$5:$R$83,5,0)</f>
        <v>68.671375389958385</v>
      </c>
      <c r="G34" s="123">
        <f>VLOOKUP('Verwarming Tabula 2zone RefULG2'!C34,'Tabula RefULG 2'!$B$34:$G$45,5,0)</f>
        <v>21</v>
      </c>
      <c r="H34" s="123">
        <f>VLOOKUP('Verwarming Tabula 2zone RefULG2'!D34,'Tabula RefULG 2'!$B$34:$G$45,5,0)</f>
        <v>21</v>
      </c>
      <c r="I34" s="123">
        <f>VLOOKUP(B34,'Tabula RefULG 2'!$K$5:$R$83,7,0)</f>
        <v>1.330049261083744</v>
      </c>
      <c r="J34" s="119">
        <f>VLOOKUP(B34,'Tabula RefULG 2'!$K$5:$R$83,8,0)</f>
        <v>91.336312095018556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94.863746708428835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2751.0486545444364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294" t="s">
        <v>197</v>
      </c>
      <c r="B45" s="294"/>
      <c r="C45" s="294"/>
      <c r="D45" s="126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data'!E33</f>
        <v>3.119266055045872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 2'!C34</f>
        <v>32.471580345285517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 2'!H34</f>
        <v>75.699999999999989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32.471580345285517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0.15647295392915217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11.040337317397077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320.16978220451523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294" t="s">
        <v>213</v>
      </c>
      <c r="B63" s="294"/>
      <c r="C63" s="294"/>
      <c r="D63" s="294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 2'!C7</f>
        <v>75.699999999999989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RefULG2'!$B$4)</f>
        <v>28.713793103448271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832.69999999999982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134.61787712927418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3903.9184367489515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294" t="s">
        <v>171</v>
      </c>
      <c r="B79" s="294"/>
      <c r="C79" s="294"/>
      <c r="D79" s="294"/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 2'!$K$5:$R$83,3,0)</f>
        <v>2</v>
      </c>
      <c r="D84" s="108" t="str">
        <f>VLOOKUP(B84,'Tabula RefULG 2'!$K$5:$R$83,4,0)</f>
        <v>Wall External</v>
      </c>
      <c r="E84" s="108">
        <f>VLOOKUP(B84,'Tabula RefULG 2'!$K$5:$R$83,5,0)</f>
        <v>38.663700752545374</v>
      </c>
      <c r="F84" s="108" t="str">
        <f>VLOOKUP(B84,'Tabula RefULG 2'!$K$5:$R$83,6,0)</f>
        <v>front</v>
      </c>
      <c r="G84" s="108">
        <f>VLOOKUP(B84,'Tabula RefULG 2'!$K$5:$R$83,7,0)</f>
        <v>0.29666979362101314</v>
      </c>
      <c r="H84" s="109">
        <f>VLOOKUP(B84,'Tabula RefULG 2'!$K$5:$R$83,8,0)</f>
        <v>11.470352122882247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 2'!$K$5:$R$83,3,0)</f>
        <v>2</v>
      </c>
      <c r="D85" s="108" t="str">
        <f>VLOOKUP(B85,'Tabula RefULG 2'!$K$5:$R$83,4,0)</f>
        <v>Wall External</v>
      </c>
      <c r="E85" s="108">
        <f>VLOOKUP(B85,'Tabula RefULG 2'!$K$5:$R$83,5,0)</f>
        <v>0</v>
      </c>
      <c r="F85" s="108" t="str">
        <f>VLOOKUP(B85,'Tabula RefULG 2'!$K$5:$R$83,6,0)</f>
        <v>right</v>
      </c>
      <c r="G85" s="108">
        <f>VLOOKUP(B85,'Tabula RefULG 2'!$K$5:$R$83,7,0)</f>
        <v>0.29666979362101314</v>
      </c>
      <c r="H85" s="109">
        <f>VLOOKUP(B85,'Tabula RefULG 2'!$K$5:$R$83,8,0)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 2'!$K$5:$R$83,3,0)</f>
        <v>2</v>
      </c>
      <c r="D86" s="108" t="str">
        <f>VLOOKUP(B86,'Tabula RefULG 2'!$K$5:$R$83,4,0)</f>
        <v>Wall External</v>
      </c>
      <c r="E86" s="108">
        <f>VLOOKUP(B86,'Tabula RefULG 2'!$K$5:$R$83,5,0)</f>
        <v>38.663700752545374</v>
      </c>
      <c r="F86" s="108" t="str">
        <f>VLOOKUP(B86,'Tabula RefULG 2'!$K$5:$R$83,6,0)</f>
        <v>back</v>
      </c>
      <c r="G86" s="108">
        <f>VLOOKUP(B86,'Tabula RefULG 2'!$K$5:$R$83,7,0)</f>
        <v>0.29666979362101314</v>
      </c>
      <c r="H86" s="109">
        <f>VLOOKUP(B86,'Tabula RefULG 2'!$K$5:$R$83,8,0)</f>
        <v>11.470352122882247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 2'!$K$5:$R$83,3,0)</f>
        <v>2</v>
      </c>
      <c r="D87" s="108" t="str">
        <f>VLOOKUP(B87,'Tabula RefULG 2'!$K$5:$R$83,4,0)</f>
        <v>Wall External</v>
      </c>
      <c r="E87" s="108">
        <f>VLOOKUP(B87,'Tabula RefULG 2'!$K$5:$R$83,5,0)</f>
        <v>0</v>
      </c>
      <c r="F87" s="108" t="str">
        <f>VLOOKUP(B87,'Tabula RefULG 2'!$K$5:$R$83,6,0)</f>
        <v>left</v>
      </c>
      <c r="G87" s="108">
        <f>VLOOKUP(B87,'Tabula RefULG 2'!$K$5:$R$83,7,0)</f>
        <v>0.29666979362101314</v>
      </c>
      <c r="H87" s="109">
        <f>VLOOKUP(B87,'Tabula RefULG 2'!$K$5:$R$83,8,0)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 2'!$K$5:$R$83,3,0)</f>
        <v>2</v>
      </c>
      <c r="D88" s="108" t="str">
        <f>VLOOKUP(B88,'Tabula RefULG 2'!$K$5:$R$83,4,0)</f>
        <v>Window</v>
      </c>
      <c r="E88" s="108">
        <f>VLOOKUP(B88,'Tabula RefULG 2'!$K$5:$R$83,5,0)</f>
        <v>4.2</v>
      </c>
      <c r="F88" s="108" t="str">
        <f>VLOOKUP(B88,'Tabula RefULG 2'!$K$5:$R$83,6,0)</f>
        <v>front</v>
      </c>
      <c r="G88" s="108">
        <f>VLOOKUP(B88,'Tabula RefULG 2'!$K$5:$R$83,7,0)</f>
        <v>2</v>
      </c>
      <c r="H88" s="109">
        <f>VLOOKUP(B88,'Tabula RefULG 2'!$K$5:$R$83,8,0)</f>
        <v>8.4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 2'!$K$5:$R$83,3,0)</f>
        <v>2</v>
      </c>
      <c r="D89" s="108" t="str">
        <f>VLOOKUP(B89,'Tabula RefULG 2'!$K$5:$R$83,4,0)</f>
        <v>Window</v>
      </c>
      <c r="E89" s="108">
        <f>VLOOKUP(B89,'Tabula RefULG 2'!$K$5:$R$83,5,0)</f>
        <v>3.95</v>
      </c>
      <c r="F89" s="108" t="str">
        <f>VLOOKUP(B89,'Tabula RefULG 2'!$K$5:$R$83,6,0)</f>
        <v>right</v>
      </c>
      <c r="G89" s="108">
        <f>VLOOKUP(B89,'Tabula RefULG 2'!$K$5:$R$83,7,0)</f>
        <v>2</v>
      </c>
      <c r="H89" s="109">
        <f>VLOOKUP(B89,'Tabula RefULG 2'!$K$5:$R$83,8,0)</f>
        <v>7.9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 2'!$K$5:$R$83,3,0)</f>
        <v>2</v>
      </c>
      <c r="D90" s="108" t="str">
        <f>VLOOKUP(B90,'Tabula RefULG 2'!$K$5:$R$83,4,0)</f>
        <v>Window</v>
      </c>
      <c r="E90" s="108">
        <f>VLOOKUP(B90,'Tabula RefULG 2'!$K$5:$R$83,5,0)</f>
        <v>4.05</v>
      </c>
      <c r="F90" s="108" t="str">
        <f>VLOOKUP(B90,'Tabula RefULG 2'!$K$5:$R$83,6,0)</f>
        <v>back</v>
      </c>
      <c r="G90" s="108">
        <f>VLOOKUP(B90,'Tabula RefULG 2'!$K$5:$R$83,7,0)</f>
        <v>2</v>
      </c>
      <c r="H90" s="109">
        <f>VLOOKUP(B90,'Tabula RefULG 2'!$K$5:$R$83,8,0)</f>
        <v>8.1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 2'!$K$5:$R$83,3,0)</f>
        <v>2</v>
      </c>
      <c r="D91" s="108" t="str">
        <f>VLOOKUP(B91,'Tabula RefULG 2'!$K$5:$R$83,4,0)</f>
        <v>Window</v>
      </c>
      <c r="E91" s="108">
        <f>VLOOKUP(B91,'Tabula RefULG 2'!$K$5:$R$83,5,0)</f>
        <v>3.55</v>
      </c>
      <c r="F91" s="108" t="str">
        <f>VLOOKUP(B91,'Tabula RefULG 2'!$K$5:$R$83,6,0)</f>
        <v>left</v>
      </c>
      <c r="G91" s="108">
        <f>VLOOKUP(B91,'Tabula RefULG 2'!$K$5:$R$83,7,0)</f>
        <v>2</v>
      </c>
      <c r="H91" s="109">
        <f>VLOOKUP(B91,'Tabula RefULG 2'!$K$5:$R$83,8,0)</f>
        <v>7.1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 2'!$K$5:$R$83,3,0)</f>
        <v>2</v>
      </c>
      <c r="D92" s="108" t="str">
        <f>VLOOKUP(B92,'Tabula RefULG 2'!$K$5:$R$83,4,0)</f>
        <v>Roof</v>
      </c>
      <c r="E92" s="108">
        <f>VLOOKUP(B92,'Tabula RefULG 2'!$K$5:$R$83,5,0)</f>
        <v>90</v>
      </c>
      <c r="F92" s="108" t="str">
        <f>VLOOKUP(B92,'Tabula RefULG 2'!$K$5:$R$83,6,0)</f>
        <v>front/back</v>
      </c>
      <c r="G92" s="108">
        <f>VLOOKUP(B92,'Tabula RefULG 2'!$K$5:$R$83,7,0)</f>
        <v>0.27481053799679722</v>
      </c>
      <c r="H92" s="109">
        <f>VLOOKUP(B92,'Tabula RefULG 2'!$K$5:$R$83,8,0)</f>
        <v>24.73294841971175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 2'!$K$5:$R$83,2,0)=$B$78,VLOOKUP(B108,'Tabula RefULG 2'!$K$5:$R$83,2,0),VLOOKUP(B108,'Tabula RefULG 2'!$K$5:$R$83,3,0))</f>
        <v>2</v>
      </c>
      <c r="D108" s="123">
        <f>IF(VLOOKUP(B108,'Tabula RefULG 2'!$K$5:$R$83,2,0)=$B$78,VLOOKUP(B108,'Tabula RefULG 2'!$K$5:$R$83,3,0),VLOOKUP(B108,'Tabula RefULG 2'!$K$5:$R$83,2,0))</f>
        <v>1</v>
      </c>
      <c r="E108" s="123" t="str">
        <f>VLOOKUP(B108,'Tabula RefULG 2'!$K$5:$R$83,4,0)</f>
        <v>Floor internal</v>
      </c>
      <c r="F108" s="123">
        <f>VLOOKUP(B108,'Tabula RefULG 2'!$K$5:$R$83,5,0)</f>
        <v>75.699999999999989</v>
      </c>
      <c r="G108" s="123">
        <f>VLOOKUP('Verwarming Tabula 2zone RefULG2'!C108,'Tabula RefULG 2'!$B$34:$G$45,5,0)</f>
        <v>18</v>
      </c>
      <c r="H108" s="123">
        <f>VLOOKUP('Verwarming Tabula 2zone RefULG2'!D108,'Tabula RefULG 2'!$B$34:$G$45,5,0)</f>
        <v>21</v>
      </c>
      <c r="I108" s="123">
        <f>VLOOKUP(B108,'Tabula RefULG 2'!$K$5:$R$83,7,0)</f>
        <v>0.91717620900500274</v>
      </c>
      <c r="J108" s="119">
        <f>VLOOKUP(B108,'Tabula RefULG 2'!$K$5:$R$83,8,0)</f>
        <v>69.430239021678702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 2'!$K$5:$R$83,2,0)=$B$78,VLOOKUP(B109,'Tabula RefULG 2'!$K$5:$R$83,2,0),VLOOKUP(B109,'Tabula RefULG 2'!$K$5:$R$83,3,0))</f>
        <v>2</v>
      </c>
      <c r="D109" s="123">
        <f>IF(VLOOKUP(B109,'Tabula RefULG 2'!$K$5:$R$83,2,0)=$B$78,VLOOKUP(B109,'Tabula RefULG 2'!$K$5:$R$83,3,0),VLOOKUP(B109,'Tabula RefULG 2'!$K$5:$R$83,2,0))</f>
        <v>2</v>
      </c>
      <c r="E109" s="123" t="str">
        <f>VLOOKUP(B109,'Tabula RefULG 2'!$K$5:$R$83,4,0)</f>
        <v>Wall internal</v>
      </c>
      <c r="F109" s="123">
        <f>VLOOKUP(B109,'Tabula RefULG 2'!$K$5:$R$83,5,0)</f>
        <v>136.25416887148947</v>
      </c>
      <c r="G109" s="123">
        <f>VLOOKUP('Verwarming Tabula 2zone RefULG2'!C109,'Tabula RefULG 2'!$B$34:$G$45,5,0)</f>
        <v>18</v>
      </c>
      <c r="H109" s="123">
        <f>VLOOKUP('Verwarming Tabula 2zone RefULG2'!D109,'Tabula RefULG 2'!$B$34:$G$45,5,0)</f>
        <v>18</v>
      </c>
      <c r="I109" s="123">
        <f>VLOOKUP(B109,'Tabula RefULG 2'!$K$5:$R$83,7,0)</f>
        <v>1.330049261083744</v>
      </c>
      <c r="J109" s="119">
        <f>VLOOKUP(B109,'Tabula RefULG 2'!$K$5:$R$83,8,0)</f>
        <v>181.22475662710423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71.162471239897926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1850.224252237346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294" t="s">
        <v>197</v>
      </c>
      <c r="B124" s="294"/>
      <c r="C124" s="294"/>
      <c r="D124" s="126" t="s">
        <v>225</v>
      </c>
      <c r="E124" s="273"/>
      <c r="F124" s="273"/>
      <c r="G124" s="273"/>
      <c r="H124" s="273"/>
      <c r="I124" s="273"/>
      <c r="J124" s="273"/>
      <c r="K124" s="273"/>
      <c r="L124" s="273"/>
      <c r="M124" s="273"/>
      <c r="N124" s="273"/>
      <c r="O124" s="273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data'!E33</f>
        <v>3.119266055045872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 2'!$B$34:$G$45,2,0)*B127*B128*B129</f>
        <v>77.314103585657378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 2'!H35</f>
        <v>150.20000000000002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77.314103585657378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0.48476439346946082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52.573590438247024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1366.9133513944225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294" t="s">
        <v>213</v>
      </c>
      <c r="B142" s="294"/>
      <c r="C142" s="294"/>
      <c r="D142" s="294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0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150.20000000000002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RefULG2'!$B$4)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123.73606167814495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3217.1376036317688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73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294" t="s">
        <v>171</v>
      </c>
      <c r="B159" s="294"/>
      <c r="C159" s="294"/>
      <c r="D159" s="294"/>
      <c r="E159" s="273"/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RefULG2'!C188,'Gebouwgegevens Allacker'!$A$35:$F$46,5,0)</f>
        <v>#N/A</v>
      </c>
      <c r="H188" s="123" t="e">
        <f>VLOOKUP('Verwarming Tabula 2zone RefULG2'!D188,'Gebouwgegevens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RefULG2'!C189,'Gebouwgegevens Allacker'!$A$35:$F$46,5,0)</f>
        <v>#N/A</v>
      </c>
      <c r="H189" s="123" t="e">
        <f>VLOOKUP('Verwarming Tabula 2zone RefULG2'!D189,'Gebouwgegevens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RefULG2'!C190,'Gebouwgegevens Allacker'!$A$35:$F$46,5,0)</f>
        <v>#N/A</v>
      </c>
      <c r="H190" s="123" t="e">
        <f>VLOOKUP('Verwarming Tabula 2zone RefULG2'!D190,'Gebouwgegevens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294" t="s">
        <v>197</v>
      </c>
      <c r="B204" s="294"/>
      <c r="C204" s="294"/>
      <c r="D204" s="126" t="s">
        <v>225</v>
      </c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294" t="s">
        <v>213</v>
      </c>
      <c r="B222" s="294"/>
      <c r="C222" s="294"/>
      <c r="D222" s="294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2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RefULG2'!$B$4)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73"/>
      <c r="C236" s="273"/>
      <c r="D236" s="273"/>
      <c r="E236" s="273"/>
      <c r="F236" s="273"/>
      <c r="G236" s="273"/>
      <c r="H236" s="273"/>
      <c r="I236" s="273"/>
      <c r="J236" s="273"/>
      <c r="K236" s="273"/>
      <c r="L236" s="273"/>
      <c r="M236" s="273"/>
      <c r="N236" s="273"/>
      <c r="O236" s="273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294" t="s">
        <v>171</v>
      </c>
      <c r="B238" s="294"/>
      <c r="C238" s="294"/>
      <c r="D238" s="294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73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RefULG2'!C267,'Gebouwgegevens Allacker'!$A$35:$F$46,5,0)</f>
        <v>#N/A</v>
      </c>
      <c r="H267" s="123" t="e">
        <f>VLOOKUP('Verwarming Tabula 2zone RefULG2'!D267,'Gebouwgegevens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RefULG2'!C268,'Gebouwgegevens Allacker'!$A$35:$F$46,5,0)</f>
        <v>#N/A</v>
      </c>
      <c r="H268" s="123" t="e">
        <f>VLOOKUP('Verwarming Tabula 2zone RefULG2'!D268,'Gebouwgegevens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RefULG2'!C269,'Gebouwgegevens Allacker'!$A$35:$F$46,5,0)</f>
        <v>#N/A</v>
      </c>
      <c r="H269" s="123" t="e">
        <f>VLOOKUP('Verwarming Tabula 2zone RefULG2'!D269,'Gebouwgegevens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RefULG2'!C270,'Gebouwgegevens Allacker'!$A$35:$F$46,5,0)</f>
        <v>#N/A</v>
      </c>
      <c r="H270" s="123" t="e">
        <f>VLOOKUP('Verwarming Tabula 2zone RefULG2'!D270,'Gebouwgegevens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294" t="s">
        <v>197</v>
      </c>
      <c r="B283" s="294"/>
      <c r="C283" s="294"/>
      <c r="D283" s="126" t="s">
        <v>225</v>
      </c>
      <c r="E283" s="273"/>
      <c r="F283" s="273"/>
      <c r="G283" s="273"/>
      <c r="H283" s="273"/>
      <c r="I283" s="273"/>
      <c r="J283" s="273"/>
      <c r="K283" s="273"/>
      <c r="L283" s="273"/>
      <c r="M283" s="273"/>
      <c r="N283" s="273"/>
      <c r="O283" s="273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294" t="s">
        <v>213</v>
      </c>
      <c r="B301" s="294"/>
      <c r="C301" s="294"/>
      <c r="D301" s="294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2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RefULG2'!$B$4)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73"/>
      <c r="C315" s="273"/>
      <c r="D315" s="273"/>
      <c r="E315" s="273"/>
      <c r="F315" s="273"/>
      <c r="G315" s="273"/>
      <c r="H315" s="273"/>
      <c r="I315" s="273"/>
      <c r="J315" s="273"/>
      <c r="K315" s="273"/>
      <c r="L315" s="273"/>
      <c r="M315" s="273"/>
      <c r="N315" s="273"/>
      <c r="O315" s="273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294" t="s">
        <v>171</v>
      </c>
      <c r="B317" s="294"/>
      <c r="C317" s="294"/>
      <c r="D317" s="294"/>
      <c r="E317" s="273"/>
      <c r="F317" s="273"/>
      <c r="G317" s="273"/>
      <c r="H317" s="273"/>
      <c r="I317" s="273"/>
      <c r="J317" s="273"/>
      <c r="K317" s="273"/>
      <c r="L317" s="273"/>
      <c r="M317" s="273"/>
      <c r="N317" s="273"/>
      <c r="O317" s="273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RefULG2'!C346,'Gebouwgegevens Allacker'!$A$35:$F$46,5,0)</f>
        <v>#N/A</v>
      </c>
      <c r="H346" s="123" t="e">
        <f>VLOOKUP('Verwarming Tabula 2zone RefULG2'!D346,'Gebouwgegevens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RefULG2'!C347,'Gebouwgegevens Allacker'!$A$35:$F$46,5,0)</f>
        <v>#N/A</v>
      </c>
      <c r="H347" s="123" t="e">
        <f>VLOOKUP('Verwarming Tabula 2zone RefULG2'!D347,'Gebouwgegevens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RefULG2'!C348,'Gebouwgegevens Allacker'!$A$35:$F$46,5,0)</f>
        <v>#N/A</v>
      </c>
      <c r="H348" s="123" t="e">
        <f>VLOOKUP('Verwarming Tabula 2zone RefULG2'!D348,'Gebouwgegevens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RefULG2'!C349,'Gebouwgegevens Allacker'!$A$35:$F$46,5,0)</f>
        <v>#N/A</v>
      </c>
      <c r="H349" s="123" t="e">
        <f>VLOOKUP('Verwarming Tabula 2zone RefULG2'!D349,'Gebouwgegevens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RefULG2'!C350,'Gebouwgegevens Allacker'!$A$35:$F$46,5,0)</f>
        <v>#N/A</v>
      </c>
      <c r="H350" s="123" t="e">
        <f>VLOOKUP('Verwarming Tabula 2zone RefULG2'!D350,'Gebouwgegevens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294" t="s">
        <v>197</v>
      </c>
      <c r="B362" s="294"/>
      <c r="C362" s="294"/>
      <c r="D362" s="126" t="s">
        <v>225</v>
      </c>
      <c r="E362" s="273"/>
      <c r="F362" s="273"/>
      <c r="G362" s="273"/>
      <c r="H362" s="273"/>
      <c r="I362" s="273"/>
      <c r="J362" s="273"/>
      <c r="K362" s="273"/>
      <c r="L362" s="273"/>
      <c r="M362" s="273"/>
      <c r="N362" s="273"/>
      <c r="O362" s="273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294" t="s">
        <v>213</v>
      </c>
      <c r="B380" s="294"/>
      <c r="C380" s="294"/>
      <c r="D380" s="294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2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RefULG2'!$B$4)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73"/>
      <c r="C393" s="273"/>
      <c r="D393" s="273"/>
      <c r="E393" s="273"/>
      <c r="F393" s="273"/>
      <c r="G393" s="273"/>
      <c r="H393" s="273"/>
      <c r="I393" s="273"/>
      <c r="J393" s="273"/>
      <c r="K393" s="273"/>
      <c r="L393" s="273"/>
      <c r="M393" s="273"/>
      <c r="N393" s="273"/>
      <c r="O393" s="273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294" t="s">
        <v>171</v>
      </c>
      <c r="B395" s="294"/>
      <c r="C395" s="294"/>
      <c r="D395" s="294"/>
      <c r="E395" s="273"/>
      <c r="F395" s="273"/>
      <c r="G395" s="273"/>
      <c r="H395" s="273"/>
      <c r="I395" s="273"/>
      <c r="J395" s="273"/>
      <c r="K395" s="273"/>
      <c r="L395" s="273"/>
      <c r="M395" s="273"/>
      <c r="N395" s="273"/>
      <c r="O395" s="273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RefULG2'!C424,'Gebouwgegevens Allacker'!$A$35:$F$46,5,0)</f>
        <v>#N/A</v>
      </c>
      <c r="H424" s="123" t="e">
        <f>VLOOKUP('Verwarming Tabula 2zone RefULG2'!D424,'Gebouwgegevens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RefULG2'!C425,'Gebouwgegevens Allacker'!$A$35:$F$46,5,0)</f>
        <v>#N/A</v>
      </c>
      <c r="H425" s="123" t="e">
        <f>VLOOKUP('Verwarming Tabula 2zone RefULG2'!D425,'Gebouwgegevens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RefULG2'!C426,'Gebouwgegevens Allacker'!$A$35:$F$46,5,0)</f>
        <v>#N/A</v>
      </c>
      <c r="H426" s="123" t="e">
        <f>VLOOKUP('Verwarming Tabula 2zone RefULG2'!D426,'Gebouwgegevens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RefULG2'!C427,'Gebouwgegevens Allacker'!$A$35:$F$46,5,0)</f>
        <v>#N/A</v>
      </c>
      <c r="H427" s="123" t="e">
        <f>VLOOKUP('Verwarming Tabula 2zone RefULG2'!D427,'Gebouwgegevens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RefULG2'!C428,'Gebouwgegevens Allacker'!$A$35:$F$46,5,0)</f>
        <v>#N/A</v>
      </c>
      <c r="H428" s="123" t="e">
        <f>VLOOKUP('Verwarming Tabula 2zone RefULG2'!D428,'Gebouwgegevens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294" t="s">
        <v>197</v>
      </c>
      <c r="B440" s="294"/>
      <c r="C440" s="294"/>
      <c r="D440" s="126" t="s">
        <v>225</v>
      </c>
      <c r="E440" s="273"/>
      <c r="F440" s="273"/>
      <c r="G440" s="273"/>
      <c r="H440" s="273"/>
      <c r="I440" s="273"/>
      <c r="J440" s="273"/>
      <c r="K440" s="273"/>
      <c r="L440" s="273"/>
      <c r="M440" s="273"/>
      <c r="N440" s="273"/>
      <c r="O440" s="273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294" t="s">
        <v>213</v>
      </c>
      <c r="B458" s="294"/>
      <c r="C458" s="294"/>
      <c r="D458" s="294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2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RefULG2'!$B$4)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73"/>
      <c r="C471" s="273"/>
      <c r="D471" s="273"/>
      <c r="E471" s="273"/>
      <c r="F471" s="273"/>
      <c r="G471" s="273"/>
      <c r="H471" s="273"/>
      <c r="I471" s="273"/>
      <c r="J471" s="273"/>
      <c r="K471" s="273"/>
      <c r="L471" s="273"/>
      <c r="M471" s="273"/>
      <c r="N471" s="273"/>
      <c r="O471" s="273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294" t="s">
        <v>171</v>
      </c>
      <c r="B473" s="294"/>
      <c r="C473" s="294"/>
      <c r="D473" s="294"/>
      <c r="E473" s="273"/>
      <c r="F473" s="273"/>
      <c r="G473" s="273"/>
      <c r="H473" s="273"/>
      <c r="I473" s="273"/>
      <c r="J473" s="273"/>
      <c r="K473" s="273"/>
      <c r="L473" s="273"/>
      <c r="M473" s="273"/>
      <c r="N473" s="273"/>
      <c r="O473" s="273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RefULG2'!C502,'Gebouwgegevens Allacker'!$A$35:$F$46,5,0)</f>
        <v>#N/A</v>
      </c>
      <c r="H502" s="123" t="e">
        <f>VLOOKUP('Verwarming Tabula 2zone RefULG2'!D502,'Gebouwgegevens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RefULG2'!C503,'Gebouwgegevens Allacker'!$A$35:$F$46,5,0)</f>
        <v>#N/A</v>
      </c>
      <c r="H503" s="123" t="e">
        <f>VLOOKUP('Verwarming Tabula 2zone RefULG2'!D503,'Gebouwgegevens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RefULG2'!C504,'Gebouwgegevens Allacker'!$A$35:$F$46,5,0)</f>
        <v>#N/A</v>
      </c>
      <c r="H504" s="123" t="e">
        <f>VLOOKUP('Verwarming Tabula 2zone RefULG2'!D504,'Gebouwgegevens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294" t="s">
        <v>197</v>
      </c>
      <c r="B518" s="294"/>
      <c r="C518" s="294"/>
      <c r="D518" s="126" t="s">
        <v>225</v>
      </c>
      <c r="E518" s="273"/>
      <c r="F518" s="273"/>
      <c r="G518" s="273"/>
      <c r="H518" s="273"/>
      <c r="I518" s="273"/>
      <c r="J518" s="273"/>
      <c r="K518" s="273"/>
      <c r="L518" s="273"/>
      <c r="M518" s="273"/>
      <c r="N518" s="273"/>
      <c r="O518" s="273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294" t="s">
        <v>213</v>
      </c>
      <c r="B536" s="294"/>
      <c r="C536" s="294"/>
      <c r="D536" s="294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RefULG2'!$B$4)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73"/>
      <c r="C550" s="273"/>
      <c r="D550" s="273"/>
      <c r="E550" s="273"/>
      <c r="F550" s="273"/>
      <c r="G550" s="273"/>
      <c r="H550" s="273"/>
      <c r="I550" s="273"/>
      <c r="J550" s="273"/>
      <c r="K550" s="273"/>
      <c r="L550" s="273"/>
      <c r="M550" s="273"/>
      <c r="N550" s="273"/>
      <c r="O550" s="273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294" t="s">
        <v>171</v>
      </c>
      <c r="B552" s="294"/>
      <c r="C552" s="294"/>
      <c r="D552" s="294"/>
      <c r="E552" s="273"/>
      <c r="F552" s="273"/>
      <c r="G552" s="273"/>
      <c r="H552" s="273"/>
      <c r="I552" s="273"/>
      <c r="J552" s="273"/>
      <c r="K552" s="273"/>
      <c r="L552" s="273"/>
      <c r="M552" s="273"/>
      <c r="N552" s="273"/>
      <c r="O552" s="273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RefULG2'!C581,'Gebouwgegevens Allacker'!$A$35:$F$46,5,0)</f>
        <v>#N/A</v>
      </c>
      <c r="H581" s="123" t="e">
        <f>VLOOKUP('Verwarming Tabula 2zone RefULG2'!D581,'Gebouwgegevens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RefULG2'!C582,'Gebouwgegevens Allacker'!$A$35:$F$46,5,0)</f>
        <v>#N/A</v>
      </c>
      <c r="H582" s="123" t="e">
        <f>VLOOKUP('Verwarming Tabula 2zone RefULG2'!D582,'Gebouwgegevens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RefULG2'!C583,'Gebouwgegevens Allacker'!$A$35:$F$46,5,0)</f>
        <v>#N/A</v>
      </c>
      <c r="H583" s="123" t="e">
        <f>VLOOKUP('Verwarming Tabula 2zone RefULG2'!D583,'Gebouwgegevens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294" t="s">
        <v>197</v>
      </c>
      <c r="B597" s="294"/>
      <c r="C597" s="294"/>
      <c r="D597" s="126" t="s">
        <v>225</v>
      </c>
      <c r="E597" s="273"/>
      <c r="F597" s="273"/>
      <c r="G597" s="273"/>
      <c r="H597" s="273"/>
      <c r="I597" s="273"/>
      <c r="J597" s="273"/>
      <c r="K597" s="273"/>
      <c r="L597" s="273"/>
      <c r="M597" s="273"/>
      <c r="N597" s="273"/>
      <c r="O597" s="273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294" t="s">
        <v>213</v>
      </c>
      <c r="B615" s="294"/>
      <c r="C615" s="294"/>
      <c r="D615" s="294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2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RefULG2'!$B$4)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73"/>
      <c r="C629" s="273"/>
      <c r="D629" s="273"/>
      <c r="E629" s="273"/>
      <c r="F629" s="273"/>
      <c r="G629" s="273"/>
      <c r="H629" s="273"/>
      <c r="I629" s="273"/>
      <c r="J629" s="273"/>
      <c r="K629" s="273"/>
      <c r="L629" s="273"/>
      <c r="M629" s="273"/>
      <c r="N629" s="273"/>
      <c r="O629" s="273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294" t="s">
        <v>171</v>
      </c>
      <c r="B631" s="294"/>
      <c r="C631" s="294"/>
      <c r="D631" s="294"/>
      <c r="E631" s="273"/>
      <c r="F631" s="273"/>
      <c r="G631" s="273"/>
      <c r="H631" s="273"/>
      <c r="I631" s="273"/>
      <c r="J631" s="273"/>
      <c r="K631" s="273"/>
      <c r="L631" s="273"/>
      <c r="M631" s="273"/>
      <c r="N631" s="273"/>
      <c r="O631" s="273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RefULG2'!C660,'Gebouwgegevens Allacker'!$A$35:$F$46,5,0)</f>
        <v>#N/A</v>
      </c>
      <c r="H660" s="123" t="e">
        <f>VLOOKUP('Verwarming Tabula 2zone RefULG2'!D660,'Gebouwgegevens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RefULG2'!C661,'Gebouwgegevens Allacker'!$A$35:$F$46,5,0)</f>
        <v>#N/A</v>
      </c>
      <c r="H661" s="123" t="e">
        <f>VLOOKUP('Verwarming Tabula 2zone RefULG2'!D661,'Gebouwgegevens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294" t="s">
        <v>197</v>
      </c>
      <c r="B676" s="294"/>
      <c r="C676" s="294"/>
      <c r="D676" s="126" t="s">
        <v>225</v>
      </c>
      <c r="E676" s="273"/>
      <c r="F676" s="273"/>
      <c r="G676" s="273"/>
      <c r="H676" s="273"/>
      <c r="I676" s="273"/>
      <c r="J676" s="273"/>
      <c r="K676" s="273"/>
      <c r="L676" s="273"/>
      <c r="M676" s="273"/>
      <c r="N676" s="273"/>
      <c r="O676" s="273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294" t="s">
        <v>213</v>
      </c>
      <c r="B694" s="294"/>
      <c r="C694" s="294"/>
      <c r="D694" s="294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2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RefULG2'!$B$4)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73"/>
      <c r="C708" s="273"/>
      <c r="D708" s="273"/>
      <c r="E708" s="273"/>
      <c r="F708" s="273"/>
      <c r="G708" s="273"/>
      <c r="H708" s="273"/>
      <c r="I708" s="273"/>
      <c r="J708" s="273"/>
      <c r="K708" s="273"/>
      <c r="L708" s="273"/>
      <c r="M708" s="273"/>
      <c r="N708" s="273"/>
      <c r="O708" s="273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294" t="s">
        <v>171</v>
      </c>
      <c r="B710" s="294"/>
      <c r="C710" s="294"/>
      <c r="D710" s="294"/>
      <c r="E710" s="273"/>
      <c r="F710" s="273"/>
      <c r="G710" s="273"/>
      <c r="H710" s="273"/>
      <c r="I710" s="273"/>
      <c r="J710" s="273"/>
      <c r="K710" s="273"/>
      <c r="L710" s="273"/>
      <c r="M710" s="273"/>
      <c r="N710" s="273"/>
      <c r="O710" s="273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RefULG2'!C739,'Gebouwgegevens Allacker'!$A$35:$F$46,5,0)</f>
        <v>#N/A</v>
      </c>
      <c r="H739" s="123" t="e">
        <f>VLOOKUP('Verwarming Tabula 2zone RefULG2'!D739,'Gebouwgegevens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RefULG2'!C740,'Gebouwgegevens Allacker'!$A$35:$F$46,5,0)</f>
        <v>#N/A</v>
      </c>
      <c r="H740" s="123" t="e">
        <f>VLOOKUP('Verwarming Tabula 2zone RefULG2'!D740,'Gebouwgegevens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RefULG2'!C741,'Gebouwgegevens Allacker'!$A$35:$F$46,5,0)</f>
        <v>#N/A</v>
      </c>
      <c r="H741" s="123" t="e">
        <f>VLOOKUP('Verwarming Tabula 2zone RefULG2'!D741,'Gebouwgegevens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RefULG2'!C742,'Gebouwgegevens Allacker'!$A$35:$F$46,5,0)</f>
        <v>#N/A</v>
      </c>
      <c r="H742" s="123" t="e">
        <f>VLOOKUP('Verwarming Tabula 2zone RefULG2'!D742,'Gebouwgegevens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RefULG2'!C743,'Gebouwgegevens Allacker'!$A$35:$F$46,5,0)</f>
        <v>#N/A</v>
      </c>
      <c r="H743" s="123" t="e">
        <f>VLOOKUP('Verwarming Tabula 2zone RefULG2'!D743,'Gebouwgegevens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RefULG2'!C744,'Gebouwgegevens Allacker'!$A$35:$F$46,5,0)</f>
        <v>#N/A</v>
      </c>
      <c r="H744" s="123" t="e">
        <f>VLOOKUP('Verwarming Tabula 2zone RefULG2'!D744,'Gebouwgegevens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RefULG2'!C745,'Gebouwgegevens Allacker'!$A$35:$F$46,5,0)</f>
        <v>#N/A</v>
      </c>
      <c r="H745" s="123" t="e">
        <f>VLOOKUP('Verwarming Tabula 2zone RefULG2'!D745,'Gebouwgegevens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RefULG2'!C746,'Gebouwgegevens Allacker'!$A$35:$F$46,5,0)</f>
        <v>#N/A</v>
      </c>
      <c r="H746" s="123" t="e">
        <f>VLOOKUP('Verwarming Tabula 2zone RefULG2'!D746,'Gebouwgegevens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RefULG2'!C747,'Gebouwgegevens Allacker'!$A$35:$F$46,5,0)</f>
        <v>#N/A</v>
      </c>
      <c r="H747" s="123" t="e">
        <f>VLOOKUP('Verwarming Tabula 2zone RefULG2'!D747,'Gebouwgegevens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RefULG2'!C748,'Gebouwgegevens Allacker'!$A$35:$F$46,5,0)</f>
        <v>#N/A</v>
      </c>
      <c r="H748" s="123" t="e">
        <f>VLOOKUP('Verwarming Tabula 2zone RefULG2'!D748,'Gebouwgegevens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RefULG2'!C749,'Gebouwgegevens Allacker'!$A$35:$F$46,5,0)</f>
        <v>#N/A</v>
      </c>
      <c r="H749" s="123" t="e">
        <f>VLOOKUP('Verwarming Tabula 2zone RefULG2'!D749,'Gebouwgegevens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RefULG2'!C750,'Gebouwgegevens Allacker'!$A$35:$F$46,5,0)</f>
        <v>#N/A</v>
      </c>
      <c r="H750" s="123" t="e">
        <f>VLOOKUP('Verwarming Tabula 2zone RefULG2'!D750,'Gebouwgegevens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294" t="s">
        <v>197</v>
      </c>
      <c r="B755" s="294"/>
      <c r="C755" s="294"/>
      <c r="D755" s="126" t="s">
        <v>225</v>
      </c>
      <c r="E755" s="273"/>
      <c r="F755" s="273"/>
      <c r="G755" s="273"/>
      <c r="H755" s="273"/>
      <c r="I755" s="273"/>
      <c r="J755" s="273"/>
      <c r="K755" s="273"/>
      <c r="L755" s="273"/>
      <c r="M755" s="273"/>
      <c r="N755" s="273"/>
      <c r="O755" s="273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294" t="s">
        <v>213</v>
      </c>
      <c r="B773" s="294"/>
      <c r="C773" s="294"/>
      <c r="D773" s="294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2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RefULG2'!$B$4)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6"/>
  <sheetViews>
    <sheetView zoomScaleNormal="100" workbookViewId="0">
      <selection activeCell="B4" sqref="B4"/>
    </sheetView>
  </sheetViews>
  <sheetFormatPr defaultRowHeight="15" x14ac:dyDescent="0.25"/>
  <cols>
    <col min="2" max="2" width="11.5703125"/>
    <col min="4" max="4" width="19.5703125"/>
  </cols>
  <sheetData>
    <row r="1" spans="1:9" x14ac:dyDescent="0.25">
      <c r="A1" s="150" t="s">
        <v>284</v>
      </c>
    </row>
    <row r="3" spans="1:9" x14ac:dyDescent="0.25">
      <c r="A3" s="151" t="s">
        <v>285</v>
      </c>
    </row>
    <row r="4" spans="1:9" x14ac:dyDescent="0.25">
      <c r="A4" t="s">
        <v>286</v>
      </c>
      <c r="B4" s="152">
        <f>SUM('Gebouwgegevens Tabula 2zone'!R6:R9)</f>
        <v>85.826787342626176</v>
      </c>
      <c r="C4" t="s">
        <v>107</v>
      </c>
    </row>
    <row r="5" spans="1:9" x14ac:dyDescent="0.25">
      <c r="A5" t="s">
        <v>287</v>
      </c>
      <c r="B5" s="152">
        <f>F5+I5</f>
        <v>106.16683767153607</v>
      </c>
      <c r="C5" t="s">
        <v>107</v>
      </c>
      <c r="E5" s="153" t="s">
        <v>288</v>
      </c>
      <c r="F5" s="154">
        <f>'Verwarming Tabula 2zone'!B60</f>
        <v>27.416837671536076</v>
      </c>
      <c r="G5" s="153"/>
      <c r="H5" s="153" t="s">
        <v>289</v>
      </c>
      <c r="I5" s="154">
        <f>SUM('Gebouwgegevens Tabula 2zone'!R10:R13)</f>
        <v>78.75</v>
      </c>
    </row>
    <row r="6" spans="1:9" x14ac:dyDescent="0.25">
      <c r="A6" t="s">
        <v>290</v>
      </c>
      <c r="B6" s="152">
        <f>SUM('Gebouwgegevens Tabula 2zone'!O6:O9*'Gebouwgegevens Tabula 2zone'!AA21)</f>
        <v>38.828788168359765</v>
      </c>
      <c r="C6" t="s">
        <v>107</v>
      </c>
    </row>
    <row r="7" spans="1:9" x14ac:dyDescent="0.25">
      <c r="A7" t="s">
        <v>291</v>
      </c>
      <c r="B7" s="152">
        <f>'Gebouwgegevens Tabula 2zone'!R14</f>
        <v>213.38255033557047</v>
      </c>
      <c r="C7" t="s">
        <v>107</v>
      </c>
      <c r="D7" s="153" t="s">
        <v>292</v>
      </c>
    </row>
    <row r="8" spans="1:9" x14ac:dyDescent="0.25">
      <c r="A8" t="s">
        <v>293</v>
      </c>
      <c r="B8" s="152">
        <f>B4+B5+B7</f>
        <v>405.37617534973276</v>
      </c>
      <c r="D8" s="153"/>
    </row>
    <row r="9" spans="1:9" x14ac:dyDescent="0.25">
      <c r="B9" s="152"/>
      <c r="D9" s="153"/>
    </row>
    <row r="10" spans="1:9" x14ac:dyDescent="0.25">
      <c r="B10" t="s">
        <v>294</v>
      </c>
      <c r="D10" t="s">
        <v>295</v>
      </c>
    </row>
    <row r="11" spans="1:9" x14ac:dyDescent="0.25">
      <c r="A11" t="s">
        <v>296</v>
      </c>
      <c r="B11" s="155">
        <f>SUM('Gebouwgegevens Tabula 2zone'!S6:S9)</f>
        <v>17532992.61088977</v>
      </c>
      <c r="C11" s="155" t="s">
        <v>297</v>
      </c>
      <c r="D11" s="155">
        <f>SUM('Gebouwgegevens Tabula 2zone'!U6:U9)</f>
        <v>15779225.678618854</v>
      </c>
      <c r="E11" t="s">
        <v>297</v>
      </c>
    </row>
    <row r="12" spans="1:9" x14ac:dyDescent="0.25">
      <c r="A12" t="s">
        <v>122</v>
      </c>
      <c r="B12" s="155">
        <f>'Gebouwgegevens Tabula 2zone'!C34*5*1012*1.204</f>
        <v>1268405.1770624167</v>
      </c>
      <c r="C12" t="s">
        <v>297</v>
      </c>
      <c r="D12" s="155">
        <f>B12</f>
        <v>1268405.1770624167</v>
      </c>
      <c r="E12" t="s">
        <v>297</v>
      </c>
    </row>
    <row r="13" spans="1:9" x14ac:dyDescent="0.25">
      <c r="A13" t="s">
        <v>298</v>
      </c>
      <c r="B13" s="155">
        <f>SUM('Gebouwgegevens Tabula 2zone'!O6:O9)*'Gebouwgegevens Tabula 2zone'!AE21</f>
        <v>5859919.9096945534</v>
      </c>
      <c r="C13" t="s">
        <v>297</v>
      </c>
      <c r="D13" s="155">
        <f>B13</f>
        <v>5859919.9096945534</v>
      </c>
      <c r="E13" t="s">
        <v>297</v>
      </c>
    </row>
    <row r="14" spans="1:9" x14ac:dyDescent="0.25">
      <c r="A14" t="s">
        <v>299</v>
      </c>
      <c r="B14" s="155">
        <f>'Gebouwgegevens Tabula 2zone'!S14</f>
        <v>28429891.999999996</v>
      </c>
      <c r="C14" s="155" t="s">
        <v>297</v>
      </c>
      <c r="D14" s="155">
        <f>'Gebouwgegevens Tabula 2zone'!U14</f>
        <v>8399671.9999999981</v>
      </c>
      <c r="E14" s="155" t="s">
        <v>297</v>
      </c>
      <c r="F14" s="155"/>
    </row>
    <row r="16" spans="1:9" x14ac:dyDescent="0.25">
      <c r="A16" t="s">
        <v>300</v>
      </c>
      <c r="B16">
        <f>B11+B13</f>
        <v>23392912.520584323</v>
      </c>
      <c r="D16">
        <f>D11+D13</f>
        <v>21639145.588313408</v>
      </c>
    </row>
    <row r="17" spans="1:9" x14ac:dyDescent="0.25">
      <c r="A17" t="s">
        <v>301</v>
      </c>
      <c r="B17" s="156">
        <f>SUM(B11:B14)</f>
        <v>53091209.697646737</v>
      </c>
      <c r="D17" s="156">
        <f>SUM(D11:D14)</f>
        <v>31307222.765375823</v>
      </c>
    </row>
    <row r="18" spans="1:9" x14ac:dyDescent="0.25">
      <c r="A18" s="151" t="s">
        <v>63</v>
      </c>
    </row>
    <row r="19" spans="1:9" x14ac:dyDescent="0.25">
      <c r="A19" t="s">
        <v>302</v>
      </c>
      <c r="B19" s="152">
        <f>'Gebouwgegevens Tabula 2zone'!R26</f>
        <v>91.909492273730663</v>
      </c>
      <c r="C19" t="s">
        <v>107</v>
      </c>
    </row>
    <row r="20" spans="1:9" x14ac:dyDescent="0.25">
      <c r="A20" t="s">
        <v>303</v>
      </c>
      <c r="B20" s="155">
        <f>'Gebouwgegevens Tabula 2zone'!S26</f>
        <v>4379244.9999999991</v>
      </c>
      <c r="C20" s="155" t="s">
        <v>297</v>
      </c>
      <c r="D20" s="155">
        <f>'Gebouwgegevens Tabula 2zone'!U26</f>
        <v>4379244.9999999991</v>
      </c>
      <c r="E20" t="s">
        <v>297</v>
      </c>
    </row>
    <row r="22" spans="1:9" x14ac:dyDescent="0.25">
      <c r="A22" s="151" t="s">
        <v>304</v>
      </c>
    </row>
    <row r="23" spans="1:9" x14ac:dyDescent="0.25">
      <c r="A23" t="s">
        <v>286</v>
      </c>
      <c r="B23" s="152">
        <f>SUM('Gebouwgegevens Tabula 2zone'!R17:R20)</f>
        <v>170.29304437070616</v>
      </c>
      <c r="C23" t="s">
        <v>107</v>
      </c>
    </row>
    <row r="24" spans="1:9" x14ac:dyDescent="0.25">
      <c r="A24" t="s">
        <v>287</v>
      </c>
      <c r="B24" s="152">
        <f>SUM(F24,I24)</f>
        <v>144.02887479415671</v>
      </c>
      <c r="C24" t="s">
        <v>107</v>
      </c>
      <c r="E24" s="153" t="s">
        <v>288</v>
      </c>
      <c r="F24" s="154">
        <f>'Verwarming Tabula 2zone'!B139</f>
        <v>65.278874794156707</v>
      </c>
      <c r="G24" s="153"/>
      <c r="H24" s="153" t="s">
        <v>289</v>
      </c>
      <c r="I24" s="154">
        <f>SUM('Gebouwgegevens Tabula 2zone'!R21:R24)</f>
        <v>78.75</v>
      </c>
    </row>
    <row r="25" spans="1:9" x14ac:dyDescent="0.25">
      <c r="A25" t="s">
        <v>290</v>
      </c>
      <c r="B25" s="152">
        <f>SUM('Gebouwgegevens Tabula 2zone'!O17:O20)*'Gebouwgegevens Tabula 2zone'!AA21</f>
        <v>154.08412108025465</v>
      </c>
      <c r="C25" t="s">
        <v>107</v>
      </c>
    </row>
    <row r="26" spans="1:9" x14ac:dyDescent="0.25">
      <c r="A26" t="s">
        <v>305</v>
      </c>
      <c r="B26" s="152">
        <f>'Gebouwgegevens Tabula 2zone'!R25</f>
        <v>154.29053942528716</v>
      </c>
      <c r="C26" t="s">
        <v>107</v>
      </c>
      <c r="D26" s="153" t="s">
        <v>292</v>
      </c>
    </row>
    <row r="27" spans="1:9" x14ac:dyDescent="0.25">
      <c r="A27" t="s">
        <v>293</v>
      </c>
      <c r="B27" s="152">
        <f>B23+B24+B26</f>
        <v>468.61245859015003</v>
      </c>
      <c r="D27" s="153"/>
    </row>
    <row r="28" spans="1:9" x14ac:dyDescent="0.25">
      <c r="B28" s="152"/>
      <c r="D28" s="153"/>
    </row>
    <row r="29" spans="1:9" x14ac:dyDescent="0.25">
      <c r="B29" t="s">
        <v>294</v>
      </c>
      <c r="D29" t="s">
        <v>295</v>
      </c>
    </row>
    <row r="30" spans="1:9" x14ac:dyDescent="0.25">
      <c r="A30" t="s">
        <v>296</v>
      </c>
      <c r="B30" s="155">
        <f>SUM('Gebouwgegevens Tabula 2zone'!S17:S20)</f>
        <v>34788051.389110222</v>
      </c>
      <c r="C30" s="155" t="s">
        <v>297</v>
      </c>
      <c r="D30" s="155">
        <f>SUM('Gebouwgegevens Tabula 2zone'!U17:U20)</f>
        <v>31308318.321381141</v>
      </c>
      <c r="E30" t="s">
        <v>297</v>
      </c>
    </row>
    <row r="31" spans="1:9" x14ac:dyDescent="0.25">
      <c r="A31" t="s">
        <v>122</v>
      </c>
      <c r="B31" s="155">
        <f>'Gebouwgegevens Tabula 2zone'!C35*5*1012*1.204</f>
        <v>2516703.5349375824</v>
      </c>
      <c r="C31" t="s">
        <v>297</v>
      </c>
      <c r="D31" s="155">
        <f>B31</f>
        <v>2516703.5349375824</v>
      </c>
      <c r="E31" t="s">
        <v>297</v>
      </c>
    </row>
    <row r="32" spans="1:9" x14ac:dyDescent="0.25">
      <c r="A32" t="s">
        <v>298</v>
      </c>
      <c r="B32" s="155">
        <f>SUM('Gebouwgegevens Tabula 2zone'!O17:O20)*'Gebouwgegevens Tabula 2zone'!AE21</f>
        <v>11626948.090305446</v>
      </c>
      <c r="C32" t="s">
        <v>297</v>
      </c>
      <c r="D32" s="155">
        <f>B32</f>
        <v>11626948.090305446</v>
      </c>
      <c r="E32" t="s">
        <v>297</v>
      </c>
    </row>
    <row r="33" spans="1:6" x14ac:dyDescent="0.25">
      <c r="A33" t="s">
        <v>306</v>
      </c>
      <c r="B33" s="155">
        <f>'Gebouwgegevens Tabula 2zone'!S25</f>
        <v>7013700</v>
      </c>
      <c r="C33" s="155" t="s">
        <v>297</v>
      </c>
      <c r="D33" s="155">
        <f>'Gebouwgegevens Tabula 2zone'!U25</f>
        <v>3800700</v>
      </c>
      <c r="E33" s="155" t="s">
        <v>297</v>
      </c>
      <c r="F33" s="155"/>
    </row>
    <row r="35" spans="1:6" x14ac:dyDescent="0.25">
      <c r="A35" t="s">
        <v>300</v>
      </c>
      <c r="B35">
        <f>B30+B32</f>
        <v>46414999.47941567</v>
      </c>
      <c r="D35">
        <f>D30+D32</f>
        <v>42935266.411686584</v>
      </c>
    </row>
    <row r="36" spans="1:6" x14ac:dyDescent="0.25">
      <c r="A36" t="s">
        <v>301</v>
      </c>
      <c r="B36">
        <f>B30+B31+B32+B33</f>
        <v>55945403.014353253</v>
      </c>
      <c r="D36" s="156">
        <f>SUM(D30:D33)</f>
        <v>49252669.946624167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zoomScaleNormal="100" workbookViewId="0"/>
  </sheetViews>
  <sheetFormatPr defaultRowHeight="15" x14ac:dyDescent="0.25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zoomScaleNormal="100" workbookViewId="0"/>
  </sheetViews>
  <sheetFormatPr defaultRowHeight="15" x14ac:dyDescent="0.25"/>
  <sheetData>
    <row r="1" spans="1:1" x14ac:dyDescent="0.25">
      <c r="A1" t="s">
        <v>293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O51"/>
  <sheetViews>
    <sheetView zoomScaleNormal="100" workbookViewId="0">
      <selection activeCell="AM8" sqref="AM8"/>
    </sheetView>
  </sheetViews>
  <sheetFormatPr defaultRowHeight="15" x14ac:dyDescent="0.25"/>
  <cols>
    <col min="1" max="1" width="20.5703125"/>
    <col min="2" max="2" width="12.28515625"/>
    <col min="3" max="3" width="6.85546875"/>
    <col min="4" max="4" width="22.140625"/>
    <col min="5" max="5" width="9.85546875"/>
    <col min="6" max="6" width="7.140625"/>
    <col min="7" max="7" width="5.5703125"/>
    <col min="8" max="8" width="7.7109375"/>
    <col min="9" max="9" width="2.7109375" style="1"/>
    <col min="10" max="10" width="4.85546875"/>
    <col min="11" max="11" width="10.42578125" style="2"/>
    <col min="12" max="12" width="8" style="2"/>
    <col min="13" max="13" width="16.85546875" style="2"/>
    <col min="14" max="14" width="9.42578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  <col min="23" max="23" width="3.5703125"/>
    <col min="24" max="24" width="18.42578125"/>
    <col min="25" max="25" width="8.5703125"/>
    <col min="26" max="26" width="15.85546875"/>
    <col min="27" max="28" width="8.5703125"/>
    <col min="29" max="29" width="9.5703125"/>
    <col min="30" max="35" width="8.5703125"/>
    <col min="36" max="37" width="8.5703125" style="80"/>
    <col min="38" max="1025" width="8.5703125"/>
  </cols>
  <sheetData>
    <row r="1" spans="1:41" ht="20.25" customHeight="1" x14ac:dyDescent="0.25">
      <c r="A1" s="292" t="s">
        <v>0</v>
      </c>
      <c r="B1" s="292"/>
      <c r="C1" s="292"/>
      <c r="D1" s="292"/>
      <c r="E1" s="292"/>
      <c r="F1" s="292"/>
      <c r="G1" s="292"/>
    </row>
    <row r="3" spans="1:41" x14ac:dyDescent="0.25">
      <c r="A3" s="289" t="s">
        <v>1</v>
      </c>
      <c r="B3" s="289"/>
      <c r="C3" s="289"/>
      <c r="D3" s="289"/>
      <c r="E3" s="289"/>
      <c r="F3" s="289"/>
      <c r="G3" s="289"/>
      <c r="H3" s="289"/>
      <c r="J3" s="289" t="s">
        <v>2</v>
      </c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4"/>
      <c r="V3" s="289" t="s">
        <v>3</v>
      </c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</row>
    <row r="4" spans="1:41" ht="15.75" customHeight="1" x14ac:dyDescent="0.25">
      <c r="Y4" s="5" t="s">
        <v>4</v>
      </c>
      <c r="Z4" s="5">
        <v>1.7</v>
      </c>
      <c r="AA4" s="5" t="s">
        <v>5</v>
      </c>
    </row>
    <row r="5" spans="1:41" ht="15" customHeight="1" x14ac:dyDescent="0.25">
      <c r="A5" s="6" t="s">
        <v>6</v>
      </c>
      <c r="B5" s="7">
        <f>502</f>
        <v>502</v>
      </c>
      <c r="C5" s="7" t="s">
        <v>7</v>
      </c>
      <c r="D5" s="6" t="s">
        <v>8</v>
      </c>
      <c r="E5" s="7"/>
      <c r="F5" s="7"/>
      <c r="G5" s="8">
        <f>SUM(H7:H14)</f>
        <v>14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41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10.7*3.5-N10-2*1*2.5</f>
        <v>25.449999999999996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56.0468591324532</v>
      </c>
      <c r="R6" s="30">
        <f t="shared" ref="R6:R28" si="2">VLOOKUP(M6,$W$5:$AD$391,8,0)*N6</f>
        <v>11449445.999999998</v>
      </c>
      <c r="S6" s="30">
        <f t="shared" ref="S6:S28" si="3">R6/N6</f>
        <v>449880</v>
      </c>
      <c r="T6" s="30">
        <f t="shared" ref="T6:T28" si="4">VLOOKUP(M6,$W$5:$AF$391,10,0)*N6</f>
        <v>10304195.999999998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  <c r="AL6" t="s">
        <v>6</v>
      </c>
      <c r="AN6" s="81">
        <f>B5</f>
        <v>502</v>
      </c>
      <c r="AO6" t="str">
        <f>C5</f>
        <v>m³</v>
      </c>
    </row>
    <row r="7" spans="1:41" ht="15" customHeight="1" x14ac:dyDescent="0.25">
      <c r="A7" s="6" t="s">
        <v>34</v>
      </c>
      <c r="B7" s="35">
        <f>N14</f>
        <v>104.86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0.5</v>
      </c>
      <c r="G7" s="24" t="s">
        <v>37</v>
      </c>
      <c r="H7" s="39">
        <f>N10</f>
        <v>7</v>
      </c>
      <c r="J7" t="s">
        <v>38</v>
      </c>
      <c r="K7" s="40">
        <v>0</v>
      </c>
      <c r="L7" s="41">
        <v>1</v>
      </c>
      <c r="M7" s="41" t="s">
        <v>25</v>
      </c>
      <c r="N7" s="42">
        <f>9.8*3.5*2.5*1</f>
        <v>85.750000000000014</v>
      </c>
      <c r="O7" s="43" t="s">
        <v>39</v>
      </c>
      <c r="P7" s="30">
        <f t="shared" si="0"/>
        <v>2.2022341505875525</v>
      </c>
      <c r="Q7" s="30">
        <f t="shared" si="1"/>
        <v>188.84157841288265</v>
      </c>
      <c r="R7" s="30">
        <f t="shared" si="2"/>
        <v>38577210.000000007</v>
      </c>
      <c r="S7" s="30">
        <f t="shared" si="3"/>
        <v>449880</v>
      </c>
      <c r="T7" s="30">
        <f t="shared" si="4"/>
        <v>34718460.000000007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  <c r="AM7" t="s">
        <v>133</v>
      </c>
      <c r="AN7">
        <v>0.6</v>
      </c>
    </row>
    <row r="8" spans="1:41" ht="15" customHeight="1" x14ac:dyDescent="0.25">
      <c r="A8" s="45" t="s">
        <v>42</v>
      </c>
      <c r="B8" s="46">
        <f>B7-B9</f>
        <v>59.291999999999994</v>
      </c>
      <c r="C8" s="47" t="s">
        <v>9</v>
      </c>
      <c r="D8" s="37" t="s">
        <v>43</v>
      </c>
      <c r="E8" s="24" t="s">
        <v>36</v>
      </c>
      <c r="F8" s="38">
        <f t="shared" si="5"/>
        <v>0</v>
      </c>
      <c r="G8" s="24" t="s">
        <v>37</v>
      </c>
      <c r="H8" s="39">
        <f>N11</f>
        <v>0</v>
      </c>
      <c r="J8" t="s">
        <v>44</v>
      </c>
      <c r="K8" s="40">
        <v>0</v>
      </c>
      <c r="L8" s="41">
        <v>1</v>
      </c>
      <c r="M8" s="41" t="s">
        <v>25</v>
      </c>
      <c r="N8" s="42">
        <f>10.7*3.5-N12</f>
        <v>32.449999999999996</v>
      </c>
      <c r="O8" s="43" t="s">
        <v>45</v>
      </c>
      <c r="P8" s="30">
        <f t="shared" si="0"/>
        <v>2.2022341505875525</v>
      </c>
      <c r="Q8" s="30">
        <f t="shared" si="1"/>
        <v>71.462498186566066</v>
      </c>
      <c r="R8" s="30">
        <f t="shared" si="2"/>
        <v>14598605.999999998</v>
      </c>
      <c r="S8" s="30">
        <f t="shared" si="3"/>
        <v>449880</v>
      </c>
      <c r="T8" s="30">
        <f t="shared" si="4"/>
        <v>13138355.999999998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41" ht="15" customHeight="1" x14ac:dyDescent="0.25">
      <c r="A9" s="48" t="s">
        <v>47</v>
      </c>
      <c r="B9" s="49">
        <f>3.2*7.12*2</f>
        <v>45.568000000000005</v>
      </c>
      <c r="C9" s="24"/>
      <c r="D9" s="37" t="s">
        <v>48</v>
      </c>
      <c r="E9" s="24" t="s">
        <v>36</v>
      </c>
      <c r="F9" s="38">
        <f t="shared" si="5"/>
        <v>0.35714285714285715</v>
      </c>
      <c r="G9" s="24" t="s">
        <v>37</v>
      </c>
      <c r="H9" s="39">
        <f>N12</f>
        <v>5</v>
      </c>
      <c r="J9" t="s">
        <v>49</v>
      </c>
      <c r="K9" s="40">
        <v>0</v>
      </c>
      <c r="L9" s="41">
        <v>1</v>
      </c>
      <c r="M9" s="41" t="s">
        <v>25</v>
      </c>
      <c r="N9" s="42">
        <f>9.8*3.5-N13</f>
        <v>34.300000000000004</v>
      </c>
      <c r="O9" s="43" t="s">
        <v>50</v>
      </c>
      <c r="P9" s="30">
        <f t="shared" si="0"/>
        <v>2.2022341505875525</v>
      </c>
      <c r="Q9" s="30">
        <f t="shared" si="1"/>
        <v>75.536631365153056</v>
      </c>
      <c r="R9" s="30">
        <f t="shared" si="2"/>
        <v>15430884.000000002</v>
      </c>
      <c r="S9" s="30">
        <f t="shared" si="3"/>
        <v>449880</v>
      </c>
      <c r="T9" s="30">
        <f t="shared" si="4"/>
        <v>13887384.000000002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41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</v>
      </c>
      <c r="G10" s="24" t="s">
        <v>37</v>
      </c>
      <c r="H10" s="39">
        <f>N13</f>
        <v>0</v>
      </c>
      <c r="J10" t="s">
        <v>53</v>
      </c>
      <c r="K10" s="40">
        <v>0</v>
      </c>
      <c r="L10" s="41">
        <v>1</v>
      </c>
      <c r="M10" s="41" t="s">
        <v>54</v>
      </c>
      <c r="N10" s="42">
        <v>7</v>
      </c>
      <c r="O10" s="43" t="s">
        <v>26</v>
      </c>
      <c r="P10" s="30">
        <f t="shared" si="0"/>
        <v>5</v>
      </c>
      <c r="Q10" s="30">
        <f t="shared" si="1"/>
        <v>35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41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0</v>
      </c>
      <c r="O11" s="43" t="s">
        <v>39</v>
      </c>
      <c r="P11" s="30">
        <f t="shared" si="0"/>
        <v>5</v>
      </c>
      <c r="Q11" s="30">
        <f t="shared" si="1"/>
        <v>0</v>
      </c>
      <c r="R11" s="30">
        <f t="shared" si="2"/>
        <v>0</v>
      </c>
      <c r="S11" s="30" t="e">
        <f t="shared" si="3"/>
        <v>#DIV/0!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41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0.14285714285714285</v>
      </c>
      <c r="G12" s="24"/>
      <c r="H12" s="52">
        <f>N22</f>
        <v>2</v>
      </c>
      <c r="J12" t="s">
        <v>59</v>
      </c>
      <c r="K12" s="40">
        <v>0</v>
      </c>
      <c r="L12" s="41">
        <v>1</v>
      </c>
      <c r="M12" s="41" t="s">
        <v>54</v>
      </c>
      <c r="N12" s="42">
        <v>5</v>
      </c>
      <c r="O12" s="43" t="s">
        <v>45</v>
      </c>
      <c r="P12" s="30">
        <f t="shared" si="0"/>
        <v>5</v>
      </c>
      <c r="Q12" s="30">
        <f t="shared" si="1"/>
        <v>25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41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v>0</v>
      </c>
      <c r="O13" s="43" t="s">
        <v>50</v>
      </c>
      <c r="P13" s="30">
        <f t="shared" si="0"/>
        <v>5</v>
      </c>
      <c r="Q13" s="30">
        <f t="shared" si="1"/>
        <v>0</v>
      </c>
      <c r="R13" s="30">
        <f t="shared" si="2"/>
        <v>0</v>
      </c>
      <c r="S13" s="30" t="e">
        <f t="shared" si="3"/>
        <v>#DIV/0!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41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10.7*9.8</f>
        <v>104.86</v>
      </c>
      <c r="O14" s="43"/>
      <c r="P14" s="30">
        <f t="shared" si="0"/>
        <v>2.5990099009900991</v>
      </c>
      <c r="Q14" s="30">
        <f t="shared" si="1"/>
        <v>272.53217821782181</v>
      </c>
      <c r="R14" s="30">
        <f t="shared" si="2"/>
        <v>47150089.280000001</v>
      </c>
      <c r="S14" s="30">
        <f t="shared" si="3"/>
        <v>449648</v>
      </c>
      <c r="T14" s="30">
        <f t="shared" si="4"/>
        <v>10155481.279999999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SUM(AD18:AD19)</f>
        <v>404880</v>
      </c>
      <c r="AG14" s="14"/>
    </row>
    <row r="15" spans="1:41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v>29</v>
      </c>
      <c r="O15" s="43"/>
      <c r="P15" s="30">
        <f t="shared" si="0"/>
        <v>1.6975498473547073</v>
      </c>
      <c r="Q15" s="30">
        <f t="shared" si="1"/>
        <v>49.228945573286509</v>
      </c>
      <c r="R15" s="30">
        <f t="shared" si="2"/>
        <v>2259970</v>
      </c>
      <c r="S15" s="30">
        <f t="shared" si="3"/>
        <v>77930</v>
      </c>
      <c r="T15" s="30">
        <f t="shared" si="4"/>
        <v>1224670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41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2*1*2.5+1*2.5</f>
        <v>7.5</v>
      </c>
      <c r="O16" s="43"/>
      <c r="P16" s="30">
        <f t="shared" si="0"/>
        <v>4</v>
      </c>
      <c r="Q16" s="30">
        <f t="shared" si="1"/>
        <v>30</v>
      </c>
      <c r="R16" s="30">
        <f t="shared" si="2"/>
        <v>273900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1.0879517640207914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f>N26</f>
        <v>76.183999999999997</v>
      </c>
      <c r="C18" s="7" t="s">
        <v>9</v>
      </c>
      <c r="D18" s="37" t="s">
        <v>74</v>
      </c>
      <c r="E18" s="24"/>
      <c r="F18" s="58">
        <f>B27/B24</f>
        <v>2.5486484807930534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f>7.12*(7.5-3.5)/2</f>
        <v>14.24</v>
      </c>
      <c r="O18" s="43" t="s">
        <v>39</v>
      </c>
      <c r="P18" s="30">
        <f t="shared" si="0"/>
        <v>2.2022341505875525</v>
      </c>
      <c r="Q18" s="30">
        <f t="shared" si="1"/>
        <v>31.359814304366747</v>
      </c>
      <c r="R18" s="30">
        <f t="shared" si="2"/>
        <v>6406291.2000000002</v>
      </c>
      <c r="S18" s="30">
        <f t="shared" si="3"/>
        <v>449880</v>
      </c>
      <c r="T18" s="30">
        <f t="shared" si="4"/>
        <v>5765491.2000000002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f>22</f>
        <v>22</v>
      </c>
      <c r="C19" s="24"/>
      <c r="D19" s="37" t="s">
        <v>78</v>
      </c>
      <c r="E19" s="24"/>
      <c r="F19" s="58">
        <f>B27/B7</f>
        <v>4.4003196219406586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54.183999999999997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f>7.12*(7.5-3.5)/2</f>
        <v>14.24</v>
      </c>
      <c r="O20" s="43" t="s">
        <v>50</v>
      </c>
      <c r="P20" s="30">
        <f t="shared" si="0"/>
        <v>2.2022341505875525</v>
      </c>
      <c r="Q20" s="30">
        <f t="shared" si="1"/>
        <v>31.359814304366747</v>
      </c>
      <c r="R20" s="30">
        <f t="shared" si="2"/>
        <v>6406291.2000000002</v>
      </c>
      <c r="S20" s="30">
        <f t="shared" si="3"/>
        <v>449880</v>
      </c>
      <c r="T20" s="30">
        <f t="shared" si="4"/>
        <v>5765491.2000000002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7.732926802324297E-2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SUM(AD23:AD26)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0.13351134846461948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2</v>
      </c>
      <c r="O22" s="43" t="s">
        <v>39</v>
      </c>
      <c r="P22" s="30">
        <f t="shared" si="0"/>
        <v>5</v>
      </c>
      <c r="Q22" s="30">
        <f t="shared" si="1"/>
        <v>10</v>
      </c>
      <c r="R22" s="30">
        <f t="shared" si="2"/>
        <v>0</v>
      </c>
      <c r="S22" s="30">
        <f t="shared" si="3"/>
        <v>0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3.034128425555992E-2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181.04399999999998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1.7265306122448978</v>
      </c>
      <c r="C25" s="24"/>
      <c r="D25" s="23" t="s">
        <v>95</v>
      </c>
      <c r="E25" s="24"/>
      <c r="F25" s="63">
        <f>B9/B7</f>
        <v>0.43456036620255584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f>SQRT(3.56^2+3^2)*10.7*2</f>
        <v>99.627515556697489</v>
      </c>
      <c r="O25" s="43" t="s">
        <v>97</v>
      </c>
      <c r="P25" s="30">
        <f t="shared" si="0"/>
        <v>1.6975498473547073</v>
      </c>
      <c r="Q25" s="30">
        <f t="shared" si="1"/>
        <v>169.12267382560054</v>
      </c>
      <c r="R25" s="30">
        <f t="shared" si="2"/>
        <v>7763972.2873334354</v>
      </c>
      <c r="S25" s="30">
        <f t="shared" si="3"/>
        <v>77930</v>
      </c>
      <c r="T25" s="30">
        <f t="shared" si="4"/>
        <v>4207269.9819593346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7.12*10.7</f>
        <v>76.183999999999997</v>
      </c>
      <c r="O26" s="43"/>
      <c r="P26" s="30">
        <f t="shared" si="0"/>
        <v>2.0895522388059704</v>
      </c>
      <c r="Q26" s="30">
        <f t="shared" si="1"/>
        <v>159.19044776119404</v>
      </c>
      <c r="R26" s="30">
        <f t="shared" si="2"/>
        <v>13206496.4</v>
      </c>
      <c r="S26" s="30">
        <f t="shared" si="3"/>
        <v>173350</v>
      </c>
      <c r="T26" s="30">
        <f t="shared" si="4"/>
        <v>13206496.4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f>SUM(N6:N25)</f>
        <v>461.41751555669748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8.7*3.5+9.8*3.5+7.12*3.5*2+7.5*3.5</f>
        <v>140.84</v>
      </c>
      <c r="O27" s="43"/>
      <c r="P27" s="30">
        <f t="shared" si="0"/>
        <v>1.9926199261992623</v>
      </c>
      <c r="Q27" s="30">
        <f t="shared" si="1"/>
        <v>280.64059040590411</v>
      </c>
      <c r="R27" s="30">
        <f t="shared" si="2"/>
        <v>21176702.400000002</v>
      </c>
      <c r="S27" s="30">
        <f t="shared" si="3"/>
        <v>150360</v>
      </c>
      <c r="T27" s="30">
        <f t="shared" si="4"/>
        <v>21176702.400000002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2.0895522388059704</v>
      </c>
      <c r="AA27" s="17" t="s">
        <v>5</v>
      </c>
      <c r="AB27" s="17"/>
      <c r="AC27" s="17" t="s">
        <v>22</v>
      </c>
      <c r="AD27" s="20">
        <f>SUM(AD29:AD33)</f>
        <v>173350</v>
      </c>
      <c r="AE27" s="14" t="s">
        <v>23</v>
      </c>
      <c r="AF27" s="14">
        <f>SUM(AD29:AD32)</f>
        <v>173350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f>7.12*2</f>
        <v>14.24</v>
      </c>
      <c r="O28" s="43"/>
      <c r="P28" s="30">
        <f t="shared" si="0"/>
        <v>1.9926199261992623</v>
      </c>
      <c r="Q28" s="30">
        <f t="shared" si="1"/>
        <v>28.374907749077497</v>
      </c>
      <c r="R28" s="30">
        <f t="shared" si="2"/>
        <v>2141126.4</v>
      </c>
      <c r="S28" s="30">
        <f t="shared" si="3"/>
        <v>150360</v>
      </c>
      <c r="T28" s="30">
        <f t="shared" si="4"/>
        <v>2141126.4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1.4</v>
      </c>
      <c r="AA29" s="47">
        <v>2100</v>
      </c>
      <c r="AB29" s="47">
        <v>840</v>
      </c>
      <c r="AC29" s="67">
        <f>Y29/Z29</f>
        <v>1.4285714285714287E-2</v>
      </c>
      <c r="AD29" s="68">
        <f>Y29*AA29*AB29</f>
        <v>35280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69">
        <f>SUM(Q1:Q25)</f>
        <v>1045.4909933224974</v>
      </c>
      <c r="R31" s="69" t="s">
        <v>107</v>
      </c>
      <c r="W31" s="23"/>
      <c r="X31" s="24" t="s">
        <v>108</v>
      </c>
      <c r="Y31" s="24">
        <v>0.02</v>
      </c>
      <c r="Z31" s="24">
        <v>1.4</v>
      </c>
      <c r="AA31" s="24">
        <v>2100</v>
      </c>
      <c r="AB31" s="24">
        <v>840</v>
      </c>
      <c r="AC31" s="44">
        <f>Y31/Z31</f>
        <v>1.4285714285714287E-2</v>
      </c>
      <c r="AD31" s="25">
        <f>Y31*AA31*AB31</f>
        <v>35280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289" t="s">
        <v>112</v>
      </c>
      <c r="F34" s="289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3.5*G35</f>
        <v>207.52199999999999</v>
      </c>
      <c r="C35" s="73"/>
      <c r="D35" s="73" t="s">
        <v>42</v>
      </c>
      <c r="E35" s="290">
        <v>21</v>
      </c>
      <c r="F35" s="290"/>
      <c r="G35" s="76">
        <f>VLOOKUP(D35,A7:B23,2,0)</f>
        <v>59.291999999999994</v>
      </c>
      <c r="K35"/>
      <c r="L35"/>
      <c r="M35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3.5*G36</f>
        <v>159.48800000000003</v>
      </c>
      <c r="C36" s="73"/>
      <c r="D36" s="73" t="s">
        <v>116</v>
      </c>
      <c r="E36" s="77">
        <v>16</v>
      </c>
      <c r="F36" s="77"/>
      <c r="G36" s="76">
        <f>VLOOKUP(D36,A8:B24,2,0)</f>
        <v>45.568000000000005</v>
      </c>
      <c r="K36"/>
      <c r="L36"/>
      <c r="M36"/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152.36799999999999</v>
      </c>
      <c r="C37" s="73"/>
      <c r="D37" s="73" t="s">
        <v>118</v>
      </c>
      <c r="E37" s="291" t="s">
        <v>119</v>
      </c>
      <c r="F37" s="291"/>
      <c r="G37" s="76">
        <f>B18</f>
        <v>76.183999999999997</v>
      </c>
      <c r="K37"/>
      <c r="L37"/>
      <c r="M37"/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/>
      <c r="P39"/>
      <c r="Q39"/>
      <c r="AE39" s="14"/>
      <c r="AF39" s="14"/>
      <c r="AG39" s="14"/>
    </row>
    <row r="40" spans="1:33" ht="15" customHeight="1" x14ac:dyDescent="0.25">
      <c r="K40"/>
      <c r="L40"/>
      <c r="M40"/>
      <c r="P40"/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SUM(AD42:AD43)</f>
        <v>96848</v>
      </c>
      <c r="AG40" s="14"/>
    </row>
    <row r="41" spans="1:33" ht="15" customHeight="1" x14ac:dyDescent="0.25">
      <c r="K41"/>
      <c r="L41"/>
      <c r="M41"/>
      <c r="P41"/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/>
      <c r="P42"/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1"/>
  <sheetViews>
    <sheetView topLeftCell="A16" zoomScaleNormal="100" workbookViewId="0">
      <selection activeCell="F34" sqref="F34"/>
    </sheetView>
  </sheetViews>
  <sheetFormatPr defaultRowHeight="15" x14ac:dyDescent="0.25"/>
  <cols>
    <col min="1" max="1" width="30.7109375"/>
    <col min="2" max="2" width="20.42578125"/>
    <col min="3" max="3" width="8.5703125"/>
    <col min="4" max="4" width="0" hidden="1"/>
    <col min="5" max="1025" width="8.5703125"/>
  </cols>
  <sheetData>
    <row r="1" spans="1:5" ht="15" customHeight="1" x14ac:dyDescent="0.3">
      <c r="A1" s="82" t="s">
        <v>134</v>
      </c>
      <c r="B1" s="82"/>
      <c r="C1" s="82"/>
    </row>
    <row r="3" spans="1:5" ht="15" customHeight="1" x14ac:dyDescent="0.25">
      <c r="A3" s="83" t="s">
        <v>135</v>
      </c>
      <c r="B3" s="293" t="s">
        <v>4</v>
      </c>
      <c r="C3" s="293"/>
      <c r="D3" t="s">
        <v>136</v>
      </c>
    </row>
    <row r="4" spans="1:5" ht="15" customHeight="1" x14ac:dyDescent="0.25">
      <c r="A4" s="84" t="s">
        <v>137</v>
      </c>
      <c r="B4" s="84">
        <v>225.9</v>
      </c>
      <c r="C4" s="84" t="s">
        <v>9</v>
      </c>
      <c r="D4" s="85">
        <f>'Gebouwgegevens Allacker'!B24</f>
        <v>181.04399999999998</v>
      </c>
    </row>
    <row r="5" spans="1:5" ht="15" customHeight="1" x14ac:dyDescent="0.25">
      <c r="A5" s="84" t="s">
        <v>6</v>
      </c>
      <c r="B5" s="84">
        <v>621.29999999999995</v>
      </c>
      <c r="C5" s="84" t="s">
        <v>7</v>
      </c>
      <c r="D5" s="81">
        <f>'Gebouwgegevens Allacker'!B5</f>
        <v>502</v>
      </c>
      <c r="E5" s="245">
        <f>B5/B4</f>
        <v>2.7503320053120848</v>
      </c>
    </row>
    <row r="6" spans="1:5" ht="15" customHeight="1" x14ac:dyDescent="0.25">
      <c r="A6" s="84" t="s">
        <v>138</v>
      </c>
      <c r="B6" s="84">
        <v>323</v>
      </c>
      <c r="C6" s="84" t="s">
        <v>9</v>
      </c>
      <c r="D6" s="3">
        <f>'Gebouwgegevens Allacker'!B27</f>
        <v>461.41751555669748</v>
      </c>
    </row>
    <row r="7" spans="1:5" ht="15" customHeight="1" x14ac:dyDescent="0.25">
      <c r="A7" s="84" t="s">
        <v>20</v>
      </c>
      <c r="B7" s="84">
        <v>90</v>
      </c>
      <c r="C7" s="84" t="s">
        <v>9</v>
      </c>
      <c r="D7" s="3">
        <f>'Gebouwgegevens Allacker'!N15+'Gebouwgegevens Allacker'!N25</f>
        <v>128.62751555669749</v>
      </c>
    </row>
    <row r="8" spans="1:5" ht="15" customHeight="1" x14ac:dyDescent="0.25">
      <c r="A8" s="84" t="s">
        <v>139</v>
      </c>
      <c r="B8" s="86">
        <v>92</v>
      </c>
      <c r="C8" s="84" t="s">
        <v>9</v>
      </c>
      <c r="D8">
        <v>0</v>
      </c>
    </row>
    <row r="9" spans="1:5" ht="15" customHeight="1" x14ac:dyDescent="0.25">
      <c r="A9" s="84" t="s">
        <v>140</v>
      </c>
      <c r="B9" s="84">
        <v>24.3</v>
      </c>
      <c r="C9" s="84" t="s">
        <v>9</v>
      </c>
      <c r="D9">
        <v>0</v>
      </c>
    </row>
    <row r="10" spans="1:5" ht="15" customHeight="1" x14ac:dyDescent="0.25">
      <c r="A10" s="84" t="s">
        <v>141</v>
      </c>
      <c r="B10" s="87">
        <f>B8+B9</f>
        <v>116.3</v>
      </c>
      <c r="C10" s="84"/>
      <c r="D10" s="3">
        <f>SUM('Gebouwgegevens Allacker'!N6:N9,'Gebouwgegevens Allacker'!N17:N20)</f>
        <v>206.43000000000004</v>
      </c>
    </row>
    <row r="11" spans="1:5" ht="15" customHeight="1" x14ac:dyDescent="0.25">
      <c r="A11" s="84" t="s">
        <v>142</v>
      </c>
      <c r="B11" s="84">
        <v>41.4</v>
      </c>
      <c r="C11" s="84" t="s">
        <v>9</v>
      </c>
      <c r="D11">
        <v>0</v>
      </c>
    </row>
    <row r="12" spans="1:5" ht="15" customHeight="1" x14ac:dyDescent="0.25">
      <c r="A12" s="84" t="s">
        <v>143</v>
      </c>
      <c r="B12" s="84">
        <v>34.299999999999997</v>
      </c>
      <c r="C12" s="84" t="s">
        <v>9</v>
      </c>
      <c r="D12">
        <v>0</v>
      </c>
    </row>
    <row r="13" spans="1:5" ht="15" customHeight="1" x14ac:dyDescent="0.25">
      <c r="A13" s="84" t="s">
        <v>144</v>
      </c>
      <c r="B13" s="84">
        <v>0</v>
      </c>
      <c r="C13" s="84" t="s">
        <v>9</v>
      </c>
      <c r="D13">
        <v>0</v>
      </c>
    </row>
    <row r="14" spans="1:5" ht="15" customHeight="1" x14ac:dyDescent="0.25">
      <c r="A14" s="84" t="s">
        <v>145</v>
      </c>
      <c r="B14" s="84">
        <f>B12+B11</f>
        <v>75.699999999999989</v>
      </c>
      <c r="C14" s="84"/>
      <c r="D14" s="3">
        <f>SUM('Gebouwgegevens Allacker'!N14)</f>
        <v>104.86</v>
      </c>
    </row>
    <row r="15" spans="1:5" s="81" customFormat="1" ht="15" customHeight="1" x14ac:dyDescent="0.25">
      <c r="A15" s="252" t="s">
        <v>499</v>
      </c>
      <c r="B15" s="253">
        <v>3</v>
      </c>
      <c r="C15" s="254"/>
      <c r="D15" s="152">
        <f>B4/B14</f>
        <v>2.9841479524438577</v>
      </c>
      <c r="E15" s="81">
        <f>B4/B14</f>
        <v>2.9841479524438577</v>
      </c>
    </row>
    <row r="16" spans="1:5" s="81" customFormat="1" ht="15" customHeight="1" x14ac:dyDescent="0.25">
      <c r="A16" s="252" t="s">
        <v>500</v>
      </c>
      <c r="B16" s="254">
        <f>E5</f>
        <v>2.7503320053120848</v>
      </c>
      <c r="C16" s="252" t="s">
        <v>70</v>
      </c>
      <c r="D16" s="152"/>
    </row>
    <row r="17" spans="1:6" s="81" customFormat="1" ht="15" customHeight="1" x14ac:dyDescent="0.25">
      <c r="A17" s="252" t="s">
        <v>501</v>
      </c>
      <c r="B17" s="254">
        <f>B10/2/B15/B16</f>
        <v>7.0476339932399812</v>
      </c>
      <c r="C17" s="252" t="s">
        <v>70</v>
      </c>
      <c r="D17" s="152"/>
      <c r="E17" s="255" t="s">
        <v>506</v>
      </c>
    </row>
    <row r="18" spans="1:6" s="81" customFormat="1" ht="15" customHeight="1" x14ac:dyDescent="0.25">
      <c r="A18" s="252" t="s">
        <v>502</v>
      </c>
      <c r="B18" s="254">
        <f>B14/B17</f>
        <v>10.741193437770841</v>
      </c>
      <c r="C18" s="252" t="s">
        <v>70</v>
      </c>
      <c r="D18" s="152"/>
      <c r="E18" s="81" t="s">
        <v>507</v>
      </c>
    </row>
    <row r="19" spans="1:6" s="81" customFormat="1" ht="15" customHeight="1" x14ac:dyDescent="0.25">
      <c r="A19" s="252" t="s">
        <v>503</v>
      </c>
      <c r="B19" s="254">
        <f>B18*B16*B15*2</f>
        <v>177.25108852289571</v>
      </c>
      <c r="C19" s="252" t="s">
        <v>9</v>
      </c>
      <c r="D19" s="152"/>
    </row>
    <row r="20" spans="1:6" ht="15" customHeight="1" x14ac:dyDescent="0.25">
      <c r="A20" s="84" t="s">
        <v>146</v>
      </c>
      <c r="B20" s="84">
        <v>9.5</v>
      </c>
      <c r="C20" s="84" t="s">
        <v>9</v>
      </c>
      <c r="D20" s="3">
        <f>'Gebouwgegevens Allacker'!N16</f>
        <v>7.5</v>
      </c>
    </row>
    <row r="21" spans="1:6" ht="15" customHeight="1" x14ac:dyDescent="0.25">
      <c r="A21" s="84" t="s">
        <v>147</v>
      </c>
      <c r="B21" s="84">
        <v>8.4</v>
      </c>
      <c r="C21" s="84" t="s">
        <v>9</v>
      </c>
      <c r="D21">
        <v>0</v>
      </c>
    </row>
    <row r="22" spans="1:6" ht="15" customHeight="1" x14ac:dyDescent="0.25">
      <c r="A22" s="84" t="s">
        <v>148</v>
      </c>
      <c r="B22" s="84">
        <v>7.9</v>
      </c>
      <c r="C22" s="84" t="s">
        <v>9</v>
      </c>
      <c r="D22">
        <v>0</v>
      </c>
    </row>
    <row r="23" spans="1:6" ht="15" customHeight="1" x14ac:dyDescent="0.25">
      <c r="A23" s="84" t="s">
        <v>149</v>
      </c>
      <c r="B23" s="84">
        <v>8.1</v>
      </c>
      <c r="C23" s="84" t="s">
        <v>9</v>
      </c>
      <c r="D23">
        <v>0</v>
      </c>
    </row>
    <row r="24" spans="1:6" ht="15" customHeight="1" x14ac:dyDescent="0.25">
      <c r="A24" s="84" t="s">
        <v>150</v>
      </c>
      <c r="B24" s="84">
        <v>7.1</v>
      </c>
      <c r="C24" s="84" t="s">
        <v>9</v>
      </c>
      <c r="D24">
        <v>0</v>
      </c>
    </row>
    <row r="25" spans="1:6" ht="15" customHeight="1" x14ac:dyDescent="0.25">
      <c r="A25" s="84" t="s">
        <v>151</v>
      </c>
      <c r="B25" s="84">
        <f>SUM(B21:B24)</f>
        <v>31.5</v>
      </c>
      <c r="C25" s="84"/>
      <c r="D25">
        <f>'Gebouwgegevens Allacker'!G5</f>
        <v>14</v>
      </c>
    </row>
    <row r="26" spans="1:6" ht="15" customHeight="1" x14ac:dyDescent="0.25">
      <c r="A26" s="84" t="s">
        <v>152</v>
      </c>
      <c r="B26" s="86">
        <f>B5/B6</f>
        <v>1.9235294117647057</v>
      </c>
      <c r="C26" s="84"/>
      <c r="D26" s="3">
        <f>'Gebouwgegevens Allacker'!F17</f>
        <v>1.0879517640207914</v>
      </c>
    </row>
    <row r="27" spans="1:6" ht="15" customHeight="1" x14ac:dyDescent="0.25">
      <c r="A27" s="84" t="s">
        <v>153</v>
      </c>
      <c r="B27" s="86">
        <f>B6/(SUM(B11:B13)*2)</f>
        <v>2.1334214002642011</v>
      </c>
      <c r="C27" s="84"/>
      <c r="D27" s="3">
        <f>'Gebouwgegevens Allacker'!F18</f>
        <v>2.5486484807930534</v>
      </c>
    </row>
    <row r="28" spans="1:6" ht="15" customHeight="1" x14ac:dyDescent="0.25">
      <c r="A28" s="84" t="s">
        <v>154</v>
      </c>
      <c r="B28" s="86">
        <f>B6/(SUM(B11:B13))</f>
        <v>4.2668428005284023</v>
      </c>
      <c r="C28" s="84"/>
      <c r="D28" s="3">
        <f>'Gebouwgegevens Allacker'!F19</f>
        <v>4.4003196219406586</v>
      </c>
    </row>
    <row r="29" spans="1:6" ht="15" customHeight="1" x14ac:dyDescent="0.25">
      <c r="A29" s="84" t="s">
        <v>155</v>
      </c>
      <c r="B29" s="86">
        <f>SUM(B21:B24)/B6</f>
        <v>9.7523219814241488E-2</v>
      </c>
      <c r="C29" s="84"/>
      <c r="D29" s="3">
        <f>'Gebouwgegevens Allacker'!F23</f>
        <v>3.034128425555992E-2</v>
      </c>
    </row>
    <row r="30" spans="1:6" ht="15" customHeight="1" x14ac:dyDescent="0.25">
      <c r="A30" s="84" t="s">
        <v>156</v>
      </c>
      <c r="B30" s="88">
        <f>SUM(B21:B24)/SUM(B11:B13)/2</f>
        <v>0.20805812417437256</v>
      </c>
      <c r="C30" s="84"/>
      <c r="D30" s="3">
        <f>'Gebouwgegevens Allacker'!F21</f>
        <v>7.732926802324297E-2</v>
      </c>
    </row>
    <row r="31" spans="1:6" ht="15" customHeight="1" x14ac:dyDescent="0.25">
      <c r="A31" s="84" t="s">
        <v>157</v>
      </c>
      <c r="B31" s="89">
        <f>SUM(B21:B24)/SUM(B11:B13)</f>
        <v>0.41611624834874511</v>
      </c>
      <c r="C31" s="84"/>
      <c r="D31" s="3">
        <f>'Gebouwgegevens Allacker'!F22</f>
        <v>0.13351134846461948</v>
      </c>
    </row>
    <row r="32" spans="1:6" s="81" customFormat="1" ht="15" customHeight="1" x14ac:dyDescent="0.25">
      <c r="A32" s="84" t="s">
        <v>512</v>
      </c>
      <c r="B32" s="270">
        <v>14.9</v>
      </c>
      <c r="C32" s="84"/>
      <c r="D32" s="152"/>
      <c r="E32" s="81">
        <v>6</v>
      </c>
      <c r="F32" s="81">
        <v>2.5</v>
      </c>
    </row>
    <row r="33" spans="1:6" ht="15" customHeight="1" x14ac:dyDescent="0.25">
      <c r="A33" s="84" t="s">
        <v>158</v>
      </c>
      <c r="B33" s="84">
        <f>B32/B5*B6</f>
        <v>7.7461773700305816</v>
      </c>
      <c r="C33" s="84" t="s">
        <v>159</v>
      </c>
      <c r="D33" s="84" t="s">
        <v>160</v>
      </c>
      <c r="E33">
        <f>E32/B5*B6</f>
        <v>3.119266055045872</v>
      </c>
      <c r="F33">
        <f>F32/B5*B6</f>
        <v>1.2996941896024465</v>
      </c>
    </row>
    <row r="37" spans="1:6" ht="15" customHeight="1" x14ac:dyDescent="0.25">
      <c r="A37" s="90" t="s">
        <v>161</v>
      </c>
      <c r="B37" s="90"/>
    </row>
    <row r="38" spans="1:6" ht="15" customHeight="1" x14ac:dyDescent="0.25">
      <c r="A38" s="91" t="s">
        <v>137</v>
      </c>
      <c r="B38" s="91">
        <f>'Tabula data'!B4/'Gebouwgegevens Allacker'!B24</f>
        <v>1.2477629747464707</v>
      </c>
    </row>
    <row r="39" spans="1:6" ht="15" customHeight="1" x14ac:dyDescent="0.25">
      <c r="A39" s="91" t="s">
        <v>6</v>
      </c>
      <c r="B39" s="91">
        <f>B5/'Gebouwgegevens Allacker'!B5</f>
        <v>1.2376494023904381</v>
      </c>
    </row>
    <row r="40" spans="1:6" ht="15" customHeight="1" x14ac:dyDescent="0.25">
      <c r="A40" s="91" t="s">
        <v>138</v>
      </c>
      <c r="B40" s="91">
        <f>B6/'Gebouwgegevens Allacker'!B27</f>
        <v>0.700016772467561</v>
      </c>
    </row>
    <row r="41" spans="1:6" ht="15" customHeight="1" x14ac:dyDescent="0.25">
      <c r="A41" s="91" t="s">
        <v>20</v>
      </c>
      <c r="B41" s="91">
        <f>B7/('Gebouwgegevens Allacker'!N15+'Gebouwgegevens Allacker'!N25)</f>
        <v>0.69969477067547858</v>
      </c>
    </row>
    <row r="42" spans="1:6" ht="15" customHeight="1" x14ac:dyDescent="0.25">
      <c r="A42" s="91" t="s">
        <v>139</v>
      </c>
      <c r="B42" s="91">
        <f>(B8+B9)/SUM('Gebouwgegevens Allacker'!N6:N9,'Gebouwgegevens Allacker'!N17:N20)</f>
        <v>0.5633871045875114</v>
      </c>
    </row>
    <row r="43" spans="1:6" ht="15" customHeight="1" x14ac:dyDescent="0.25">
      <c r="A43" s="91" t="s">
        <v>162</v>
      </c>
      <c r="B43" s="91">
        <f>SUM(B11:B12)/'Gebouwgegevens Allacker'!B7</f>
        <v>0.72191493419797814</v>
      </c>
    </row>
    <row r="44" spans="1:6" ht="15" customHeight="1" x14ac:dyDescent="0.25">
      <c r="A44" s="91" t="s">
        <v>146</v>
      </c>
      <c r="B44" s="91">
        <f>B20/'Gebouwgegevens Allacker'!N16</f>
        <v>1.2666666666666666</v>
      </c>
    </row>
    <row r="45" spans="1:6" ht="15" customHeight="1" x14ac:dyDescent="0.25">
      <c r="A45" s="91" t="s">
        <v>163</v>
      </c>
      <c r="B45" s="91">
        <f>SUM(B21:B24)/'Gebouwgegevens Allacker'!G5</f>
        <v>2.25</v>
      </c>
    </row>
    <row r="46" spans="1:6" ht="15" customHeight="1" x14ac:dyDescent="0.25">
      <c r="A46" s="91" t="s">
        <v>152</v>
      </c>
      <c r="B46" s="91">
        <f>B26/'Gebouwgegevens Allacker'!F17</f>
        <v>1.7680282117065862</v>
      </c>
    </row>
    <row r="47" spans="1:6" ht="15" customHeight="1" x14ac:dyDescent="0.25">
      <c r="A47" s="91" t="s">
        <v>153</v>
      </c>
      <c r="B47" s="91">
        <f>B27/'Gebouwgegevens Allacker'!F18</f>
        <v>0.83707950168175105</v>
      </c>
    </row>
    <row r="48" spans="1:6" ht="15" customHeight="1" x14ac:dyDescent="0.25">
      <c r="A48" s="91" t="s">
        <v>154</v>
      </c>
      <c r="B48" s="91">
        <f>'Tabula data'!B28/'Gebouwgegevens Allacker'!F19</f>
        <v>0.96966656223181591</v>
      </c>
    </row>
    <row r="49" spans="1:2" ht="15" customHeight="1" x14ac:dyDescent="0.25">
      <c r="A49" s="91" t="s">
        <v>155</v>
      </c>
      <c r="B49" s="91">
        <f>B29/'Gebouwgegevens Allacker'!F23</f>
        <v>3.2142086996983572</v>
      </c>
    </row>
    <row r="50" spans="1:2" ht="15" customHeight="1" x14ac:dyDescent="0.25">
      <c r="A50" s="91" t="s">
        <v>156</v>
      </c>
      <c r="B50" s="91">
        <f>B30/'Gebouwgegevens Allacker'!F21</f>
        <v>2.6905482166446504</v>
      </c>
    </row>
    <row r="51" spans="1:2" ht="15" customHeight="1" x14ac:dyDescent="0.25">
      <c r="A51" s="91" t="s">
        <v>157</v>
      </c>
      <c r="B51" s="91">
        <f>B31/'Gebouwgegevens Allacker'!F22</f>
        <v>3.1167107001321011</v>
      </c>
    </row>
  </sheetData>
  <mergeCells count="1">
    <mergeCell ref="B3: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K784"/>
  <sheetViews>
    <sheetView zoomScaleNormal="100" workbookViewId="0">
      <selection sqref="A1:I1"/>
    </sheetView>
  </sheetViews>
  <sheetFormatPr defaultRowHeight="15" x14ac:dyDescent="0.25"/>
  <cols>
    <col min="1" max="1" width="9.140625" style="3"/>
    <col min="2" max="2" width="11.5703125" style="3"/>
    <col min="3" max="3" width="10" style="3"/>
    <col min="4" max="4" width="12.5703125" style="3"/>
    <col min="5" max="5" width="21.7109375" style="3"/>
    <col min="6" max="7" width="12" style="3"/>
    <col min="8" max="21" width="9.140625" style="3"/>
    <col min="22" max="22" width="9.28515625" style="3"/>
    <col min="23" max="23" width="12.42578125" style="3"/>
    <col min="24" max="1025" width="9.140625" style="3"/>
  </cols>
  <sheetData>
    <row r="1" spans="1:25" ht="20.25" customHeight="1" x14ac:dyDescent="0.25">
      <c r="A1" s="292" t="s">
        <v>164</v>
      </c>
      <c r="B1" s="292"/>
      <c r="C1" s="292"/>
      <c r="D1" s="292"/>
      <c r="E1" s="292"/>
      <c r="F1" s="292"/>
      <c r="G1" s="292"/>
      <c r="H1" s="292"/>
      <c r="I1" s="292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289" t="s">
        <v>168</v>
      </c>
      <c r="W5" s="289"/>
      <c r="X5" s="289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294" t="s">
        <v>171</v>
      </c>
      <c r="B7" s="294"/>
      <c r="C7" s="294"/>
      <c r="D7" s="294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21584.030838614995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Allacker'!$J$5:$Q$83,3,0)</f>
        <v>1</v>
      </c>
      <c r="D12" s="108" t="str">
        <f>VLOOKUP(B12,'Gebouwgegevens Allacker'!$J$5:$Q$83,4,0)</f>
        <v>Wall External</v>
      </c>
      <c r="E12" s="108">
        <f>VLOOKUP(B12,'Gebouwgegevens Allacker'!$J$5:$Q$83,5,0)</f>
        <v>25.449999999999996</v>
      </c>
      <c r="F12" s="108" t="str">
        <f>VLOOKUP(B12,'Gebouwgegevens Allacker'!$J$5:$Q$83,6,0)</f>
        <v>front</v>
      </c>
      <c r="G12" s="108">
        <f>VLOOKUP(B12,'Gebouwgegevens Allacker'!$J$5:$Q$83,7,0)</f>
        <v>2.2022341505875525</v>
      </c>
      <c r="H12" s="109">
        <f>VLOOKUP(B12,'Gebouwgegevens Allacker'!$J$5:$Q$83,8,0)</f>
        <v>56.0468591324532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Allacker'!$J$5:$Q$83,3,0)</f>
        <v>1</v>
      </c>
      <c r="D13" s="108" t="str">
        <f>VLOOKUP(B13,'Gebouwgegevens Allacker'!$J$5:$Q$83,4,0)</f>
        <v>Wall External</v>
      </c>
      <c r="E13" s="108">
        <f>VLOOKUP(B13,'Gebouwgegevens Allacker'!$J$5:$Q$83,5,0)</f>
        <v>85.750000000000014</v>
      </c>
      <c r="F13" s="108" t="str">
        <f>VLOOKUP(B13,'Gebouwgegevens Allacker'!$J$5:$Q$83,6,0)</f>
        <v>right</v>
      </c>
      <c r="G13" s="108">
        <f>VLOOKUP(B13,'Gebouwgegevens Allacker'!$J$5:$Q$83,7,0)</f>
        <v>2.2022341505875525</v>
      </c>
      <c r="H13" s="109">
        <f>VLOOKUP(B13,'Gebouwgegevens Allacker'!$J$5:$Q$83,8,0)</f>
        <v>188.84157841288265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Allacker'!$J$5:$Q$83,3,0)</f>
        <v>1</v>
      </c>
      <c r="D14" s="108" t="str">
        <f>VLOOKUP(B14,'Gebouwgegevens Allacker'!$J$5:$Q$83,4,0)</f>
        <v>Wall External</v>
      </c>
      <c r="E14" s="108">
        <f>VLOOKUP(B14,'Gebouwgegevens Allacker'!$J$5:$Q$83,5,0)</f>
        <v>32.449999999999996</v>
      </c>
      <c r="F14" s="108" t="str">
        <f>VLOOKUP(B14,'Gebouwgegevens Allacker'!$J$5:$Q$83,6,0)</f>
        <v>back</v>
      </c>
      <c r="G14" s="108">
        <f>VLOOKUP(B14,'Gebouwgegevens Allacker'!$J$5:$Q$83,7,0)</f>
        <v>2.2022341505875525</v>
      </c>
      <c r="H14" s="109">
        <f>VLOOKUP(B14,'Gebouwgegevens Allacker'!$J$5:$Q$83,8,0)</f>
        <v>71.462498186566066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Allacker'!$J$5:$Q$83,3,0)</f>
        <v>1</v>
      </c>
      <c r="D15" s="108" t="str">
        <f>VLOOKUP(B15,'Gebouwgegevens Allacker'!$J$5:$Q$83,4,0)</f>
        <v>Wall External</v>
      </c>
      <c r="E15" s="108">
        <f>VLOOKUP(B15,'Gebouwgegevens Allacker'!$J$5:$Q$83,5,0)</f>
        <v>34.300000000000004</v>
      </c>
      <c r="F15" s="108" t="str">
        <f>VLOOKUP(B15,'Gebouwgegevens Allacker'!$J$5:$Q$83,6,0)</f>
        <v>left</v>
      </c>
      <c r="G15" s="108">
        <f>VLOOKUP(B15,'Gebouwgegevens Allacker'!$J$5:$Q$83,7,0)</f>
        <v>2.2022341505875525</v>
      </c>
      <c r="H15" s="109">
        <f>VLOOKUP(B15,'Gebouwgegevens Allacker'!$J$5:$Q$83,8,0)</f>
        <v>75.536631365153056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Allacker'!$J$5:$Q$83,3,0)</f>
        <v>1</v>
      </c>
      <c r="D16" s="108" t="str">
        <f>VLOOKUP(B16,'Gebouwgegevens Allacker'!$J$5:$Q$83,4,0)</f>
        <v>Window</v>
      </c>
      <c r="E16" s="108">
        <f>VLOOKUP(B16,'Gebouwgegevens Allacker'!$J$5:$Q$83,5,0)</f>
        <v>7</v>
      </c>
      <c r="F16" s="108" t="str">
        <f>VLOOKUP(B16,'Gebouwgegevens Allacker'!$J$5:$Q$83,6,0)</f>
        <v>front</v>
      </c>
      <c r="G16" s="108">
        <f>VLOOKUP(B16,'Gebouwgegevens Allacker'!$J$5:$Q$83,7,0)</f>
        <v>5</v>
      </c>
      <c r="H16" s="109">
        <f>VLOOKUP(B16,'Gebouwgegevens Allacker'!$J$5:$Q$83,8,0)</f>
        <v>35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Allacker'!$J$5:$Q$83,3,0)</f>
        <v>1</v>
      </c>
      <c r="D17" s="108" t="str">
        <f>VLOOKUP(B17,'Gebouwgegevens Allacker'!$J$5:$Q$83,4,0)</f>
        <v>Window</v>
      </c>
      <c r="E17" s="108">
        <f>VLOOKUP(B17,'Gebouwgegevens Allacker'!$J$5:$Q$83,5,0)</f>
        <v>0</v>
      </c>
      <c r="F17" s="108" t="str">
        <f>VLOOKUP(B17,'Gebouwgegevens Allacker'!$J$5:$Q$83,6,0)</f>
        <v>right</v>
      </c>
      <c r="G17" s="108">
        <f>VLOOKUP(B17,'Gebouwgegevens Allacker'!$J$5:$Q$83,7,0)</f>
        <v>5</v>
      </c>
      <c r="H17" s="109">
        <f>VLOOKUP(B17,'Gebouwgegevens Allacker'!$J$5:$Q$83,8,0)</f>
        <v>0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Allacker'!$J$5:$Q$83,3,0)</f>
        <v>1</v>
      </c>
      <c r="D18" s="108" t="str">
        <f>VLOOKUP(B18,'Gebouwgegevens Allacker'!$J$5:$Q$83,4,0)</f>
        <v>Window</v>
      </c>
      <c r="E18" s="108">
        <f>VLOOKUP(B18,'Gebouwgegevens Allacker'!$J$5:$Q$83,5,0)</f>
        <v>5</v>
      </c>
      <c r="F18" s="108" t="str">
        <f>VLOOKUP(B18,'Gebouwgegevens Allacker'!$J$5:$Q$83,6,0)</f>
        <v>back</v>
      </c>
      <c r="G18" s="108">
        <f>VLOOKUP(B18,'Gebouwgegevens Allacker'!$J$5:$Q$83,7,0)</f>
        <v>5</v>
      </c>
      <c r="H18" s="109">
        <f>VLOOKUP(B18,'Gebouwgegevens Allacker'!$J$5:$Q$83,8,0)</f>
        <v>25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Allacker'!$J$5:$Q$83,3,0)</f>
        <v>1</v>
      </c>
      <c r="D19" s="108" t="str">
        <f>VLOOKUP(B19,'Gebouwgegevens Allacker'!$J$5:$Q$83,4,0)</f>
        <v>Window</v>
      </c>
      <c r="E19" s="108">
        <f>VLOOKUP(B19,'Gebouwgegevens Allacker'!$J$5:$Q$83,5,0)</f>
        <v>0</v>
      </c>
      <c r="F19" s="108" t="str">
        <f>VLOOKUP(B19,'Gebouwgegevens Allacker'!$J$5:$Q$83,6,0)</f>
        <v>left</v>
      </c>
      <c r="G19" s="108">
        <f>VLOOKUP(B19,'Gebouwgegevens Allacker'!$J$5:$Q$83,7,0)</f>
        <v>5</v>
      </c>
      <c r="H19" s="109">
        <f>VLOOKUP(B19,'Gebouwgegevens Allacker'!$J$5:$Q$83,8,0)</f>
        <v>0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Allacker'!$J$5:$Q$83,3,0)</f>
        <v>1</v>
      </c>
      <c r="D21" s="108" t="str">
        <f>VLOOKUP(B21,'Gebouwgegevens Allacker'!$J$5:$Q$83,4,0)</f>
        <v>Roof</v>
      </c>
      <c r="E21" s="108">
        <f>VLOOKUP(B21,'Gebouwgegevens Allacker'!$J$5:$Q$83,5,0)</f>
        <v>29</v>
      </c>
      <c r="F21" s="108">
        <f>VLOOKUP(B21,'Gebouwgegevens Allacker'!$J$5:$Q$83,6,0)</f>
        <v>0</v>
      </c>
      <c r="G21" s="108">
        <f>VLOOKUP(B21,'Gebouwgegevens Allacker'!$J$5:$Q$83,7,0)</f>
        <v>1.6975498473547073</v>
      </c>
      <c r="H21" s="109">
        <f>VLOOKUP(B21,'Gebouwgegevens Allacker'!$J$5:$Q$83,8,0)</f>
        <v>49.228945573286509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/>
      <c r="W21" s="99"/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Allacker'!$J$5:$Q$83,3,0)</f>
        <v>1</v>
      </c>
      <c r="D28" s="118" t="str">
        <f>VLOOKUP(B28,'Gebouwgegevens Allacker'!$J$5:$Q$83,4,0)</f>
        <v>Floor</v>
      </c>
      <c r="E28" s="118">
        <f>VLOOKUP(B28,'Gebouwgegevens Allacker'!$J$5:$Q$83,5,0)</f>
        <v>104.86</v>
      </c>
      <c r="F28" s="118">
        <f>VLOOKUP(B28,'Gebouwgegevens Allacker'!$J$5:$Q$83,7,0)</f>
        <v>2.5990099009900991</v>
      </c>
      <c r="G28" s="119">
        <f>VLOOKUP(B28,'Gebouwgegevens Allacker'!$J$5:$Q$83,8,0)</f>
        <v>272.53217821782181</v>
      </c>
      <c r="H28" s="119">
        <f>N28/F28</f>
        <v>0.21722245983746219</v>
      </c>
      <c r="I28" s="118">
        <v>132</v>
      </c>
      <c r="J28" s="117">
        <v>42</v>
      </c>
      <c r="K28" s="117">
        <v>0.33</v>
      </c>
      <c r="L28" s="120">
        <f>I28/(0.5*J28)</f>
        <v>6.2857142857142856</v>
      </c>
      <c r="M28" s="120">
        <f>K28+2*(1/F28)</f>
        <v>1.0995238095238096</v>
      </c>
      <c r="N28" s="121">
        <f>IF(M28&lt;L28,2*2/(PI()*L28+M28)*LN(PI()*L28/M28+1),2/(0.457*L28+M28))</f>
        <v>0.56456332383498842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560.31662280767841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15688.865438614996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294" t="s">
        <v>197</v>
      </c>
      <c r="B45" s="294"/>
      <c r="C45" s="294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B48/20*741</f>
        <v>22.23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Allacker'!G35</f>
        <v>59.291999999999994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Allacker'!B5*(1-F55)</f>
        <v>40.160000000000011</v>
      </c>
      <c r="C55" s="119" t="s">
        <v>206</v>
      </c>
      <c r="D55" s="99"/>
      <c r="E55" s="99" t="s">
        <v>209</v>
      </c>
      <c r="F55" s="99">
        <f>0.84</f>
        <v>0.84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62.390000000000015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0.30064282341149379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21.212600000000005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Allacker'!E35-$B$4)</f>
        <v>615.1654000000002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294" t="s">
        <v>213</v>
      </c>
      <c r="B63" s="294"/>
      <c r="C63" s="294"/>
      <c r="D63" s="294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20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v>264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Allacker'!E35-'Verwarming Allacker'!$B$4)</f>
        <v>182.06896551724137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5280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763.59818832491976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21584.030838614995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294" t="s">
        <v>171</v>
      </c>
      <c r="B79" s="294"/>
      <c r="C79" s="294"/>
      <c r="D79" s="29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Allacker'!C108,'Gebouwgegevens Allacker'!$A$35:$F$46,5,0)</f>
        <v>#N/A</v>
      </c>
      <c r="H108" s="123" t="e">
        <f>VLOOKUP('Verwarming Allacker'!D108,'Gebouwgegevens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Allacker'!C109,'Gebouwgegevens Allacker'!$A$35:$F$46,5,0)</f>
        <v>#N/A</v>
      </c>
      <c r="H109" s="123" t="e">
        <f>VLOOKUP('Verwarming Allacker'!D109,'Gebouwgegevens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Allacker'!C110,'Gebouwgegevens Allacker'!$A$35:$F$46,5,0)</f>
        <v>#N/A</v>
      </c>
      <c r="H110" s="123" t="e">
        <f>VLOOKUP('Verwarming Allacker'!D110,'Gebouwgegevens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Allacker'!C111,'Gebouwgegevens Allacker'!$A$35:$F$46,5,0)</f>
        <v>#N/A</v>
      </c>
      <c r="H111" s="123" t="e">
        <f>VLOOKUP('Verwarming Allacker'!D111,'Gebouwgegevens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Allacker'!C112,'Gebouwgegevens Allacker'!$A$35:$F$46,5,0)</f>
        <v>#N/A</v>
      </c>
      <c r="H112" s="123" t="e">
        <f>VLOOKUP('Verwarming Allacker'!D112,'Gebouwgegevens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294" t="s">
        <v>197</v>
      </c>
      <c r="B124" s="294"/>
      <c r="C124" s="294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294" t="s">
        <v>213</v>
      </c>
      <c r="B142" s="294"/>
      <c r="C142" s="294"/>
      <c r="D142" s="294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Allacker'!$B$4)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294" t="s">
        <v>171</v>
      </c>
      <c r="B159" s="294"/>
      <c r="C159" s="294"/>
      <c r="D159" s="294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Allacker'!C188,'Gebouwgegevens Allacker'!$A$35:$F$46,5,0)</f>
        <v>#N/A</v>
      </c>
      <c r="H188" s="123" t="e">
        <f>VLOOKUP('Verwarming Allacker'!D188,'Gebouwgegevens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Allacker'!C189,'Gebouwgegevens Allacker'!$A$35:$F$46,5,0)</f>
        <v>#N/A</v>
      </c>
      <c r="H189" s="123" t="e">
        <f>VLOOKUP('Verwarming Allacker'!D189,'Gebouwgegevens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Allacker'!C190,'Gebouwgegevens Allacker'!$A$35:$F$46,5,0)</f>
        <v>#N/A</v>
      </c>
      <c r="H190" s="123" t="e">
        <f>VLOOKUP('Verwarming Allacker'!D190,'Gebouwgegevens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294" t="s">
        <v>197</v>
      </c>
      <c r="B204" s="294"/>
      <c r="C204" s="294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294" t="s">
        <v>213</v>
      </c>
      <c r="B222" s="294"/>
      <c r="C222" s="294"/>
      <c r="D222" s="294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Allacker'!$B$4)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294" t="s">
        <v>171</v>
      </c>
      <c r="B238" s="294"/>
      <c r="C238" s="294"/>
      <c r="D238" s="294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Allacker'!C267,'Gebouwgegevens Allacker'!$A$35:$F$46,5,0)</f>
        <v>#N/A</v>
      </c>
      <c r="H267" s="123" t="e">
        <f>VLOOKUP('Verwarming Allacker'!D267,'Gebouwgegevens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Allacker'!C268,'Gebouwgegevens Allacker'!$A$35:$F$46,5,0)</f>
        <v>#N/A</v>
      </c>
      <c r="H268" s="123" t="e">
        <f>VLOOKUP('Verwarming Allacker'!D268,'Gebouwgegevens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Allacker'!C269,'Gebouwgegevens Allacker'!$A$35:$F$46,5,0)</f>
        <v>#N/A</v>
      </c>
      <c r="H269" s="123" t="e">
        <f>VLOOKUP('Verwarming Allacker'!D269,'Gebouwgegevens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Allacker'!C270,'Gebouwgegevens Allacker'!$A$35:$F$46,5,0)</f>
        <v>#N/A</v>
      </c>
      <c r="H270" s="123" t="e">
        <f>VLOOKUP('Verwarming Allacker'!D270,'Gebouwgegevens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294" t="s">
        <v>197</v>
      </c>
      <c r="B283" s="294"/>
      <c r="C283" s="294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294" t="s">
        <v>213</v>
      </c>
      <c r="B301" s="294"/>
      <c r="C301" s="294"/>
      <c r="D301" s="294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Allacker'!$B$4)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294" t="s">
        <v>171</v>
      </c>
      <c r="B317" s="294"/>
      <c r="C317" s="294"/>
      <c r="D317" s="294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Allacker'!C346,'Gebouwgegevens Allacker'!$A$35:$F$46,5,0)</f>
        <v>#N/A</v>
      </c>
      <c r="H346" s="123" t="e">
        <f>VLOOKUP('Verwarming Allacker'!D346,'Gebouwgegevens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Allacker'!C347,'Gebouwgegevens Allacker'!$A$35:$F$46,5,0)</f>
        <v>#N/A</v>
      </c>
      <c r="H347" s="123" t="e">
        <f>VLOOKUP('Verwarming Allacker'!D347,'Gebouwgegevens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Allacker'!C348,'Gebouwgegevens Allacker'!$A$35:$F$46,5,0)</f>
        <v>#N/A</v>
      </c>
      <c r="H348" s="123" t="e">
        <f>VLOOKUP('Verwarming Allacker'!D348,'Gebouwgegevens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Allacker'!C349,'Gebouwgegevens Allacker'!$A$35:$F$46,5,0)</f>
        <v>#N/A</v>
      </c>
      <c r="H349" s="123" t="e">
        <f>VLOOKUP('Verwarming Allacker'!D349,'Gebouwgegevens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Allacker'!C350,'Gebouwgegevens Allacker'!$A$35:$F$46,5,0)</f>
        <v>#N/A</v>
      </c>
      <c r="H350" s="123" t="e">
        <f>VLOOKUP('Verwarming Allacker'!D350,'Gebouwgegevens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294" t="s">
        <v>197</v>
      </c>
      <c r="B362" s="294"/>
      <c r="C362" s="294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294" t="s">
        <v>213</v>
      </c>
      <c r="B380" s="294"/>
      <c r="C380" s="294"/>
      <c r="D380" s="294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Allacker'!$B$4)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294" t="s">
        <v>171</v>
      </c>
      <c r="B395" s="294"/>
      <c r="C395" s="294"/>
      <c r="D395" s="294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Allacker'!C424,'Gebouwgegevens Allacker'!$A$35:$F$46,5,0)</f>
        <v>#N/A</v>
      </c>
      <c r="H424" s="123" t="e">
        <f>VLOOKUP('Verwarming Allacker'!D424,'Gebouwgegevens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Allacker'!C425,'Gebouwgegevens Allacker'!$A$35:$F$46,5,0)</f>
        <v>#N/A</v>
      </c>
      <c r="H425" s="123" t="e">
        <f>VLOOKUP('Verwarming Allacker'!D425,'Gebouwgegevens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Allacker'!C426,'Gebouwgegevens Allacker'!$A$35:$F$46,5,0)</f>
        <v>#N/A</v>
      </c>
      <c r="H426" s="123" t="e">
        <f>VLOOKUP('Verwarming Allacker'!D426,'Gebouwgegevens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Allacker'!C427,'Gebouwgegevens Allacker'!$A$35:$F$46,5,0)</f>
        <v>#N/A</v>
      </c>
      <c r="H427" s="123" t="e">
        <f>VLOOKUP('Verwarming Allacker'!D427,'Gebouwgegevens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Allacker'!C428,'Gebouwgegevens Allacker'!$A$35:$F$46,5,0)</f>
        <v>#N/A</v>
      </c>
      <c r="H428" s="123" t="e">
        <f>VLOOKUP('Verwarming Allacker'!D428,'Gebouwgegevens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294" t="s">
        <v>197</v>
      </c>
      <c r="B440" s="294"/>
      <c r="C440" s="294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294" t="s">
        <v>213</v>
      </c>
      <c r="B458" s="294"/>
      <c r="C458" s="294"/>
      <c r="D458" s="294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Allacker'!$B$4)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294" t="s">
        <v>171</v>
      </c>
      <c r="B473" s="294"/>
      <c r="C473" s="294"/>
      <c r="D473" s="294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Allacker'!C502,'Gebouwgegevens Allacker'!$A$35:$F$46,5,0)</f>
        <v>#N/A</v>
      </c>
      <c r="H502" s="123" t="e">
        <f>VLOOKUP('Verwarming Allacker'!D502,'Gebouwgegevens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Allacker'!C503,'Gebouwgegevens Allacker'!$A$35:$F$46,5,0)</f>
        <v>#N/A</v>
      </c>
      <c r="H503" s="123" t="e">
        <f>VLOOKUP('Verwarming Allacker'!D503,'Gebouwgegevens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Allacker'!C504,'Gebouwgegevens Allacker'!$A$35:$F$46,5,0)</f>
        <v>#N/A</v>
      </c>
      <c r="H504" s="123" t="e">
        <f>VLOOKUP('Verwarming Allacker'!D504,'Gebouwgegevens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294" t="s">
        <v>197</v>
      </c>
      <c r="B518" s="294"/>
      <c r="C518" s="294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294" t="s">
        <v>213</v>
      </c>
      <c r="B536" s="294"/>
      <c r="C536" s="294"/>
      <c r="D536" s="294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Allacker'!$B$4)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294" t="s">
        <v>171</v>
      </c>
      <c r="B552" s="294"/>
      <c r="C552" s="294"/>
      <c r="D552" s="294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Allacker'!C581,'Gebouwgegevens Allacker'!$A$35:$F$46,5,0)</f>
        <v>#N/A</v>
      </c>
      <c r="H581" s="123" t="e">
        <f>VLOOKUP('Verwarming Allacker'!D581,'Gebouwgegevens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Allacker'!C582,'Gebouwgegevens Allacker'!$A$35:$F$46,5,0)</f>
        <v>#N/A</v>
      </c>
      <c r="H582" s="123" t="e">
        <f>VLOOKUP('Verwarming Allacker'!D582,'Gebouwgegevens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Allacker'!C583,'Gebouwgegevens Allacker'!$A$35:$F$46,5,0)</f>
        <v>#N/A</v>
      </c>
      <c r="H583" s="123" t="e">
        <f>VLOOKUP('Verwarming Allacker'!D583,'Gebouwgegevens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294" t="s">
        <v>197</v>
      </c>
      <c r="B597" s="294"/>
      <c r="C597" s="294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294" t="s">
        <v>213</v>
      </c>
      <c r="B615" s="294"/>
      <c r="C615" s="294"/>
      <c r="D615" s="294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Allacker'!$B$4)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294" t="s">
        <v>171</v>
      </c>
      <c r="B631" s="294"/>
      <c r="C631" s="294"/>
      <c r="D631" s="294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Allacker'!C660,'Gebouwgegevens Allacker'!$A$35:$F$46,5,0)</f>
        <v>#N/A</v>
      </c>
      <c r="H660" s="123" t="e">
        <f>VLOOKUP('Verwarming Allacker'!D660,'Gebouwgegevens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Allacker'!C661,'Gebouwgegevens Allacker'!$A$35:$F$46,5,0)</f>
        <v>#N/A</v>
      </c>
      <c r="H661" s="123" t="e">
        <f>VLOOKUP('Verwarming Allacker'!D661,'Gebouwgegevens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294" t="s">
        <v>197</v>
      </c>
      <c r="B676" s="294"/>
      <c r="C676" s="294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294" t="s">
        <v>213</v>
      </c>
      <c r="B694" s="294"/>
      <c r="C694" s="294"/>
      <c r="D694" s="294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Allacker'!$B$4)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294" t="s">
        <v>171</v>
      </c>
      <c r="B710" s="294"/>
      <c r="C710" s="294"/>
      <c r="D710" s="294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Allacker'!C739,'Gebouwgegevens Allacker'!$A$35:$F$46,5,0)</f>
        <v>#N/A</v>
      </c>
      <c r="H739" s="123" t="e">
        <f>VLOOKUP('Verwarming Allacker'!D739,'Gebouwgegevens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Allacker'!C740,'Gebouwgegevens Allacker'!$A$35:$F$46,5,0)</f>
        <v>#N/A</v>
      </c>
      <c r="H740" s="123" t="e">
        <f>VLOOKUP('Verwarming Allacker'!D740,'Gebouwgegevens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Allacker'!C741,'Gebouwgegevens Allacker'!$A$35:$F$46,5,0)</f>
        <v>#N/A</v>
      </c>
      <c r="H741" s="123" t="e">
        <f>VLOOKUP('Verwarming Allacker'!D741,'Gebouwgegevens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Allacker'!C742,'Gebouwgegevens Allacker'!$A$35:$F$46,5,0)</f>
        <v>#N/A</v>
      </c>
      <c r="H742" s="123" t="e">
        <f>VLOOKUP('Verwarming Allacker'!D742,'Gebouwgegevens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Allacker'!C743,'Gebouwgegevens Allacker'!$A$35:$F$46,5,0)</f>
        <v>#N/A</v>
      </c>
      <c r="H743" s="123" t="e">
        <f>VLOOKUP('Verwarming Allacker'!D743,'Gebouwgegevens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Allacker'!C744,'Gebouwgegevens Allacker'!$A$35:$F$46,5,0)</f>
        <v>#N/A</v>
      </c>
      <c r="H744" s="123" t="e">
        <f>VLOOKUP('Verwarming Allacker'!D744,'Gebouwgegevens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Allacker'!C745,'Gebouwgegevens Allacker'!$A$35:$F$46,5,0)</f>
        <v>#N/A</v>
      </c>
      <c r="H745" s="123" t="e">
        <f>VLOOKUP('Verwarming Allacker'!D745,'Gebouwgegevens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Allacker'!C746,'Gebouwgegevens Allacker'!$A$35:$F$46,5,0)</f>
        <v>#N/A</v>
      </c>
      <c r="H746" s="123" t="e">
        <f>VLOOKUP('Verwarming Allacker'!D746,'Gebouwgegevens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Allacker'!C747,'Gebouwgegevens Allacker'!$A$35:$F$46,5,0)</f>
        <v>#N/A</v>
      </c>
      <c r="H747" s="123" t="e">
        <f>VLOOKUP('Verwarming Allacker'!D747,'Gebouwgegevens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Allacker'!C748,'Gebouwgegevens Allacker'!$A$35:$F$46,5,0)</f>
        <v>#N/A</v>
      </c>
      <c r="H748" s="123" t="e">
        <f>VLOOKUP('Verwarming Allacker'!D748,'Gebouwgegevens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Allacker'!C749,'Gebouwgegevens Allacker'!$A$35:$F$46,5,0)</f>
        <v>#N/A</v>
      </c>
      <c r="H749" s="123" t="e">
        <f>VLOOKUP('Verwarming Allacker'!D749,'Gebouwgegevens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Allacker'!C750,'Gebouwgegevens Allacker'!$A$35:$F$46,5,0)</f>
        <v>#N/A</v>
      </c>
      <c r="H750" s="123" t="e">
        <f>VLOOKUP('Verwarming Allacker'!D750,'Gebouwgegevens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294" t="s">
        <v>197</v>
      </c>
      <c r="B755" s="294"/>
      <c r="C755" s="294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294" t="s">
        <v>213</v>
      </c>
      <c r="B773" s="294"/>
      <c r="C773" s="294"/>
      <c r="D773" s="294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Allacker'!$B$4)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238:D238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552:D552"/>
    <mergeCell ref="A597:C597"/>
    <mergeCell ref="A755:C755"/>
    <mergeCell ref="A773:D773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784"/>
  <sheetViews>
    <sheetView topLeftCell="Q1" zoomScaleNormal="100" workbookViewId="0">
      <selection activeCell="T28" sqref="T28"/>
    </sheetView>
  </sheetViews>
  <sheetFormatPr defaultRowHeight="15" x14ac:dyDescent="0.25"/>
  <cols>
    <col min="1" max="1025" width="9.140625" style="3"/>
  </cols>
  <sheetData>
    <row r="1" spans="1:25" ht="20.25" customHeight="1" x14ac:dyDescent="0.25">
      <c r="A1" s="292" t="s">
        <v>164</v>
      </c>
      <c r="B1" s="292"/>
      <c r="C1" s="292"/>
      <c r="D1" s="292"/>
      <c r="E1" s="292"/>
      <c r="F1" s="292"/>
      <c r="G1" s="292"/>
      <c r="H1" s="292"/>
      <c r="I1" s="292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289" t="s">
        <v>168</v>
      </c>
      <c r="W5" s="289"/>
      <c r="X5" s="289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294" t="s">
        <v>171</v>
      </c>
      <c r="B7" s="294"/>
      <c r="C7" s="294"/>
      <c r="D7" s="294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31244.829286695545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Tabula'!$J$5:$Q$83,3,0)</f>
        <v>1</v>
      </c>
      <c r="D12" s="108" t="str">
        <f>VLOOKUP(B12,'Gebouwgegevens Tabula'!$J$5:$Q$83,4,0)</f>
        <v>Wall External</v>
      </c>
      <c r="E12" s="108">
        <f>VLOOKUP(B12,'Gebouwgegevens Tabula'!$J$5:$Q$83,5,0)</f>
        <v>31.982500000000002</v>
      </c>
      <c r="F12" s="108" t="str">
        <f>VLOOKUP(B12,'Gebouwgegevens Tabula'!$J$5:$Q$83,6,0)</f>
        <v>front</v>
      </c>
      <c r="G12" s="108">
        <f>VLOOKUP(B12,'Gebouwgegevens Tabula'!$J$5:$Q$83,7,0)</f>
        <v>2.2022341505875525</v>
      </c>
      <c r="H12" s="109">
        <f>VLOOKUP(B12,'Gebouwgegevens Tabula'!$J$5:$Q$83,8,0)</f>
        <v>70.432953721166399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Tabula'!$J$5:$Q$83,3,0)</f>
        <v>1</v>
      </c>
      <c r="D13" s="108" t="str">
        <f>VLOOKUP(B13,'Gebouwgegevens Tabula'!$J$5:$Q$83,4,0)</f>
        <v>Wall External</v>
      </c>
      <c r="E13" s="108">
        <f>VLOOKUP(B13,'Gebouwgegevens Tabula'!$J$5:$Q$83,5,0)</f>
        <v>26.1675</v>
      </c>
      <c r="F13" s="108" t="str">
        <f>VLOOKUP(B13,'Gebouwgegevens Tabula'!$J$5:$Q$83,6,0)</f>
        <v>right</v>
      </c>
      <c r="G13" s="108">
        <f>VLOOKUP(B13,'Gebouwgegevens Tabula'!$J$5:$Q$83,7,0)</f>
        <v>2.2022341505875525</v>
      </c>
      <c r="H13" s="109">
        <f>VLOOKUP(B13,'Gebouwgegevens Tabula'!$J$5:$Q$83,8,0)</f>
        <v>57.626962135499781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Tabula'!$J$5:$Q$83,3,0)</f>
        <v>1</v>
      </c>
      <c r="D14" s="108" t="str">
        <f>VLOOKUP(B14,'Gebouwgegevens Tabula'!$J$5:$Q$83,4,0)</f>
        <v>Wall External</v>
      </c>
      <c r="E14" s="108">
        <f>VLOOKUP(B14,'Gebouwgegevens Tabula'!$J$5:$Q$83,5,0)</f>
        <v>31.982500000000002</v>
      </c>
      <c r="F14" s="108" t="str">
        <f>VLOOKUP(B14,'Gebouwgegevens Tabula'!$J$5:$Q$83,6,0)</f>
        <v>back</v>
      </c>
      <c r="G14" s="108">
        <f>VLOOKUP(B14,'Gebouwgegevens Tabula'!$J$5:$Q$83,7,0)</f>
        <v>2.2022341505875525</v>
      </c>
      <c r="H14" s="109">
        <f>VLOOKUP(B14,'Gebouwgegevens Tabula'!$J$5:$Q$83,8,0)</f>
        <v>70.432953721166399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Tabula'!$J$5:$Q$83,3,0)</f>
        <v>1</v>
      </c>
      <c r="D15" s="108" t="str">
        <f>VLOOKUP(B15,'Gebouwgegevens Tabula'!$J$5:$Q$83,4,0)</f>
        <v>Wall External</v>
      </c>
      <c r="E15" s="108">
        <f>VLOOKUP(B15,'Gebouwgegevens Tabula'!$J$5:$Q$83,5,0)</f>
        <v>26.1675</v>
      </c>
      <c r="F15" s="108" t="str">
        <f>VLOOKUP(B15,'Gebouwgegevens Tabula'!$J$5:$Q$83,6,0)</f>
        <v>left</v>
      </c>
      <c r="G15" s="108">
        <f>VLOOKUP(B15,'Gebouwgegevens Tabula'!$J$5:$Q$83,7,0)</f>
        <v>2.2022341505875525</v>
      </c>
      <c r="H15" s="109">
        <f>VLOOKUP(B15,'Gebouwgegevens Tabula'!$J$5:$Q$83,8,0)</f>
        <v>57.626962135499781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Tabula'!$J$5:$Q$83,3,0)</f>
        <v>1</v>
      </c>
      <c r="D16" s="108" t="str">
        <f>VLOOKUP(B16,'Gebouwgegevens Tabula'!$J$5:$Q$83,4,0)</f>
        <v>Window</v>
      </c>
      <c r="E16" s="108">
        <f>VLOOKUP(B16,'Gebouwgegevens Tabula'!$J$5:$Q$83,5,0)</f>
        <v>10.8</v>
      </c>
      <c r="F16" s="108" t="str">
        <f>VLOOKUP(B16,'Gebouwgegevens Tabula'!$J$5:$Q$83,6,0)</f>
        <v>front</v>
      </c>
      <c r="G16" s="108">
        <f>VLOOKUP(B16,'Gebouwgegevens Tabula'!$J$5:$Q$83,7,0)</f>
        <v>5</v>
      </c>
      <c r="H16" s="109">
        <f>VLOOKUP(B16,'Gebouwgegevens Tabula'!$J$5:$Q$83,8,0)</f>
        <v>54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Tabula'!$J$5:$Q$83,3,0)</f>
        <v>1</v>
      </c>
      <c r="D17" s="108" t="str">
        <f>VLOOKUP(B17,'Gebouwgegevens Tabula'!$J$5:$Q$83,4,0)</f>
        <v>Window</v>
      </c>
      <c r="E17" s="108">
        <f>VLOOKUP(B17,'Gebouwgegevens Tabula'!$J$5:$Q$83,5,0)</f>
        <v>9.3000000000000007</v>
      </c>
      <c r="F17" s="108" t="str">
        <f>VLOOKUP(B17,'Gebouwgegevens Tabula'!$J$5:$Q$83,6,0)</f>
        <v>right</v>
      </c>
      <c r="G17" s="108">
        <f>VLOOKUP(B17,'Gebouwgegevens Tabula'!$J$5:$Q$83,7,0)</f>
        <v>5</v>
      </c>
      <c r="H17" s="109">
        <f>VLOOKUP(B17,'Gebouwgegevens Tabula'!$J$5:$Q$83,8,0)</f>
        <v>46.5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Tabula'!$J$5:$Q$83,3,0)</f>
        <v>1</v>
      </c>
      <c r="D18" s="108" t="str">
        <f>VLOOKUP(B18,'Gebouwgegevens Tabula'!$J$5:$Q$83,4,0)</f>
        <v>Window</v>
      </c>
      <c r="E18" s="108">
        <f>VLOOKUP(B18,'Gebouwgegevens Tabula'!$J$5:$Q$83,5,0)</f>
        <v>12.2</v>
      </c>
      <c r="F18" s="108" t="str">
        <f>VLOOKUP(B18,'Gebouwgegevens Tabula'!$J$5:$Q$83,6,0)</f>
        <v>back</v>
      </c>
      <c r="G18" s="108">
        <f>VLOOKUP(B18,'Gebouwgegevens Tabula'!$J$5:$Q$83,7,0)</f>
        <v>5</v>
      </c>
      <c r="H18" s="109">
        <f>VLOOKUP(B18,'Gebouwgegevens Tabula'!$J$5:$Q$83,8,0)</f>
        <v>61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Tabula'!$J$5:$Q$83,3,0)</f>
        <v>1</v>
      </c>
      <c r="D19" s="108" t="str">
        <f>VLOOKUP(B19,'Gebouwgegevens Tabula'!$J$5:$Q$83,4,0)</f>
        <v>Window</v>
      </c>
      <c r="E19" s="108">
        <f>VLOOKUP(B19,'Gebouwgegevens Tabula'!$J$5:$Q$83,5,0)</f>
        <v>8.9</v>
      </c>
      <c r="F19" s="108" t="str">
        <f>VLOOKUP(B19,'Gebouwgegevens Tabula'!$J$5:$Q$83,6,0)</f>
        <v>left</v>
      </c>
      <c r="G19" s="108">
        <f>VLOOKUP(B19,'Gebouwgegevens Tabula'!$J$5:$Q$83,7,0)</f>
        <v>5</v>
      </c>
      <c r="H19" s="109">
        <f>VLOOKUP(B19,'Gebouwgegevens Tabula'!$J$5:$Q$83,8,0)</f>
        <v>44.5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Tabula'!$J$5:$Q$83,3,0)</f>
        <v>1</v>
      </c>
      <c r="D21" s="108" t="str">
        <f>VLOOKUP(B21,'Gebouwgegevens Tabula'!$J$5:$Q$83,4,0)</f>
        <v>Roof</v>
      </c>
      <c r="E21" s="108">
        <f>VLOOKUP(B21,'Gebouwgegevens Tabula'!$J$5:$Q$83,5,0)</f>
        <v>90</v>
      </c>
      <c r="F21" s="108">
        <f>VLOOKUP(B21,'Gebouwgegevens Tabula'!$J$5:$Q$83,6,0)</f>
        <v>0</v>
      </c>
      <c r="G21" s="108">
        <f>VLOOKUP(B21,'Gebouwgegevens Tabula'!$J$5:$Q$83,7,0)</f>
        <v>1.6975498473547073</v>
      </c>
      <c r="H21" s="109">
        <f>VLOOKUP(B21,'Gebouwgegevens Tabula'!$J$5:$Q$83,8,0)</f>
        <v>152.77948626192367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34369.312215365106</v>
      </c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Tabula'!$J$5:$Q$83,3,0)</f>
        <v>1</v>
      </c>
      <c r="D28" s="118" t="str">
        <f>VLOOKUP(B28,'Gebouwgegevens Tabula'!$J$5:$Q$83,4,0)</f>
        <v>Floor</v>
      </c>
      <c r="E28" s="118">
        <f>VLOOKUP(B28,'Gebouwgegevens Tabula'!$J$5:$Q$83,5,0)</f>
        <v>75.699999999999989</v>
      </c>
      <c r="F28" s="118">
        <f>VLOOKUP(B28,'Gebouwgegevens Tabula'!$J$5:$Q$83,7,0)</f>
        <v>2.5990099009900991</v>
      </c>
      <c r="G28" s="119">
        <f>VLOOKUP(B28,'Gebouwgegevens Tabula'!$J$5:$Q$83,8,0)</f>
        <v>196.74504950495046</v>
      </c>
      <c r="H28" s="119">
        <f>N28/F28</f>
        <v>0.3003679830376369</v>
      </c>
      <c r="I28" s="118">
        <f>'Gebouwgegevens Tabula'!N14</f>
        <v>75.699999999999989</v>
      </c>
      <c r="J28" s="117">
        <v>42</v>
      </c>
      <c r="K28" s="117">
        <v>0.33</v>
      </c>
      <c r="L28" s="120">
        <f>I28/(0.5*J28)</f>
        <v>3.6047619047619044</v>
      </c>
      <c r="M28" s="120">
        <f>K28+2*(1/F28)</f>
        <v>1.0995238095238096</v>
      </c>
      <c r="N28" s="121">
        <f>IF(M28&lt;L28,2*2/(PI()*L28+M28)*LN(PI()*L28/M28+1),2/(0.457*L28+M28))</f>
        <v>0.78065936185524443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673.99523166769802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18871.866486695544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294" t="s">
        <v>197</v>
      </c>
      <c r="B45" s="294"/>
      <c r="C45" s="294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Tabula'!B5</f>
        <v>22.98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Tabula'!G35</f>
        <v>167.39999999999998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Tabula'!B5*(1-F55)</f>
        <v>383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405.98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1.9563227031350894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138.03320000000002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4002.9628000000007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294" t="s">
        <v>213</v>
      </c>
      <c r="B63" s="294"/>
      <c r="C63" s="294"/>
      <c r="D63" s="294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30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Tabula'!B7</f>
        <v>279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Tabula'!$B$4)</f>
        <v>288.62068965517244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8370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1100.6491213228705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31244.829286695545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294" t="s">
        <v>171</v>
      </c>
      <c r="B79" s="294"/>
      <c r="C79" s="294"/>
      <c r="D79" s="29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Tabula'!C108,'Gebouwgegevens Allacker'!$A$35:$F$46,5,0)</f>
        <v>#N/A</v>
      </c>
      <c r="H108" s="123" t="e">
        <f>VLOOKUP('Verwarming Tabula'!D108,'Gebouwgegevens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Tabula'!C109,'Gebouwgegevens Allacker'!$A$35:$F$46,5,0)</f>
        <v>#N/A</v>
      </c>
      <c r="H109" s="123" t="e">
        <f>VLOOKUP('Verwarming Tabula'!D109,'Gebouwgegevens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Tabula'!C110,'Gebouwgegevens Allacker'!$A$35:$F$46,5,0)</f>
        <v>#N/A</v>
      </c>
      <c r="H110" s="123" t="e">
        <f>VLOOKUP('Verwarming Tabula'!D110,'Gebouwgegevens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Tabula'!C111,'Gebouwgegevens Allacker'!$A$35:$F$46,5,0)</f>
        <v>#N/A</v>
      </c>
      <c r="H111" s="123" t="e">
        <f>VLOOKUP('Verwarming Tabula'!D111,'Gebouwgegevens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Tabula'!C112,'Gebouwgegevens Allacker'!$A$35:$F$46,5,0)</f>
        <v>#N/A</v>
      </c>
      <c r="H112" s="123" t="e">
        <f>VLOOKUP('Verwarming Tabula'!D112,'Gebouwgegevens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294" t="s">
        <v>197</v>
      </c>
      <c r="B124" s="294"/>
      <c r="C124" s="294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294" t="s">
        <v>213</v>
      </c>
      <c r="B142" s="294"/>
      <c r="C142" s="294"/>
      <c r="D142" s="294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294" t="s">
        <v>171</v>
      </c>
      <c r="B159" s="294"/>
      <c r="C159" s="294"/>
      <c r="D159" s="294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Tabula'!C188,'Gebouwgegevens Allacker'!$A$35:$F$46,5,0)</f>
        <v>#N/A</v>
      </c>
      <c r="H188" s="123" t="e">
        <f>VLOOKUP('Verwarming Tabula'!D188,'Gebouwgegevens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Tabula'!C189,'Gebouwgegevens Allacker'!$A$35:$F$46,5,0)</f>
        <v>#N/A</v>
      </c>
      <c r="H189" s="123" t="e">
        <f>VLOOKUP('Verwarming Tabula'!D189,'Gebouwgegevens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Tabula'!C190,'Gebouwgegevens Allacker'!$A$35:$F$46,5,0)</f>
        <v>#N/A</v>
      </c>
      <c r="H190" s="123" t="e">
        <f>VLOOKUP('Verwarming Tabula'!D190,'Gebouwgegevens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294" t="s">
        <v>197</v>
      </c>
      <c r="B204" s="294"/>
      <c r="C204" s="294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294" t="s">
        <v>213</v>
      </c>
      <c r="B222" s="294"/>
      <c r="C222" s="294"/>
      <c r="D222" s="294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294" t="s">
        <v>171</v>
      </c>
      <c r="B238" s="294"/>
      <c r="C238" s="294"/>
      <c r="D238" s="294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Tabula'!C267,'Gebouwgegevens Allacker'!$A$35:$F$46,5,0)</f>
        <v>#N/A</v>
      </c>
      <c r="H267" s="123" t="e">
        <f>VLOOKUP('Verwarming Tabula'!D267,'Gebouwgegevens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Tabula'!C268,'Gebouwgegevens Allacker'!$A$35:$F$46,5,0)</f>
        <v>#N/A</v>
      </c>
      <c r="H268" s="123" t="e">
        <f>VLOOKUP('Verwarming Tabula'!D268,'Gebouwgegevens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Tabula'!C269,'Gebouwgegevens Allacker'!$A$35:$F$46,5,0)</f>
        <v>#N/A</v>
      </c>
      <c r="H269" s="123" t="e">
        <f>VLOOKUP('Verwarming Tabula'!D269,'Gebouwgegevens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Tabula'!C270,'Gebouwgegevens Allacker'!$A$35:$F$46,5,0)</f>
        <v>#N/A</v>
      </c>
      <c r="H270" s="123" t="e">
        <f>VLOOKUP('Verwarming Tabula'!D270,'Gebouwgegevens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294" t="s">
        <v>197</v>
      </c>
      <c r="B283" s="294"/>
      <c r="C283" s="294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294" t="s">
        <v>213</v>
      </c>
      <c r="B301" s="294"/>
      <c r="C301" s="294"/>
      <c r="D301" s="294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294" t="s">
        <v>171</v>
      </c>
      <c r="B317" s="294"/>
      <c r="C317" s="294"/>
      <c r="D317" s="294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Tabula'!C346,'Gebouwgegevens Allacker'!$A$35:$F$46,5,0)</f>
        <v>#N/A</v>
      </c>
      <c r="H346" s="123" t="e">
        <f>VLOOKUP('Verwarming Tabula'!D346,'Gebouwgegevens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Tabula'!C347,'Gebouwgegevens Allacker'!$A$35:$F$46,5,0)</f>
        <v>#N/A</v>
      </c>
      <c r="H347" s="123" t="e">
        <f>VLOOKUP('Verwarming Tabula'!D347,'Gebouwgegevens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Tabula'!C348,'Gebouwgegevens Allacker'!$A$35:$F$46,5,0)</f>
        <v>#N/A</v>
      </c>
      <c r="H348" s="123" t="e">
        <f>VLOOKUP('Verwarming Tabula'!D348,'Gebouwgegevens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Tabula'!C349,'Gebouwgegevens Allacker'!$A$35:$F$46,5,0)</f>
        <v>#N/A</v>
      </c>
      <c r="H349" s="123" t="e">
        <f>VLOOKUP('Verwarming Tabula'!D349,'Gebouwgegevens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Tabula'!C350,'Gebouwgegevens Allacker'!$A$35:$F$46,5,0)</f>
        <v>#N/A</v>
      </c>
      <c r="H350" s="123" t="e">
        <f>VLOOKUP('Verwarming Tabula'!D350,'Gebouwgegevens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294" t="s">
        <v>197</v>
      </c>
      <c r="B362" s="294"/>
      <c r="C362" s="294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294" t="s">
        <v>213</v>
      </c>
      <c r="B380" s="294"/>
      <c r="C380" s="294"/>
      <c r="D380" s="294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294" t="s">
        <v>171</v>
      </c>
      <c r="B395" s="294"/>
      <c r="C395" s="294"/>
      <c r="D395" s="294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Tabula'!C424,'Gebouwgegevens Allacker'!$A$35:$F$46,5,0)</f>
        <v>#N/A</v>
      </c>
      <c r="H424" s="123" t="e">
        <f>VLOOKUP('Verwarming Tabula'!D424,'Gebouwgegevens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Tabula'!C425,'Gebouwgegevens Allacker'!$A$35:$F$46,5,0)</f>
        <v>#N/A</v>
      </c>
      <c r="H425" s="123" t="e">
        <f>VLOOKUP('Verwarming Tabula'!D425,'Gebouwgegevens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Tabula'!C426,'Gebouwgegevens Allacker'!$A$35:$F$46,5,0)</f>
        <v>#N/A</v>
      </c>
      <c r="H426" s="123" t="e">
        <f>VLOOKUP('Verwarming Tabula'!D426,'Gebouwgegevens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Tabula'!C427,'Gebouwgegevens Allacker'!$A$35:$F$46,5,0)</f>
        <v>#N/A</v>
      </c>
      <c r="H427" s="123" t="e">
        <f>VLOOKUP('Verwarming Tabula'!D427,'Gebouwgegevens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Tabula'!C428,'Gebouwgegevens Allacker'!$A$35:$F$46,5,0)</f>
        <v>#N/A</v>
      </c>
      <c r="H428" s="123" t="e">
        <f>VLOOKUP('Verwarming Tabula'!D428,'Gebouwgegevens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294" t="s">
        <v>197</v>
      </c>
      <c r="B440" s="294"/>
      <c r="C440" s="294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294" t="s">
        <v>213</v>
      </c>
      <c r="B458" s="294"/>
      <c r="C458" s="294"/>
      <c r="D458" s="294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294" t="s">
        <v>171</v>
      </c>
      <c r="B473" s="294"/>
      <c r="C473" s="294"/>
      <c r="D473" s="294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Tabula'!C502,'Gebouwgegevens Allacker'!$A$35:$F$46,5,0)</f>
        <v>#N/A</v>
      </c>
      <c r="H502" s="123" t="e">
        <f>VLOOKUP('Verwarming Tabula'!D502,'Gebouwgegevens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Tabula'!C503,'Gebouwgegevens Allacker'!$A$35:$F$46,5,0)</f>
        <v>#N/A</v>
      </c>
      <c r="H503" s="123" t="e">
        <f>VLOOKUP('Verwarming Tabula'!D503,'Gebouwgegevens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Tabula'!C504,'Gebouwgegevens Allacker'!$A$35:$F$46,5,0)</f>
        <v>#N/A</v>
      </c>
      <c r="H504" s="123" t="e">
        <f>VLOOKUP('Verwarming Tabula'!D504,'Gebouwgegevens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294" t="s">
        <v>197</v>
      </c>
      <c r="B518" s="294"/>
      <c r="C518" s="294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294" t="s">
        <v>213</v>
      </c>
      <c r="B536" s="294"/>
      <c r="C536" s="294"/>
      <c r="D536" s="294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294" t="s">
        <v>171</v>
      </c>
      <c r="B552" s="294"/>
      <c r="C552" s="294"/>
      <c r="D552" s="294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Tabula'!C581,'Gebouwgegevens Allacker'!$A$35:$F$46,5,0)</f>
        <v>#N/A</v>
      </c>
      <c r="H581" s="123" t="e">
        <f>VLOOKUP('Verwarming Tabula'!D581,'Gebouwgegevens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Tabula'!C582,'Gebouwgegevens Allacker'!$A$35:$F$46,5,0)</f>
        <v>#N/A</v>
      </c>
      <c r="H582" s="123" t="e">
        <f>VLOOKUP('Verwarming Tabula'!D582,'Gebouwgegevens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Tabula'!C583,'Gebouwgegevens Allacker'!$A$35:$F$46,5,0)</f>
        <v>#N/A</v>
      </c>
      <c r="H583" s="123" t="e">
        <f>VLOOKUP('Verwarming Tabula'!D583,'Gebouwgegevens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294" t="s">
        <v>197</v>
      </c>
      <c r="B597" s="294"/>
      <c r="C597" s="294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294" t="s">
        <v>213</v>
      </c>
      <c r="B615" s="294"/>
      <c r="C615" s="294"/>
      <c r="D615" s="294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294" t="s">
        <v>171</v>
      </c>
      <c r="B631" s="294"/>
      <c r="C631" s="294"/>
      <c r="D631" s="294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Tabula'!C660,'Gebouwgegevens Allacker'!$A$35:$F$46,5,0)</f>
        <v>#N/A</v>
      </c>
      <c r="H660" s="123" t="e">
        <f>VLOOKUP('Verwarming Tabula'!D660,'Gebouwgegevens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Tabula'!C661,'Gebouwgegevens Allacker'!$A$35:$F$46,5,0)</f>
        <v>#N/A</v>
      </c>
      <c r="H661" s="123" t="e">
        <f>VLOOKUP('Verwarming Tabula'!D661,'Gebouwgegevens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294" t="s">
        <v>197</v>
      </c>
      <c r="B676" s="294"/>
      <c r="C676" s="294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294" t="s">
        <v>213</v>
      </c>
      <c r="B694" s="294"/>
      <c r="C694" s="294"/>
      <c r="D694" s="294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294" t="s">
        <v>171</v>
      </c>
      <c r="B710" s="294"/>
      <c r="C710" s="294"/>
      <c r="D710" s="294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Tabula'!C739,'Gebouwgegevens Allacker'!$A$35:$F$46,5,0)</f>
        <v>#N/A</v>
      </c>
      <c r="H739" s="123" t="e">
        <f>VLOOKUP('Verwarming Tabula'!D739,'Gebouwgegevens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Tabula'!C740,'Gebouwgegevens Allacker'!$A$35:$F$46,5,0)</f>
        <v>#N/A</v>
      </c>
      <c r="H740" s="123" t="e">
        <f>VLOOKUP('Verwarming Tabula'!D740,'Gebouwgegevens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Tabula'!C741,'Gebouwgegevens Allacker'!$A$35:$F$46,5,0)</f>
        <v>#N/A</v>
      </c>
      <c r="H741" s="123" t="e">
        <f>VLOOKUP('Verwarming Tabula'!D741,'Gebouwgegevens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Tabula'!C742,'Gebouwgegevens Allacker'!$A$35:$F$46,5,0)</f>
        <v>#N/A</v>
      </c>
      <c r="H742" s="123" t="e">
        <f>VLOOKUP('Verwarming Tabula'!D742,'Gebouwgegevens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Tabula'!C743,'Gebouwgegevens Allacker'!$A$35:$F$46,5,0)</f>
        <v>#N/A</v>
      </c>
      <c r="H743" s="123" t="e">
        <f>VLOOKUP('Verwarming Tabula'!D743,'Gebouwgegevens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Tabula'!C744,'Gebouwgegevens Allacker'!$A$35:$F$46,5,0)</f>
        <v>#N/A</v>
      </c>
      <c r="H744" s="123" t="e">
        <f>VLOOKUP('Verwarming Tabula'!D744,'Gebouwgegevens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Tabula'!C745,'Gebouwgegevens Allacker'!$A$35:$F$46,5,0)</f>
        <v>#N/A</v>
      </c>
      <c r="H745" s="123" t="e">
        <f>VLOOKUP('Verwarming Tabula'!D745,'Gebouwgegevens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Tabula'!C746,'Gebouwgegevens Allacker'!$A$35:$F$46,5,0)</f>
        <v>#N/A</v>
      </c>
      <c r="H746" s="123" t="e">
        <f>VLOOKUP('Verwarming Tabula'!D746,'Gebouwgegevens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Tabula'!C747,'Gebouwgegevens Allacker'!$A$35:$F$46,5,0)</f>
        <v>#N/A</v>
      </c>
      <c r="H747" s="123" t="e">
        <f>VLOOKUP('Verwarming Tabula'!D747,'Gebouwgegevens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Tabula'!C748,'Gebouwgegevens Allacker'!$A$35:$F$46,5,0)</f>
        <v>#N/A</v>
      </c>
      <c r="H748" s="123" t="e">
        <f>VLOOKUP('Verwarming Tabula'!D748,'Gebouwgegevens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Tabula'!C749,'Gebouwgegevens Allacker'!$A$35:$F$46,5,0)</f>
        <v>#N/A</v>
      </c>
      <c r="H749" s="123" t="e">
        <f>VLOOKUP('Verwarming Tabula'!D749,'Gebouwgegevens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Tabula'!C750,'Gebouwgegevens Allacker'!$A$35:$F$46,5,0)</f>
        <v>#N/A</v>
      </c>
      <c r="H750" s="123" t="e">
        <f>VLOOKUP('Verwarming Tabula'!D750,'Gebouwgegevens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294" t="s">
        <v>197</v>
      </c>
      <c r="B755" s="294"/>
      <c r="C755" s="294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294" t="s">
        <v>213</v>
      </c>
      <c r="B773" s="294"/>
      <c r="C773" s="294"/>
      <c r="D773" s="294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238:D238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552:D552"/>
    <mergeCell ref="A597:C597"/>
    <mergeCell ref="A755:C755"/>
    <mergeCell ref="A773:D773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H122"/>
  <sheetViews>
    <sheetView zoomScale="90" zoomScaleNormal="90" workbookViewId="0"/>
  </sheetViews>
  <sheetFormatPr defaultRowHeight="16.5" thickTop="1" thickBottom="1" x14ac:dyDescent="0.3"/>
  <cols>
    <col min="1" max="1" width="9.140625" style="81"/>
    <col min="2" max="2" width="20.5703125"/>
    <col min="3" max="3" width="12.28515625"/>
    <col min="5" max="5" width="22.140625"/>
    <col min="7" max="7" width="7.140625"/>
    <col min="8" max="8" width="6"/>
    <col min="9" max="9" width="7.7109375"/>
    <col min="10" max="10" width="9.140625" style="1"/>
    <col min="12" max="12" width="10.42578125" style="2"/>
    <col min="13" max="13" width="8" style="2"/>
    <col min="14" max="14" width="16.85546875" style="2"/>
    <col min="15" max="15" width="12.5703125"/>
    <col min="16" max="16" width="11.28515625"/>
    <col min="17" max="18" width="9.28515625" style="3"/>
    <col min="19" max="19" width="15.140625"/>
    <col min="20" max="20" width="11.7109375"/>
    <col min="21" max="21" width="12.140625"/>
    <col min="22" max="22" width="3.140625" style="1"/>
    <col min="23" max="34" width="9.140625" style="172" customWidth="1"/>
    <col min="35" max="35" width="9.140625" customWidth="1"/>
    <col min="36" max="37" width="9.140625" style="157" customWidth="1"/>
    <col min="38" max="38" width="9.140625" style="158" customWidth="1"/>
    <col min="39" max="39" width="10.28515625" style="158" customWidth="1"/>
    <col min="40" max="41" width="9.140625" style="81" customWidth="1"/>
    <col min="42" max="43" width="12.7109375" style="81" customWidth="1"/>
    <col min="44" max="47" width="9.140625" style="81" customWidth="1"/>
    <col min="48" max="51" width="9.140625" style="160" customWidth="1"/>
    <col min="52" max="52" width="14.7109375" style="161" customWidth="1"/>
    <col min="53" max="53" width="9.140625" style="160" customWidth="1"/>
    <col min="54" max="54" width="9.140625" style="170" customWidth="1"/>
    <col min="55" max="67" width="9.140625" customWidth="1"/>
    <col min="68" max="68" width="15.42578125" customWidth="1"/>
    <col min="69" max="69" width="9.140625" customWidth="1"/>
    <col min="70" max="70" width="9.140625" style="170" customWidth="1"/>
    <col min="71" max="82" width="9.140625" customWidth="1"/>
    <col min="83" max="83" width="15" customWidth="1"/>
    <col min="84" max="85" width="9.140625" customWidth="1"/>
    <col min="86" max="86" width="9.140625" style="238" customWidth="1"/>
    <col min="87" max="87" width="9.140625" customWidth="1"/>
    <col min="88" max="90" width="9.140625" style="81" customWidth="1"/>
    <col min="91" max="92" width="9.140625" customWidth="1"/>
    <col min="93" max="99" width="9.140625" style="243" customWidth="1"/>
    <col min="100" max="100" width="9.140625" customWidth="1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8" max="112" width="9.140625" style="169"/>
  </cols>
  <sheetData>
    <row r="1" spans="2:112" ht="20.25" customHeight="1" thickTop="1" thickBot="1" x14ac:dyDescent="0.35">
      <c r="B1" s="292" t="s">
        <v>307</v>
      </c>
      <c r="C1" s="292"/>
      <c r="D1" s="292"/>
      <c r="E1" s="292"/>
      <c r="F1" s="292"/>
      <c r="G1" s="292"/>
      <c r="H1" s="292"/>
      <c r="AO1" s="159" t="s">
        <v>309</v>
      </c>
      <c r="BS1" t="s">
        <v>427</v>
      </c>
    </row>
    <row r="2" spans="2:112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</row>
    <row r="3" spans="2:112" thickTop="1" thickBot="1" x14ac:dyDescent="0.3">
      <c r="B3" s="296" t="s">
        <v>1</v>
      </c>
      <c r="C3" s="297"/>
      <c r="D3" s="297"/>
      <c r="E3" s="297"/>
      <c r="F3" s="297"/>
      <c r="G3" s="297"/>
      <c r="H3" s="297"/>
      <c r="I3" s="298"/>
      <c r="K3" s="289" t="s">
        <v>2</v>
      </c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4"/>
      <c r="W3" s="295" t="s">
        <v>3</v>
      </c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F3" s="81"/>
      <c r="BG3" s="81"/>
      <c r="BH3" s="81"/>
      <c r="BI3" s="81"/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BV3" s="81"/>
      <c r="BW3" s="81"/>
      <c r="BX3" s="81"/>
      <c r="BY3" s="81"/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0.22</v>
      </c>
      <c r="CF3" s="167" t="s">
        <v>317</v>
      </c>
      <c r="CI3" s="81" t="s">
        <v>316</v>
      </c>
      <c r="CJ3" s="239">
        <f>AZ4</f>
        <v>9.673910950452673E-2</v>
      </c>
      <c r="CK3" s="239">
        <f>BP4</f>
        <v>0.18</v>
      </c>
      <c r="CL3" s="239">
        <f>CE3</f>
        <v>0.22</v>
      </c>
      <c r="CO3" s="243" t="s">
        <v>513</v>
      </c>
      <c r="CP3" s="243" t="s">
        <v>374</v>
      </c>
      <c r="CQ3" s="243" t="s">
        <v>441</v>
      </c>
      <c r="CV3" s="81"/>
      <c r="CW3" s="245" t="s">
        <v>459</v>
      </c>
      <c r="DD3" s="245" t="s">
        <v>514</v>
      </c>
    </row>
    <row r="4" spans="2:112" ht="15.75" customHeight="1" thickTop="1" thickBot="1" x14ac:dyDescent="0.3">
      <c r="B4" s="234" t="s">
        <v>6</v>
      </c>
      <c r="C4" s="235">
        <f>'Tabula data'!B5</f>
        <v>621.29999999999995</v>
      </c>
      <c r="D4" s="235" t="s">
        <v>7</v>
      </c>
      <c r="E4" s="234" t="s">
        <v>8</v>
      </c>
      <c r="F4" s="235"/>
      <c r="G4" s="235"/>
      <c r="H4" s="236">
        <f>SUM(I6:I13)</f>
        <v>31.5</v>
      </c>
      <c r="I4" s="237" t="s">
        <v>9</v>
      </c>
      <c r="L4" s="299" t="s">
        <v>432</v>
      </c>
      <c r="M4" s="300"/>
      <c r="N4" s="300"/>
      <c r="O4" s="300"/>
      <c r="P4" s="301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SUM(O6:O9)/(SUM($O$6:$O$14,$O$26,O30)+2*SUM($O$27))</f>
        <v>9.673910950452673E-2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9.673910950452673E-2</v>
      </c>
      <c r="BA4" s="167" t="s">
        <v>317</v>
      </c>
      <c r="BC4" s="81" t="s">
        <v>373</v>
      </c>
      <c r="BD4" s="81" t="s">
        <v>376</v>
      </c>
      <c r="BE4" s="81"/>
      <c r="BF4" s="81"/>
      <c r="BG4" s="81"/>
      <c r="BH4" s="81"/>
      <c r="BI4" s="81"/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BU4" s="81"/>
      <c r="BV4" s="81"/>
      <c r="BW4" s="81"/>
      <c r="BX4" s="81"/>
      <c r="BY4" s="81"/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0.45400000000000001</v>
      </c>
      <c r="CF4" s="167" t="s">
        <v>317</v>
      </c>
      <c r="CI4" s="81" t="s">
        <v>319</v>
      </c>
      <c r="CJ4" s="239">
        <f t="shared" ref="CJ4:CJ49" si="1">AZ5</f>
        <v>0.48835547545639596</v>
      </c>
      <c r="CK4" s="239">
        <f t="shared" ref="CK4:CK49" si="2">BP5</f>
        <v>0.33600000000000002</v>
      </c>
      <c r="CL4" s="239">
        <f t="shared" ref="CL4:CL49" si="3">CE4</f>
        <v>0.45400000000000001</v>
      </c>
      <c r="CO4" s="243" t="s">
        <v>373</v>
      </c>
      <c r="CP4" s="243" t="s">
        <v>376</v>
      </c>
      <c r="CV4" s="81"/>
    </row>
    <row r="5" spans="2:112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1/(1/10+SUM(AD7:AD10)+1/23)</f>
        <v>1.714339326947635</v>
      </c>
      <c r="AB5" s="217" t="s">
        <v>5</v>
      </c>
      <c r="AC5" s="217"/>
      <c r="AD5" s="217" t="s">
        <v>22</v>
      </c>
      <c r="AE5" s="220">
        <f>SUM(AE7:AE10)</f>
        <v>77930</v>
      </c>
      <c r="AF5" s="222" t="s">
        <v>23</v>
      </c>
      <c r="AG5" s="222">
        <f>SUM(AE9:AE10)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(2*O27+O30)/(SUM($O$6:$O$14,$O$26,O30)+2*SUM($O$27))</f>
        <v>0.48835547545639596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0.48835547545639596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5.8500000000000003E-2</v>
      </c>
      <c r="CF5" s="167" t="s">
        <v>317</v>
      </c>
      <c r="CI5" s="81" t="s">
        <v>320</v>
      </c>
      <c r="CJ5" s="239">
        <f t="shared" si="1"/>
        <v>3.9095185682712946E-2</v>
      </c>
      <c r="CK5" s="239">
        <f t="shared" si="2"/>
        <v>0.33700000000000002</v>
      </c>
      <c r="CL5" s="239">
        <f t="shared" si="3"/>
        <v>5.8500000000000003E-2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V5" s="81"/>
      <c r="CW5" s="245" t="s">
        <v>460</v>
      </c>
      <c r="CX5" s="246" t="s">
        <v>461</v>
      </c>
      <c r="CY5" s="246" t="s">
        <v>318</v>
      </c>
      <c r="CZ5" s="247">
        <f>CQ11</f>
        <v>0.16200000000000001</v>
      </c>
      <c r="DA5" s="245" t="s">
        <v>317</v>
      </c>
      <c r="DD5" s="169" t="s">
        <v>460</v>
      </c>
      <c r="DE5" s="274" t="s">
        <v>461</v>
      </c>
      <c r="DF5" s="274" t="s">
        <v>318</v>
      </c>
      <c r="DG5" s="169">
        <f>O$11*$Z$37*$AP$4</f>
        <v>0.33244394981230613</v>
      </c>
      <c r="DH5" s="169" t="s">
        <v>317</v>
      </c>
    </row>
    <row r="6" spans="2:112" ht="15" customHeight="1" thickTop="1" thickBot="1" x14ac:dyDescent="0.3">
      <c r="B6" s="193" t="s">
        <v>34</v>
      </c>
      <c r="C6" s="195">
        <f>'Tabula data'!B4</f>
        <v>225.9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0.13333333333333333</v>
      </c>
      <c r="H6" s="176"/>
      <c r="I6" s="180">
        <f>'Tabula data'!B21*'Gebouwgegevens Tabula 2zone'!D45</f>
        <v>4.2</v>
      </c>
      <c r="K6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19.486299247454621</v>
      </c>
      <c r="P6" s="207" t="s">
        <v>26</v>
      </c>
      <c r="Q6" s="30">
        <f t="shared" ref="Q6:Q27" si="7">VLOOKUP(N6,$X$5:$AA$392,4,0)</f>
        <v>2.2022341505875525</v>
      </c>
      <c r="R6" s="30">
        <f t="shared" ref="R6:R27" si="8">Q6*O6</f>
        <v>42.913393671313088</v>
      </c>
      <c r="S6" s="30">
        <f t="shared" ref="S6:S14" si="9">VLOOKUP(N6,$X$5:$AE$392,8,0)*O6</f>
        <v>8766496.305444885</v>
      </c>
      <c r="T6" s="30">
        <f t="shared" ref="T6:T14" si="10">S6/O6</f>
        <v>449880</v>
      </c>
      <c r="U6" s="30">
        <f t="shared" ref="U6:U14" si="11">VLOOKUP(N6,$X$5:$AG$391,10,0)*O6</f>
        <v>7889612.839309427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SUM(O10:O13)/(SUM($O$6:$O$14,$O$26,O30)+2*SUM($O$27))</f>
        <v>3.9095185682712946E-2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3.9095185682712946E-2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290</v>
      </c>
      <c r="BV6" s="166">
        <v>0.105</v>
      </c>
      <c r="BW6" s="81">
        <v>2755.29</v>
      </c>
      <c r="BX6" s="81" t="s">
        <v>384</v>
      </c>
      <c r="BY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0.152</v>
      </c>
      <c r="CF6" s="167" t="s">
        <v>317</v>
      </c>
      <c r="CI6" s="81" t="s">
        <v>321</v>
      </c>
      <c r="CJ6" s="239">
        <f t="shared" si="1"/>
        <v>0.18790511467818219</v>
      </c>
      <c r="CK6" s="239">
        <f t="shared" si="2"/>
        <v>0.10299999999999999</v>
      </c>
      <c r="CL6" s="239">
        <f t="shared" si="3"/>
        <v>0.152</v>
      </c>
      <c r="CO6" s="243" t="s">
        <v>373</v>
      </c>
      <c r="CP6" s="243" t="s">
        <v>383</v>
      </c>
      <c r="CQ6" s="244">
        <v>291</v>
      </c>
      <c r="CR6" s="244">
        <v>8.2299999999999998E-2</v>
      </c>
      <c r="CS6" s="243">
        <v>3542.94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0.64</v>
      </c>
      <c r="DA6" s="245" t="s">
        <v>317</v>
      </c>
      <c r="DD6" s="169" t="s">
        <v>460</v>
      </c>
      <c r="DE6" s="274" t="s">
        <v>462</v>
      </c>
      <c r="DF6" s="274" t="s">
        <v>318</v>
      </c>
      <c r="DG6" s="169">
        <f>O$10*$Z$37*$AP$4</f>
        <v>0.35348470612954064</v>
      </c>
      <c r="DH6" s="169" t="s">
        <v>317</v>
      </c>
    </row>
    <row r="7" spans="2:112" ht="15" customHeight="1" thickTop="1" thickBot="1" x14ac:dyDescent="0.3">
      <c r="B7" s="178" t="s">
        <v>42</v>
      </c>
      <c r="C7" s="183">
        <f>'Tabula data'!B14</f>
        <v>75.699999999999989</v>
      </c>
      <c r="D7" s="189" t="s">
        <v>9</v>
      </c>
      <c r="E7" s="178" t="s">
        <v>43</v>
      </c>
      <c r="F7" s="176" t="s">
        <v>36</v>
      </c>
      <c r="G7" s="179">
        <f t="shared" si="6"/>
        <v>0.1253968253968254</v>
      </c>
      <c r="H7" s="176"/>
      <c r="I7" s="180">
        <f>'Tabula data'!B22*'Gebouwgegevens Tabula 2zone'!D45</f>
        <v>3.95</v>
      </c>
      <c r="K7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0</v>
      </c>
      <c r="P7" s="211" t="s">
        <v>39</v>
      </c>
      <c r="Q7" s="30">
        <f t="shared" si="7"/>
        <v>2.2022341505875525</v>
      </c>
      <c r="R7" s="30">
        <f t="shared" si="8"/>
        <v>0</v>
      </c>
      <c r="S7" s="30">
        <f t="shared" si="9"/>
        <v>0</v>
      </c>
      <c r="T7" s="30" t="e">
        <f t="shared" si="10"/>
        <v>#DIV/0!</v>
      </c>
      <c r="U7" s="30">
        <f t="shared" si="11"/>
        <v>0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SUM(O14)/(SUM($O$6:$O$14,$O$26,O30)+2*SUM($O$27))</f>
        <v>0.18790511467818219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0.18790511467818219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286</v>
      </c>
      <c r="BV7" s="166">
        <v>5.2200000000000003E-2</v>
      </c>
      <c r="BW7" s="81">
        <v>5486.87</v>
      </c>
      <c r="BX7" s="81" t="s">
        <v>384</v>
      </c>
      <c r="BY7" s="81" t="s">
        <v>385</v>
      </c>
      <c r="CA7" s="167"/>
      <c r="CB7" s="167"/>
      <c r="CC7" s="167"/>
      <c r="CD7" s="168"/>
      <c r="CE7" s="161"/>
      <c r="CF7" s="167"/>
      <c r="CI7" s="81"/>
      <c r="CJ7" s="240"/>
      <c r="CK7" s="240"/>
      <c r="CL7" s="240"/>
      <c r="CO7" s="243" t="s">
        <v>373</v>
      </c>
      <c r="CP7" s="243" t="s">
        <v>386</v>
      </c>
      <c r="CQ7" s="244">
        <v>288</v>
      </c>
      <c r="CR7" s="244">
        <v>5.5100000000000003E-2</v>
      </c>
      <c r="CS7" s="243">
        <v>5226.0600000000004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47">
        <f t="shared" si="12"/>
        <v>0.29199999999999998</v>
      </c>
      <c r="DA7" s="245" t="s">
        <v>317</v>
      </c>
      <c r="DD7" s="169" t="s">
        <v>460</v>
      </c>
      <c r="DE7" s="275" t="s">
        <v>463</v>
      </c>
      <c r="DF7" s="274" t="s">
        <v>318</v>
      </c>
      <c r="DG7" s="169">
        <f>O$12*$Z$37*$AP$4</f>
        <v>0.34086025233919992</v>
      </c>
      <c r="DH7" s="169" t="s">
        <v>317</v>
      </c>
    </row>
    <row r="8" spans="2:112" ht="15" customHeight="1" thickTop="1" thickBot="1" x14ac:dyDescent="0.3">
      <c r="B8" s="178" t="s">
        <v>47</v>
      </c>
      <c r="C8" s="183">
        <f>C6-C7</f>
        <v>150.20000000000002</v>
      </c>
      <c r="D8" s="176" t="s">
        <v>9</v>
      </c>
      <c r="E8" s="178" t="s">
        <v>48</v>
      </c>
      <c r="F8" s="176" t="s">
        <v>36</v>
      </c>
      <c r="G8" s="179">
        <f t="shared" si="6"/>
        <v>0.12857142857142856</v>
      </c>
      <c r="H8" s="176"/>
      <c r="I8" s="180">
        <f>'Tabula data'!B23*D45</f>
        <v>4.05</v>
      </c>
      <c r="K8" t="s">
        <v>44</v>
      </c>
      <c r="L8" s="208">
        <v>0</v>
      </c>
      <c r="M8" s="209">
        <v>1</v>
      </c>
      <c r="N8" s="209" t="s">
        <v>25</v>
      </c>
      <c r="O8" s="210">
        <f>O6</f>
        <v>19.486299247454621</v>
      </c>
      <c r="P8" s="211" t="s">
        <v>45</v>
      </c>
      <c r="Q8" s="30">
        <f t="shared" si="7"/>
        <v>2.2022341505875525</v>
      </c>
      <c r="R8" s="30">
        <f t="shared" si="8"/>
        <v>42.913393671313088</v>
      </c>
      <c r="S8" s="30">
        <f t="shared" si="9"/>
        <v>8766496.305444885</v>
      </c>
      <c r="T8" s="30">
        <f t="shared" si="10"/>
        <v>449880</v>
      </c>
      <c r="U8" s="30">
        <f t="shared" si="11"/>
        <v>7889612.839309427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295</v>
      </c>
      <c r="BV8" s="166">
        <v>8.5800000000000001E-2</v>
      </c>
      <c r="BW8" s="81">
        <v>3431.93</v>
      </c>
      <c r="BX8" s="81" t="s">
        <v>384</v>
      </c>
      <c r="BY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161">
        <f>BU19</f>
        <v>2910000</v>
      </c>
      <c r="CF8" s="167" t="s">
        <v>317</v>
      </c>
      <c r="CI8" s="81" t="s">
        <v>322</v>
      </c>
      <c r="CJ8" s="241">
        <f t="shared" si="1"/>
        <v>1095632.3788579016</v>
      </c>
      <c r="CK8" s="241">
        <f t="shared" si="2"/>
        <v>2900000</v>
      </c>
      <c r="CL8" s="241">
        <f t="shared" si="3"/>
        <v>2910000</v>
      </c>
      <c r="CO8" s="243" t="s">
        <v>373</v>
      </c>
      <c r="CP8" s="243" t="s">
        <v>387</v>
      </c>
      <c r="CQ8" s="244">
        <v>296</v>
      </c>
      <c r="CR8" s="244">
        <v>6.1499999999999999E-2</v>
      </c>
      <c r="CS8" s="243">
        <v>4813.58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47">
        <f t="shared" si="12"/>
        <v>0.17299999999999999</v>
      </c>
      <c r="DA8" s="245" t="s">
        <v>317</v>
      </c>
      <c r="DD8" s="169" t="s">
        <v>460</v>
      </c>
      <c r="DE8" s="276" t="s">
        <v>464</v>
      </c>
      <c r="DF8" s="274" t="s">
        <v>318</v>
      </c>
      <c r="DG8" s="169">
        <f>O$13*$Z$37*$AP$4</f>
        <v>0.29877873970473079</v>
      </c>
      <c r="DH8" s="169" t="s">
        <v>317</v>
      </c>
    </row>
    <row r="9" spans="2:112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0.11269841269841269</v>
      </c>
      <c r="H9" s="176"/>
      <c r="I9" s="180">
        <f>'Tabula data'!B24*'Gebouwgegevens Tabula 2zone'!D45</f>
        <v>3.55</v>
      </c>
      <c r="K9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0</v>
      </c>
      <c r="P9" s="211" t="s">
        <v>50</v>
      </c>
      <c r="Q9" s="30">
        <f t="shared" si="7"/>
        <v>2.2022341505875525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223"/>
      <c r="X9" s="175"/>
      <c r="Y9" s="184" t="s">
        <v>55</v>
      </c>
      <c r="Z9" s="176">
        <v>2.5000000000000001E-2</v>
      </c>
      <c r="AA9" s="176">
        <v>0.11</v>
      </c>
      <c r="AB9" s="176">
        <v>550</v>
      </c>
      <c r="AC9" s="176">
        <v>1880</v>
      </c>
      <c r="AD9" s="227">
        <f>Z9/AA9</f>
        <v>0.22727272727272729</v>
      </c>
      <c r="AE9" s="177">
        <f>Z9*AB9*AC9</f>
        <v>25850</v>
      </c>
      <c r="AF9" s="228" t="s">
        <v>270</v>
      </c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1095632.3788579016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1095632.3788579016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288</v>
      </c>
      <c r="BV9" s="166">
        <v>0.16300000000000001</v>
      </c>
      <c r="BW9" s="81">
        <v>1771.76</v>
      </c>
      <c r="BX9" s="81" t="s">
        <v>384</v>
      </c>
      <c r="BY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161">
        <f t="shared" ref="CE9:CE10" si="13">BU20</f>
        <v>95200000</v>
      </c>
      <c r="CF9" s="167" t="s">
        <v>317</v>
      </c>
      <c r="CI9" s="81" t="s">
        <v>323</v>
      </c>
      <c r="CJ9" s="241">
        <f t="shared" si="1"/>
        <v>15779225.678618854</v>
      </c>
      <c r="CK9" s="241">
        <f t="shared" si="2"/>
        <v>50500000</v>
      </c>
      <c r="CL9" s="241">
        <f t="shared" si="3"/>
        <v>95200000</v>
      </c>
      <c r="CO9" s="243" t="s">
        <v>373</v>
      </c>
      <c r="CP9" s="243" t="s">
        <v>388</v>
      </c>
      <c r="CQ9" s="244">
        <v>291</v>
      </c>
      <c r="CR9" s="244">
        <v>0.12</v>
      </c>
      <c r="CS9" s="243">
        <v>2414.15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47">
        <f t="shared" si="12"/>
        <v>1.02</v>
      </c>
      <c r="DA9" s="245" t="s">
        <v>317</v>
      </c>
      <c r="DD9" s="169" t="s">
        <v>460</v>
      </c>
      <c r="DE9" s="276" t="s">
        <v>465</v>
      </c>
      <c r="DF9" s="274" t="s">
        <v>318</v>
      </c>
      <c r="DG9" s="169">
        <f>O$11*$Z$37*$AP$5</f>
        <v>1.6782335914059048</v>
      </c>
      <c r="DH9" s="169" t="s">
        <v>317</v>
      </c>
    </row>
    <row r="10" spans="2:112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0.13333333333333333</v>
      </c>
      <c r="H10" s="176"/>
      <c r="I10" s="185">
        <f>'Tabula data'!B21*(1-D45)</f>
        <v>4.2</v>
      </c>
      <c r="K10" t="s">
        <v>53</v>
      </c>
      <c r="L10" s="208">
        <v>0</v>
      </c>
      <c r="M10" s="209">
        <v>1</v>
      </c>
      <c r="N10" s="209" t="s">
        <v>54</v>
      </c>
      <c r="O10" s="210">
        <f>I6</f>
        <v>4.2</v>
      </c>
      <c r="P10" s="211" t="s">
        <v>26</v>
      </c>
      <c r="Q10" s="30">
        <f t="shared" si="7"/>
        <v>5</v>
      </c>
      <c r="R10" s="30">
        <f t="shared" si="8"/>
        <v>21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87"/>
      <c r="Y10" s="174" t="s">
        <v>433</v>
      </c>
      <c r="Z10" s="174">
        <v>0.02</v>
      </c>
      <c r="AA10" s="174">
        <v>0.6</v>
      </c>
      <c r="AB10" s="174">
        <v>975</v>
      </c>
      <c r="AC10" s="174">
        <v>840</v>
      </c>
      <c r="AD10" s="229">
        <f>Z10/AA10</f>
        <v>3.3333333333333333E-2</v>
      </c>
      <c r="AE10" s="192">
        <f>Z10*AB10*AC10</f>
        <v>16380</v>
      </c>
      <c r="AF10" s="222"/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15779225.678618854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4">AP10</f>
        <v>15779225.678618854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5">BE19</f>
        <v>50500000</v>
      </c>
      <c r="BQ10" s="167" t="s">
        <v>317</v>
      </c>
      <c r="BS10" s="81" t="s">
        <v>373</v>
      </c>
      <c r="BT10" s="81" t="s">
        <v>389</v>
      </c>
      <c r="BU10" s="166">
        <v>288</v>
      </c>
      <c r="BV10" s="166">
        <v>6.7900000000000002E-2</v>
      </c>
      <c r="BW10" s="81">
        <v>4246.6099999999997</v>
      </c>
      <c r="BX10" s="81" t="s">
        <v>384</v>
      </c>
      <c r="BY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161">
        <f t="shared" si="13"/>
        <v>22100000</v>
      </c>
      <c r="CF10" s="167" t="s">
        <v>317</v>
      </c>
      <c r="CI10" s="81" t="s">
        <v>324</v>
      </c>
      <c r="CJ10" s="241">
        <f t="shared" si="1"/>
        <v>20528739.793697227</v>
      </c>
      <c r="CK10" s="241">
        <f t="shared" si="2"/>
        <v>32700000</v>
      </c>
      <c r="CL10" s="241">
        <f t="shared" si="3"/>
        <v>22100000</v>
      </c>
      <c r="CO10" s="243" t="s">
        <v>373</v>
      </c>
      <c r="CP10" s="243" t="s">
        <v>389</v>
      </c>
      <c r="CQ10" s="244">
        <v>289</v>
      </c>
      <c r="CR10" s="244">
        <v>6.6500000000000004E-2</v>
      </c>
      <c r="CS10" s="243">
        <v>4338.6099999999997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1.77</v>
      </c>
      <c r="DA10" s="245" t="s">
        <v>317</v>
      </c>
      <c r="DD10" s="169" t="s">
        <v>460</v>
      </c>
      <c r="DE10" s="276" t="s">
        <v>466</v>
      </c>
      <c r="DF10" s="274" t="s">
        <v>318</v>
      </c>
      <c r="DG10" s="169">
        <f>O$10*$Z$37*$AP$5</f>
        <v>1.7844509073176709</v>
      </c>
      <c r="DH10" s="169" t="s">
        <v>317</v>
      </c>
    </row>
    <row r="11" spans="2:112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0.1253968253968254</v>
      </c>
      <c r="H11" s="176"/>
      <c r="I11" s="185">
        <f>'Tabula data'!B22*(1-'Gebouwgegevens Tabula 2zone'!D45)</f>
        <v>3.95</v>
      </c>
      <c r="K11" t="s">
        <v>57</v>
      </c>
      <c r="L11" s="208">
        <v>0</v>
      </c>
      <c r="M11" s="209">
        <v>1</v>
      </c>
      <c r="N11" s="209" t="s">
        <v>54</v>
      </c>
      <c r="O11" s="210">
        <f>I7</f>
        <v>3.95</v>
      </c>
      <c r="P11" s="211" t="s">
        <v>39</v>
      </c>
      <c r="Q11" s="30">
        <f t="shared" si="7"/>
        <v>5</v>
      </c>
      <c r="R11" s="30">
        <f t="shared" si="8"/>
        <v>19.75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76"/>
      <c r="Y11" s="176"/>
      <c r="Z11" s="230"/>
      <c r="AA11" s="230"/>
      <c r="AB11" s="230"/>
      <c r="AC11" s="176"/>
      <c r="AD11" s="227"/>
      <c r="AE11" s="176"/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SUM(U27,U30)</f>
        <v>20528739.793697227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4"/>
        <v>20528739.793697227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5"/>
        <v>32700000</v>
      </c>
      <c r="BQ11" s="167" t="s">
        <v>317</v>
      </c>
      <c r="BS11" s="81" t="s">
        <v>373</v>
      </c>
      <c r="BT11" s="81" t="s">
        <v>390</v>
      </c>
      <c r="BU11" s="166">
        <v>0.22</v>
      </c>
      <c r="BV11" s="166">
        <v>7.8100000000000001E-4</v>
      </c>
      <c r="BW11" s="81">
        <v>281.52</v>
      </c>
      <c r="BX11" s="81" t="s">
        <v>384</v>
      </c>
      <c r="BY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161">
        <f>BU17</f>
        <v>995000000</v>
      </c>
      <c r="CF11" s="167" t="s">
        <v>317</v>
      </c>
      <c r="CI11" s="81" t="s">
        <v>325</v>
      </c>
      <c r="CJ11" s="241">
        <f t="shared" si="1"/>
        <v>8399671.9999999981</v>
      </c>
      <c r="CK11" s="241">
        <f t="shared" si="2"/>
        <v>14000000</v>
      </c>
      <c r="CL11" s="241">
        <f t="shared" si="3"/>
        <v>995000000</v>
      </c>
      <c r="CO11" s="243" t="s">
        <v>373</v>
      </c>
      <c r="CP11" s="243" t="s">
        <v>442</v>
      </c>
      <c r="CQ11" s="244">
        <v>0.16200000000000001</v>
      </c>
      <c r="CR11" s="244">
        <v>1.24E-2</v>
      </c>
      <c r="CS11" s="243">
        <v>13.06</v>
      </c>
      <c r="CT11" s="243" t="s">
        <v>420</v>
      </c>
      <c r="CU11" s="244">
        <v>2E-16</v>
      </c>
      <c r="CV11" s="81" t="s">
        <v>385</v>
      </c>
      <c r="CW11" s="245" t="s">
        <v>460</v>
      </c>
      <c r="CX11" s="249" t="s">
        <v>467</v>
      </c>
      <c r="CY11" s="246" t="s">
        <v>318</v>
      </c>
      <c r="CZ11" s="247">
        <f t="shared" si="12"/>
        <v>1.04</v>
      </c>
      <c r="DA11" s="245" t="s">
        <v>317</v>
      </c>
      <c r="DD11" s="169" t="s">
        <v>460</v>
      </c>
      <c r="DE11" s="276" t="s">
        <v>467</v>
      </c>
      <c r="DF11" s="274" t="s">
        <v>318</v>
      </c>
      <c r="DG11" s="169">
        <f>O$12*$Z$37*$AP$5</f>
        <v>1.7207205177706111</v>
      </c>
      <c r="DH11" s="169" t="s">
        <v>317</v>
      </c>
    </row>
    <row r="12" spans="2:112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0.12857142857142856</v>
      </c>
      <c r="H12" s="176"/>
      <c r="I12" s="185">
        <f>'Tabula data'!B23*(1-'Gebouwgegevens Tabula 2zone'!D45)</f>
        <v>4.05</v>
      </c>
      <c r="K12" t="s">
        <v>59</v>
      </c>
      <c r="L12" s="208">
        <v>0</v>
      </c>
      <c r="M12" s="209">
        <v>1</v>
      </c>
      <c r="N12" s="209" t="s">
        <v>54</v>
      </c>
      <c r="O12" s="210">
        <f>I8</f>
        <v>4.05</v>
      </c>
      <c r="P12" s="211" t="s">
        <v>45</v>
      </c>
      <c r="Q12" s="30">
        <f t="shared" si="7"/>
        <v>5</v>
      </c>
      <c r="R12" s="30">
        <f t="shared" si="8"/>
        <v>20.25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Z12" s="221" t="s">
        <v>4</v>
      </c>
      <c r="AA12" s="221">
        <v>2.2000000000000002</v>
      </c>
      <c r="AB12" s="221" t="s">
        <v>5</v>
      </c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8399671.9999999981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4"/>
        <v>8399671.9999999981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0.45400000000000001</v>
      </c>
      <c r="BV12" s="166">
        <v>1.67E-3</v>
      </c>
      <c r="BW12" s="81">
        <v>272.11</v>
      </c>
      <c r="BX12" s="81" t="s">
        <v>384</v>
      </c>
      <c r="BY12" s="81" t="s">
        <v>385</v>
      </c>
      <c r="CA12" s="167"/>
      <c r="CB12" s="167"/>
      <c r="CC12" s="167"/>
      <c r="CD12" s="168"/>
      <c r="CE12" s="161"/>
      <c r="CF12" s="167"/>
      <c r="CI12" s="81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0.64</v>
      </c>
      <c r="CR12" s="244">
        <v>2.7900000000000001E-2</v>
      </c>
      <c r="CS12" s="243">
        <v>22.93</v>
      </c>
      <c r="CT12" s="243" t="s">
        <v>420</v>
      </c>
      <c r="CU12" s="244">
        <v>2E-16</v>
      </c>
      <c r="CV12" s="81" t="s">
        <v>385</v>
      </c>
      <c r="CW12" s="245" t="s">
        <v>460</v>
      </c>
      <c r="CX12" s="248" t="s">
        <v>468</v>
      </c>
      <c r="CY12" s="246" t="s">
        <v>318</v>
      </c>
      <c r="CZ12" s="247">
        <f t="shared" si="12"/>
        <v>1.08</v>
      </c>
      <c r="DA12" s="245" t="s">
        <v>317</v>
      </c>
      <c r="DD12" s="169" t="s">
        <v>460</v>
      </c>
      <c r="DE12" s="275" t="s">
        <v>468</v>
      </c>
      <c r="DF12" s="274" t="s">
        <v>318</v>
      </c>
      <c r="DG12" s="169">
        <f>O$13*$Z$37*$AP$5</f>
        <v>1.5082858859470789</v>
      </c>
      <c r="DH12" s="169" t="s">
        <v>317</v>
      </c>
    </row>
    <row r="13" spans="2:112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0.11269841269841269</v>
      </c>
      <c r="H13" s="176"/>
      <c r="I13" s="185">
        <f>'Tabula data'!B24*(1-'Gebouwgegevens Tabula 2zone'!D45)</f>
        <v>3.55</v>
      </c>
      <c r="K13" t="s">
        <v>60</v>
      </c>
      <c r="L13" s="208">
        <v>0</v>
      </c>
      <c r="M13" s="209">
        <v>1</v>
      </c>
      <c r="N13" s="209" t="s">
        <v>54</v>
      </c>
      <c r="O13" s="210">
        <f>I9</f>
        <v>3.55</v>
      </c>
      <c r="P13" s="211" t="s">
        <v>50</v>
      </c>
      <c r="Q13" s="30">
        <f t="shared" si="7"/>
        <v>5</v>
      </c>
      <c r="R13" s="30">
        <f t="shared" si="8"/>
        <v>17.75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X13" s="216" t="s">
        <v>64</v>
      </c>
      <c r="Y13" s="217"/>
      <c r="Z13" s="218" t="s">
        <v>21</v>
      </c>
      <c r="AA13" s="219">
        <f>1/(1/8+SUM(AD15:AD19)+1/23)</f>
        <v>2.2022341505875525</v>
      </c>
      <c r="AB13" s="217" t="s">
        <v>5</v>
      </c>
      <c r="AC13" s="217"/>
      <c r="AD13" s="217" t="s">
        <v>22</v>
      </c>
      <c r="AE13" s="220">
        <f>SUM(AE15:AE20)</f>
        <v>449880</v>
      </c>
      <c r="AF13" s="222" t="s">
        <v>23</v>
      </c>
      <c r="AG13" s="222">
        <f>SUM(AE18:AE19)</f>
        <v>404880</v>
      </c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5.8500000000000003E-2</v>
      </c>
      <c r="BV13" s="166">
        <v>7.0000000000000001E-3</v>
      </c>
      <c r="BW13" s="81">
        <v>8.35</v>
      </c>
      <c r="BX13" s="81" t="s">
        <v>384</v>
      </c>
      <c r="BY13" s="81" t="s">
        <v>385</v>
      </c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BU27</f>
        <v>8.2900000000000001E-2</v>
      </c>
      <c r="CF13" s="167" t="s">
        <v>317</v>
      </c>
      <c r="CI13" s="81" t="s">
        <v>326</v>
      </c>
      <c r="CJ13" s="239">
        <f t="shared" si="1"/>
        <v>2.9021732851358017E-2</v>
      </c>
      <c r="CK13" s="239">
        <f t="shared" si="2"/>
        <v>0.128</v>
      </c>
      <c r="CL13" s="239">
        <f t="shared" si="3"/>
        <v>8.2900000000000001E-2</v>
      </c>
      <c r="CO13" s="243" t="s">
        <v>373</v>
      </c>
      <c r="CP13" s="243" t="s">
        <v>443</v>
      </c>
      <c r="CQ13" s="244">
        <v>0.29199999999999998</v>
      </c>
      <c r="CR13" s="244">
        <v>6.0400000000000002E-3</v>
      </c>
      <c r="CS13" s="243">
        <v>48.26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0.59599999999999997</v>
      </c>
      <c r="DA13" s="245" t="s">
        <v>317</v>
      </c>
      <c r="DD13" s="169" t="s">
        <v>460</v>
      </c>
      <c r="DE13" s="277" t="s">
        <v>469</v>
      </c>
      <c r="DF13" s="274" t="s">
        <v>318</v>
      </c>
      <c r="DG13" s="169">
        <f>O$11*$Z$37*$AP$6</f>
        <v>0.13435060559864304</v>
      </c>
      <c r="DH13" s="169" t="s">
        <v>317</v>
      </c>
    </row>
    <row r="14" spans="2:112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t="s">
        <v>61</v>
      </c>
      <c r="L14" s="208" t="s">
        <v>62</v>
      </c>
      <c r="M14" s="209">
        <v>1</v>
      </c>
      <c r="N14" s="209" t="s">
        <v>63</v>
      </c>
      <c r="O14" s="210">
        <f>C7</f>
        <v>75.699999999999989</v>
      </c>
      <c r="P14" s="211"/>
      <c r="Q14" s="30">
        <f t="shared" si="7"/>
        <v>2.8187919463087252</v>
      </c>
      <c r="R14" s="30">
        <f t="shared" si="8"/>
        <v>213.38255033557047</v>
      </c>
      <c r="S14" s="30">
        <f t="shared" si="9"/>
        <v>28429891.999999996</v>
      </c>
      <c r="T14" s="30">
        <f t="shared" si="10"/>
        <v>375560</v>
      </c>
      <c r="U14" s="30">
        <f t="shared" si="11"/>
        <v>8399671.9999999981</v>
      </c>
      <c r="V14" s="31"/>
      <c r="W14" s="223"/>
      <c r="X14" s="224"/>
      <c r="Y14" s="225" t="s">
        <v>27</v>
      </c>
      <c r="Z14" s="225" t="s">
        <v>28</v>
      </c>
      <c r="AA14" s="225" t="s">
        <v>29</v>
      </c>
      <c r="AB14" s="225" t="s">
        <v>30</v>
      </c>
      <c r="AC14" s="225" t="s">
        <v>31</v>
      </c>
      <c r="AD14" s="225" t="s">
        <v>32</v>
      </c>
      <c r="AE14" s="226" t="s">
        <v>33</v>
      </c>
      <c r="AF14" s="222"/>
      <c r="AG14" s="222"/>
      <c r="AH14" s="222"/>
      <c r="AM14" s="158" t="s">
        <v>314</v>
      </c>
      <c r="AN14" s="81" t="s">
        <v>315</v>
      </c>
      <c r="AO14" s="81" t="s">
        <v>326</v>
      </c>
      <c r="AP14" s="81">
        <f>AP4*0.2</f>
        <v>1.9347821900905348E-2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2.9021732851358017E-2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0.152</v>
      </c>
      <c r="BV14" s="166">
        <v>3.9300000000000001E-4</v>
      </c>
      <c r="BW14" s="81">
        <v>386.97</v>
      </c>
      <c r="BX14" s="81" t="s">
        <v>384</v>
      </c>
      <c r="BY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 t="shared" ref="CE14:CE16" si="16">BU28</f>
        <v>0.16500000000000001</v>
      </c>
      <c r="CF14" s="167" t="s">
        <v>317</v>
      </c>
      <c r="CI14" s="81" t="s">
        <v>327</v>
      </c>
      <c r="CJ14" s="239">
        <f t="shared" si="1"/>
        <v>0.14650664263691879</v>
      </c>
      <c r="CK14" s="239">
        <f t="shared" si="2"/>
        <v>0.23499999999999999</v>
      </c>
      <c r="CL14" s="239">
        <f t="shared" si="3"/>
        <v>0.16500000000000001</v>
      </c>
      <c r="CO14" s="243" t="s">
        <v>373</v>
      </c>
      <c r="CP14" s="243" t="s">
        <v>444</v>
      </c>
      <c r="CQ14" s="244">
        <v>0.17299999999999999</v>
      </c>
      <c r="CR14" s="244">
        <v>5.9199999999999999E-3</v>
      </c>
      <c r="CS14" s="243">
        <v>29.18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0.56100000000000005</v>
      </c>
      <c r="DA14" s="245" t="s">
        <v>317</v>
      </c>
      <c r="DD14" s="169" t="s">
        <v>460</v>
      </c>
      <c r="DE14" s="277" t="s">
        <v>470</v>
      </c>
      <c r="DF14" s="274" t="s">
        <v>318</v>
      </c>
      <c r="DG14" s="169">
        <f>O$10*$Z$37*$AP$6</f>
        <v>0.14285380848463311</v>
      </c>
      <c r="DH14" s="169" t="s">
        <v>317</v>
      </c>
    </row>
    <row r="15" spans="2:112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1.714339326947635</v>
      </c>
      <c r="R15" s="30">
        <f t="shared" si="8"/>
        <v>0</v>
      </c>
      <c r="S15" s="30">
        <f>VLOOKUP(N15,$X$5:$AE$392,8,0)*O25</f>
        <v>7013700</v>
      </c>
      <c r="T15" s="30">
        <f>S15/O25</f>
        <v>77930</v>
      </c>
      <c r="U15" s="30">
        <f>VLOOKUP(N15,$X$5:$AG$391,10,0)*O25</f>
        <v>3800700</v>
      </c>
      <c r="V15" s="31"/>
      <c r="W15" s="223"/>
      <c r="X15" s="175"/>
      <c r="Y15" s="176"/>
      <c r="Z15" s="176"/>
      <c r="AA15" s="176"/>
      <c r="AB15" s="176"/>
      <c r="AC15" s="184"/>
      <c r="AD15" s="227"/>
      <c r="AE15" s="177"/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AP5*0.2</f>
        <v>9.7671095091279192E-2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0.14650664263691879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7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7.9000000000000001E-2</v>
      </c>
      <c r="BV15" s="166">
        <v>5.5000000000000003E-4</v>
      </c>
      <c r="BW15" s="81">
        <v>143.72</v>
      </c>
      <c r="BX15" s="81" t="s">
        <v>384</v>
      </c>
      <c r="BY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 t="shared" si="16"/>
        <v>0.71599999999999997</v>
      </c>
      <c r="CF15" s="167" t="s">
        <v>317</v>
      </c>
      <c r="CI15" s="81" t="s">
        <v>328</v>
      </c>
      <c r="CJ15" s="239">
        <f t="shared" si="1"/>
        <v>0.71172855570481386</v>
      </c>
      <c r="CK15" s="239">
        <f t="shared" si="2"/>
        <v>0.53700000000000003</v>
      </c>
      <c r="CL15" s="239">
        <f t="shared" si="3"/>
        <v>0.71599999999999997</v>
      </c>
      <c r="CO15" s="243" t="s">
        <v>373</v>
      </c>
      <c r="CP15" s="243" t="s">
        <v>445</v>
      </c>
      <c r="CQ15" s="244">
        <v>1.02</v>
      </c>
      <c r="CR15" s="244">
        <v>4.4400000000000002E-2</v>
      </c>
      <c r="CS15" s="243">
        <v>22.92</v>
      </c>
      <c r="CT15" s="243" t="s">
        <v>420</v>
      </c>
      <c r="CU15" s="244">
        <v>2E-16</v>
      </c>
      <c r="CV15" s="81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0.214</v>
      </c>
      <c r="DA15" s="245" t="s">
        <v>317</v>
      </c>
      <c r="DD15" s="169" t="s">
        <v>460</v>
      </c>
      <c r="DE15" s="277" t="s">
        <v>471</v>
      </c>
      <c r="DF15" s="274" t="s">
        <v>318</v>
      </c>
      <c r="DG15" s="169">
        <f>O$12*$Z$37*$AP$6</f>
        <v>0.13775188675303907</v>
      </c>
      <c r="DH15" s="169" t="s">
        <v>317</v>
      </c>
    </row>
    <row r="16" spans="2:112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1.9235294117647057</v>
      </c>
      <c r="H16" s="184" t="s">
        <v>70</v>
      </c>
      <c r="I16" s="177"/>
      <c r="K16" t="s">
        <v>67</v>
      </c>
      <c r="L16" s="208">
        <v>0</v>
      </c>
      <c r="M16" s="209">
        <v>1</v>
      </c>
      <c r="N16" s="209" t="s">
        <v>68</v>
      </c>
      <c r="O16" s="210">
        <f>'Tabula data'!B20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7" si="18">VLOOKUP(N16,$X$5:$AE$392,8,0)*O16</f>
        <v>346940</v>
      </c>
      <c r="T16" s="30">
        <f t="shared" ref="T16:T27" si="19">S16/O16</f>
        <v>36520</v>
      </c>
      <c r="U16" s="30">
        <f t="shared" ref="U16:U27" si="20">VLOOKUP(N16,$X$5:$AG$391,10,0)*O16</f>
        <v>0</v>
      </c>
      <c r="V16" s="31"/>
      <c r="W16" s="223"/>
      <c r="X16" s="175"/>
      <c r="Y16" s="176"/>
      <c r="Z16" s="176"/>
      <c r="AA16" s="176"/>
      <c r="AB16" s="176"/>
      <c r="AC16" s="176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AP6*0.2+0.8</f>
        <v>0.80781903713654268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0.71172855570481386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7"/>
        <v>0.53700000000000003</v>
      </c>
      <c r="BQ16" s="167" t="s">
        <v>317</v>
      </c>
      <c r="BS16" s="81" t="s">
        <v>373</v>
      </c>
      <c r="BT16" s="81" t="s">
        <v>303</v>
      </c>
      <c r="BU16" s="166">
        <v>537000000</v>
      </c>
      <c r="BV16" s="166">
        <v>49100000</v>
      </c>
      <c r="BW16" s="81">
        <v>10.92</v>
      </c>
      <c r="BX16" s="81" t="s">
        <v>384</v>
      </c>
      <c r="BY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 t="shared" si="16"/>
        <v>5.5E-2</v>
      </c>
      <c r="CF16" s="167" t="s">
        <v>317</v>
      </c>
      <c r="CI16" s="81" t="s">
        <v>329</v>
      </c>
      <c r="CJ16" s="239">
        <f t="shared" si="1"/>
        <v>5.6371534403454653E-2</v>
      </c>
      <c r="CK16" s="239">
        <f t="shared" si="2"/>
        <v>7.7399999999999997E-2</v>
      </c>
      <c r="CL16" s="239">
        <f t="shared" si="3"/>
        <v>5.5E-2</v>
      </c>
      <c r="CO16" s="243" t="s">
        <v>373</v>
      </c>
      <c r="CP16" s="243" t="s">
        <v>337</v>
      </c>
      <c r="CQ16" s="244">
        <v>1.77</v>
      </c>
      <c r="CR16" s="244">
        <v>0.113</v>
      </c>
      <c r="CS16" s="243">
        <v>15.7</v>
      </c>
      <c r="CT16" s="244" t="s">
        <v>420</v>
      </c>
      <c r="CU16" s="244">
        <v>2E-16</v>
      </c>
      <c r="CV16" s="81" t="s">
        <v>385</v>
      </c>
      <c r="CW16" s="245" t="s">
        <v>460</v>
      </c>
      <c r="CX16" s="250" t="s">
        <v>472</v>
      </c>
      <c r="CY16" s="246" t="s">
        <v>318</v>
      </c>
      <c r="CZ16" s="247">
        <f t="shared" si="12"/>
        <v>0.29399999999999998</v>
      </c>
      <c r="DA16" s="245" t="s">
        <v>317</v>
      </c>
      <c r="DD16" s="169" t="s">
        <v>460</v>
      </c>
      <c r="DE16" s="277" t="s">
        <v>472</v>
      </c>
      <c r="DF16" s="274" t="s">
        <v>318</v>
      </c>
      <c r="DG16" s="169">
        <f>O$13*$Z$37*$AP$6</f>
        <v>0.12074548098105893</v>
      </c>
      <c r="DH16" s="169" t="s">
        <v>317</v>
      </c>
    </row>
    <row r="17" spans="2:112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1.4298362107127047</v>
      </c>
      <c r="H17" s="184"/>
      <c r="I17" s="177"/>
      <c r="K17" t="s">
        <v>71</v>
      </c>
      <c r="L17" s="208">
        <v>0</v>
      </c>
      <c r="M17" s="209">
        <v>2</v>
      </c>
      <c r="N17" s="209" t="s">
        <v>25</v>
      </c>
      <c r="O17" s="210">
        <f>'Tabula data'!B10*'Gebouwgegevens Tabula 2zone'!D42/2*(1-'Gebouwgegevens Tabula 2zone'!D43)</f>
        <v>38.663700752545374</v>
      </c>
      <c r="P17" s="211" t="s">
        <v>26</v>
      </c>
      <c r="Q17" s="30">
        <f t="shared" si="7"/>
        <v>2.2022341505875525</v>
      </c>
      <c r="R17" s="30">
        <f t="shared" si="8"/>
        <v>85.146522185353078</v>
      </c>
      <c r="S17" s="30">
        <f t="shared" si="18"/>
        <v>17394025.694555111</v>
      </c>
      <c r="T17" s="30">
        <f t="shared" si="19"/>
        <v>449879.99999999994</v>
      </c>
      <c r="U17" s="30">
        <f t="shared" si="20"/>
        <v>15654159.16069057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8" t="s">
        <v>271</v>
      </c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AP7*0.3</f>
        <v>5.6371534403454653E-2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5.6371534403454653E-2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7"/>
        <v>7.7399999999999997E-2</v>
      </c>
      <c r="BQ17" s="167" t="s">
        <v>317</v>
      </c>
      <c r="BS17" s="81" t="s">
        <v>373</v>
      </c>
      <c r="BT17" s="81" t="s">
        <v>299</v>
      </c>
      <c r="BU17" s="166">
        <v>995000000</v>
      </c>
      <c r="BV17" s="166">
        <v>18600000</v>
      </c>
      <c r="BW17" s="81">
        <v>53.42</v>
      </c>
      <c r="BX17" s="81" t="s">
        <v>384</v>
      </c>
      <c r="BY17" s="81" t="s">
        <v>385</v>
      </c>
      <c r="CA17" s="167"/>
      <c r="CB17" s="167"/>
      <c r="CC17" s="167"/>
      <c r="CD17" s="168"/>
      <c r="CE17" s="161"/>
      <c r="CF17" s="167"/>
      <c r="CI17" s="81"/>
      <c r="CJ17" s="240"/>
      <c r="CK17" s="240"/>
      <c r="CL17" s="240"/>
      <c r="CO17" s="243" t="s">
        <v>373</v>
      </c>
      <c r="CP17" s="243" t="s">
        <v>446</v>
      </c>
      <c r="CQ17" s="244">
        <v>1.04</v>
      </c>
      <c r="CR17" s="244">
        <v>2.46E-2</v>
      </c>
      <c r="CS17" s="243">
        <v>42.38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0.53300000000000003</v>
      </c>
      <c r="DA17" s="245" t="s">
        <v>317</v>
      </c>
      <c r="DD17" s="169" t="s">
        <v>460</v>
      </c>
      <c r="DE17" s="277" t="s">
        <v>473</v>
      </c>
      <c r="DF17" s="274" t="s">
        <v>318</v>
      </c>
      <c r="DG17" s="169">
        <f>O$11*$Z$37*$AP$7</f>
        <v>0.64573592659157308</v>
      </c>
      <c r="DH17" s="169" t="s">
        <v>317</v>
      </c>
    </row>
    <row r="18" spans="2:112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1.4298362107127047</v>
      </c>
      <c r="H18" s="184"/>
      <c r="I18" s="177"/>
      <c r="K18" t="s">
        <v>75</v>
      </c>
      <c r="L18" s="208">
        <v>0</v>
      </c>
      <c r="M18" s="209">
        <v>2</v>
      </c>
      <c r="N18" s="209" t="s">
        <v>25</v>
      </c>
      <c r="O18" s="210">
        <f>'Tabula data'!B10*(1-'Gebouwgegevens Tabula 2zone'!D42)/2*(1-'Gebouwgegevens Tabula 2zone'!D44)</f>
        <v>0</v>
      </c>
      <c r="P18" s="211" t="s">
        <v>39</v>
      </c>
      <c r="Q18" s="30">
        <f t="shared" si="7"/>
        <v>2.2022341505875525</v>
      </c>
      <c r="R18" s="30">
        <f t="shared" si="8"/>
        <v>0</v>
      </c>
      <c r="S18" s="30">
        <f t="shared" si="18"/>
        <v>0</v>
      </c>
      <c r="T18" s="30" t="e">
        <f t="shared" si="19"/>
        <v>#DIV/0!</v>
      </c>
      <c r="U18" s="30">
        <f t="shared" si="20"/>
        <v>0</v>
      </c>
      <c r="V18" s="31"/>
      <c r="W18" s="223"/>
      <c r="X18" s="175"/>
      <c r="Y18" s="184" t="s">
        <v>76</v>
      </c>
      <c r="Z18" s="176">
        <v>0.25</v>
      </c>
      <c r="AA18" s="176">
        <v>1.1000000000000001</v>
      </c>
      <c r="AB18" s="176">
        <v>1850</v>
      </c>
      <c r="AC18" s="184">
        <v>840</v>
      </c>
      <c r="AD18" s="227">
        <f>Z18/AA18</f>
        <v>0.22727272727272727</v>
      </c>
      <c r="AE18" s="177">
        <f>Z18*AB18*AC18</f>
        <v>388500</v>
      </c>
      <c r="AF18" s="222" t="s">
        <v>272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>
        <v>21</v>
      </c>
      <c r="BT18" s="81"/>
      <c r="BU18" s="81"/>
      <c r="BV18" s="81"/>
      <c r="BW18" s="81"/>
      <c r="BX18" s="81"/>
      <c r="BY18" s="81"/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BU32</f>
        <v>505</v>
      </c>
      <c r="CF18" s="167" t="s">
        <v>317</v>
      </c>
      <c r="CI18" s="81" t="s">
        <v>330</v>
      </c>
      <c r="CJ18" s="242">
        <f t="shared" si="1"/>
        <v>152.65231457946646</v>
      </c>
      <c r="CK18" s="242">
        <f t="shared" si="2"/>
        <v>958</v>
      </c>
      <c r="CL18" s="242">
        <f t="shared" si="3"/>
        <v>505</v>
      </c>
      <c r="CO18" s="243" t="s">
        <v>373</v>
      </c>
      <c r="CP18" s="243" t="s">
        <v>447</v>
      </c>
      <c r="CQ18" s="244">
        <v>1.08</v>
      </c>
      <c r="CR18" s="244">
        <v>2.52E-2</v>
      </c>
      <c r="CS18" s="243">
        <v>42.79</v>
      </c>
      <c r="CT18" s="243" t="s">
        <v>420</v>
      </c>
      <c r="CU18" s="244">
        <v>2E-16</v>
      </c>
      <c r="CV18" s="81" t="s">
        <v>385</v>
      </c>
      <c r="CW18" s="245" t="s">
        <v>460</v>
      </c>
      <c r="CX18" s="250" t="s">
        <v>474</v>
      </c>
      <c r="CY18" s="246" t="s">
        <v>318</v>
      </c>
      <c r="CZ18" s="247">
        <f t="shared" si="12"/>
        <v>8.0999999999999999E-10</v>
      </c>
      <c r="DA18" s="245" t="s">
        <v>317</v>
      </c>
      <c r="DD18" s="169" t="s">
        <v>460</v>
      </c>
      <c r="DE18" s="277" t="s">
        <v>474</v>
      </c>
      <c r="DF18" s="274" t="s">
        <v>318</v>
      </c>
      <c r="DG18" s="169">
        <f>O$10*$Z$37*$AP$7</f>
        <v>0.68660528903407769</v>
      </c>
      <c r="DH18" s="169" t="s">
        <v>317</v>
      </c>
    </row>
    <row r="19" spans="2:112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t="s">
        <v>79</v>
      </c>
      <c r="L19" s="208">
        <v>0</v>
      </c>
      <c r="M19" s="209">
        <v>2</v>
      </c>
      <c r="N19" s="209" t="s">
        <v>25</v>
      </c>
      <c r="O19" s="210">
        <f>'Tabula data'!B10*'Gebouwgegevens Tabula 2zone'!D42/2*(1-'Gebouwgegevens Tabula 2zone'!D43)</f>
        <v>38.663700752545374</v>
      </c>
      <c r="P19" s="211" t="s">
        <v>45</v>
      </c>
      <c r="Q19" s="30">
        <f t="shared" si="7"/>
        <v>2.2022341505875525</v>
      </c>
      <c r="R19" s="30">
        <f t="shared" si="8"/>
        <v>85.146522185353078</v>
      </c>
      <c r="S19" s="30">
        <f t="shared" si="18"/>
        <v>17394025.694555111</v>
      </c>
      <c r="T19" s="30">
        <f t="shared" si="19"/>
        <v>449879.99999999994</v>
      </c>
      <c r="U19" s="30">
        <f t="shared" si="20"/>
        <v>15654159.16069057</v>
      </c>
      <c r="V19" s="31"/>
      <c r="W19" s="223"/>
      <c r="X19" s="187"/>
      <c r="Y19" s="174" t="s">
        <v>273</v>
      </c>
      <c r="Z19" s="174">
        <v>0.02</v>
      </c>
      <c r="AA19" s="174">
        <v>0.6</v>
      </c>
      <c r="AB19" s="174">
        <v>975</v>
      </c>
      <c r="AC19" s="174">
        <v>840</v>
      </c>
      <c r="AD19" s="229">
        <f>Z19/AA19</f>
        <v>3.3333333333333333E-2</v>
      </c>
      <c r="AE19" s="192">
        <f>Z19*AB19*AC19</f>
        <v>16380</v>
      </c>
      <c r="AF19" s="222"/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SUM(O6:O9)*(1/(SUM(AD18:AD19)*0.5+1/8))</f>
        <v>152.65231457946646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152.65231457946646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395</v>
      </c>
      <c r="BU19" s="166">
        <v>2910000</v>
      </c>
      <c r="BV19" s="166">
        <v>32100</v>
      </c>
      <c r="BW19" s="81">
        <v>90.66</v>
      </c>
      <c r="BX19" s="81" t="s">
        <v>384</v>
      </c>
      <c r="BY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 t="shared" ref="CE19:CE21" si="21">BU33</f>
        <v>194</v>
      </c>
      <c r="CF19" s="167" t="s">
        <v>317</v>
      </c>
      <c r="CI19" s="81" t="s">
        <v>331</v>
      </c>
      <c r="CJ19" s="242">
        <f t="shared" si="1"/>
        <v>240.86363636363635</v>
      </c>
      <c r="CK19" s="242">
        <f t="shared" si="2"/>
        <v>737</v>
      </c>
      <c r="CL19" s="242">
        <f t="shared" si="3"/>
        <v>194</v>
      </c>
      <c r="CO19" s="243" t="s">
        <v>373</v>
      </c>
      <c r="CP19" s="243" t="s">
        <v>448</v>
      </c>
      <c r="CQ19" s="244">
        <v>0.59599999999999997</v>
      </c>
      <c r="CR19" s="244">
        <v>0.115</v>
      </c>
      <c r="CS19" s="243">
        <v>5.21</v>
      </c>
      <c r="CT19" s="244">
        <v>1.9999999999999999E-7</v>
      </c>
      <c r="CU19" s="243" t="s">
        <v>385</v>
      </c>
      <c r="CV19" s="81"/>
      <c r="CW19" s="245" t="s">
        <v>460</v>
      </c>
      <c r="CX19" s="248" t="s">
        <v>475</v>
      </c>
      <c r="CY19" s="246" t="s">
        <v>318</v>
      </c>
      <c r="CZ19" s="247">
        <f t="shared" si="12"/>
        <v>0.41699999999999998</v>
      </c>
      <c r="DA19" s="245" t="s">
        <v>317</v>
      </c>
      <c r="DD19" s="169" t="s">
        <v>460</v>
      </c>
      <c r="DE19" s="275" t="s">
        <v>475</v>
      </c>
      <c r="DF19" s="274" t="s">
        <v>318</v>
      </c>
      <c r="DG19" s="169">
        <f>O$12*$Z$37*$AP$7</f>
        <v>0.66208367156857495</v>
      </c>
      <c r="DH19" s="169" t="s">
        <v>317</v>
      </c>
    </row>
    <row r="20" spans="2:112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0.1394422310756972</v>
      </c>
      <c r="H20" s="184"/>
      <c r="I20" s="177"/>
      <c r="K20" t="s">
        <v>82</v>
      </c>
      <c r="L20" s="208">
        <v>0</v>
      </c>
      <c r="M20" s="209">
        <v>2</v>
      </c>
      <c r="N20" s="209" t="s">
        <v>25</v>
      </c>
      <c r="O20" s="210">
        <f>'Tabula data'!B10*(1-'Gebouwgegevens Tabula 2zone'!D42)/2*(1-'Gebouwgegevens Tabula 2zone'!D44)</f>
        <v>0</v>
      </c>
      <c r="P20" s="211" t="s">
        <v>50</v>
      </c>
      <c r="Q20" s="30">
        <f t="shared" si="7"/>
        <v>2.2022341505875525</v>
      </c>
      <c r="R20" s="30">
        <f t="shared" si="8"/>
        <v>0</v>
      </c>
      <c r="S20" s="30">
        <f t="shared" si="18"/>
        <v>0</v>
      </c>
      <c r="T20" s="30" t="e">
        <f t="shared" si="19"/>
        <v>#DIV/0!</v>
      </c>
      <c r="U20" s="30">
        <f t="shared" si="20"/>
        <v>0</v>
      </c>
      <c r="V20" s="31"/>
      <c r="W20" s="223"/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SUM(O14)*1/(SUM(AD42:AD43)+1/6)</f>
        <v>240.86363636363635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22">AP20</f>
        <v>240.86363636363635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3">BE32</f>
        <v>737</v>
      </c>
      <c r="BQ20" s="167" t="s">
        <v>317</v>
      </c>
      <c r="BS20" s="81" t="s">
        <v>373</v>
      </c>
      <c r="BT20" s="81" t="s">
        <v>296</v>
      </c>
      <c r="BU20" s="166">
        <v>95200000</v>
      </c>
      <c r="BV20" s="166">
        <v>2180000</v>
      </c>
      <c r="BW20" s="81">
        <v>43.68</v>
      </c>
      <c r="BX20" s="81" t="s">
        <v>384</v>
      </c>
      <c r="BY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 t="shared" si="21"/>
        <v>644</v>
      </c>
      <c r="CF20" s="167" t="s">
        <v>317</v>
      </c>
      <c r="CI20" s="81" t="s">
        <v>332</v>
      </c>
      <c r="CJ20" s="242">
        <f t="shared" si="1"/>
        <v>424.25724955995031</v>
      </c>
      <c r="CK20" s="242">
        <f t="shared" si="2"/>
        <v>2190</v>
      </c>
      <c r="CL20" s="242">
        <f t="shared" si="3"/>
        <v>644</v>
      </c>
      <c r="CO20" s="243" t="s">
        <v>373</v>
      </c>
      <c r="CP20" s="243" t="s">
        <v>338</v>
      </c>
      <c r="CQ20" s="244">
        <v>0.56100000000000005</v>
      </c>
      <c r="CR20" s="244">
        <v>0.19</v>
      </c>
      <c r="CS20" s="243">
        <v>2.95</v>
      </c>
      <c r="CT20" s="243">
        <v>3.2000000000000002E-3</v>
      </c>
      <c r="CU20" s="243" t="s">
        <v>398</v>
      </c>
      <c r="CV20" s="81"/>
      <c r="CW20" s="245" t="s">
        <v>460</v>
      </c>
      <c r="CX20" s="249" t="s">
        <v>476</v>
      </c>
      <c r="CY20" s="246" t="s">
        <v>318</v>
      </c>
      <c r="CZ20" s="247">
        <f t="shared" si="12"/>
        <v>0.42699999999999999</v>
      </c>
      <c r="DA20" s="245" t="s">
        <v>317</v>
      </c>
      <c r="DD20" s="169" t="s">
        <v>460</v>
      </c>
      <c r="DE20" s="276" t="s">
        <v>476</v>
      </c>
      <c r="DF20" s="274" t="s">
        <v>318</v>
      </c>
      <c r="DG20" s="169">
        <f>O$13*$Z$37*$AP$7</f>
        <v>0.58034494668356562</v>
      </c>
      <c r="DH20" s="169" t="s">
        <v>317</v>
      </c>
    </row>
    <row r="21" spans="2:112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0.1394422310756972</v>
      </c>
      <c r="H21" s="184"/>
      <c r="I21" s="177"/>
      <c r="K21" t="s">
        <v>84</v>
      </c>
      <c r="L21" s="208">
        <v>0</v>
      </c>
      <c r="M21" s="209">
        <v>2</v>
      </c>
      <c r="N21" s="209" t="s">
        <v>54</v>
      </c>
      <c r="O21" s="210">
        <f>I10</f>
        <v>4.2</v>
      </c>
      <c r="P21" s="211" t="s">
        <v>26</v>
      </c>
      <c r="Q21" s="30">
        <f t="shared" si="7"/>
        <v>5</v>
      </c>
      <c r="R21" s="30">
        <f t="shared" si="8"/>
        <v>21</v>
      </c>
      <c r="S21" s="30">
        <f t="shared" si="18"/>
        <v>0</v>
      </c>
      <c r="T21" s="30">
        <f t="shared" si="19"/>
        <v>0</v>
      </c>
      <c r="U21" s="30">
        <f t="shared" si="20"/>
        <v>0</v>
      </c>
      <c r="V21" s="31"/>
      <c r="W21" s="223"/>
      <c r="X21" s="216" t="s">
        <v>85</v>
      </c>
      <c r="Y21" s="217"/>
      <c r="Z21" s="218" t="s">
        <v>21</v>
      </c>
      <c r="AA21" s="219">
        <f>(1/(1/8+SUM(AD23:AD25)+1/8))</f>
        <v>1.9926199261992623</v>
      </c>
      <c r="AB21" s="217" t="s">
        <v>5</v>
      </c>
      <c r="AC21" s="217"/>
      <c r="AD21" s="217" t="s">
        <v>22</v>
      </c>
      <c r="AE21" s="220">
        <f>SUM(AE23:AE26)</f>
        <v>150360</v>
      </c>
      <c r="AF21" s="222" t="s">
        <v>23</v>
      </c>
      <c r="AG21" s="222">
        <f>SUM(AE23:AE25)</f>
        <v>150360</v>
      </c>
      <c r="AH21" s="222"/>
      <c r="AM21" s="158" t="s">
        <v>314</v>
      </c>
      <c r="AN21" s="81" t="s">
        <v>315</v>
      </c>
      <c r="AO21" s="81" t="s">
        <v>332</v>
      </c>
      <c r="AP21" s="81">
        <f>2*AA21*O27+O30*1*AA54</f>
        <v>424.25724955995031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22"/>
        <v>424.25724955995031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3"/>
        <v>2190</v>
      </c>
      <c r="BQ21" s="167" t="s">
        <v>317</v>
      </c>
      <c r="BS21" s="81" t="s">
        <v>373</v>
      </c>
      <c r="BT21" s="81" t="s">
        <v>298</v>
      </c>
      <c r="BU21" s="166">
        <v>22100000</v>
      </c>
      <c r="BV21" s="166">
        <v>378000</v>
      </c>
      <c r="BW21" s="81">
        <v>58.53</v>
      </c>
      <c r="BX21" s="81" t="s">
        <v>384</v>
      </c>
      <c r="BY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 t="shared" si="21"/>
        <v>260</v>
      </c>
      <c r="CF21" s="167" t="s">
        <v>317</v>
      </c>
      <c r="CI21" s="81" t="s">
        <v>333</v>
      </c>
      <c r="CJ21" s="242">
        <f t="shared" si="1"/>
        <v>144.16683767153609</v>
      </c>
      <c r="CK21" s="242">
        <f t="shared" si="2"/>
        <v>251</v>
      </c>
      <c r="CL21" s="242">
        <f t="shared" si="3"/>
        <v>260</v>
      </c>
      <c r="CO21" s="243" t="s">
        <v>373</v>
      </c>
      <c r="CP21" s="243" t="s">
        <v>449</v>
      </c>
      <c r="CQ21" s="244">
        <v>0.214</v>
      </c>
      <c r="CR21" s="244">
        <v>4.2900000000000001E-2</v>
      </c>
      <c r="CS21" s="243">
        <v>4.9800000000000004</v>
      </c>
      <c r="CT21" s="244">
        <v>6.6000000000000003E-7</v>
      </c>
      <c r="CU21" s="243" t="s">
        <v>385</v>
      </c>
      <c r="CV21" s="81"/>
      <c r="CW21" s="245" t="s">
        <v>460</v>
      </c>
      <c r="CX21" s="249" t="s">
        <v>477</v>
      </c>
      <c r="CY21" s="246" t="s">
        <v>318</v>
      </c>
      <c r="CZ21" s="247">
        <f t="shared" si="12"/>
        <v>0.16500000000000001</v>
      </c>
      <c r="DA21" s="245" t="s">
        <v>317</v>
      </c>
      <c r="DD21" s="169" t="s">
        <v>460</v>
      </c>
      <c r="DE21" s="276" t="s">
        <v>477</v>
      </c>
      <c r="DF21" s="274" t="s">
        <v>318</v>
      </c>
      <c r="DG21" s="169">
        <f>O$11*$Z$37*$AP$42</f>
        <v>0.64573592659157308</v>
      </c>
      <c r="DH21" s="169" t="s">
        <v>317</v>
      </c>
    </row>
    <row r="22" spans="2:112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9.7523219814241488E-2</v>
      </c>
      <c r="H22" s="176"/>
      <c r="I22" s="177"/>
      <c r="K22" t="s">
        <v>87</v>
      </c>
      <c r="L22" s="208">
        <v>0</v>
      </c>
      <c r="M22" s="209">
        <v>2</v>
      </c>
      <c r="N22" s="209" t="s">
        <v>54</v>
      </c>
      <c r="O22" s="210">
        <f>I11</f>
        <v>3.95</v>
      </c>
      <c r="P22" s="211" t="s">
        <v>39</v>
      </c>
      <c r="Q22" s="30">
        <f t="shared" si="7"/>
        <v>5</v>
      </c>
      <c r="R22" s="30">
        <f t="shared" si="8"/>
        <v>19.75</v>
      </c>
      <c r="S22" s="30">
        <f t="shared" si="18"/>
        <v>0</v>
      </c>
      <c r="T22" s="30">
        <f t="shared" si="19"/>
        <v>0</v>
      </c>
      <c r="U22" s="30">
        <f t="shared" si="20"/>
        <v>0</v>
      </c>
      <c r="V22" s="31"/>
      <c r="W22" s="223"/>
      <c r="X22" s="224"/>
      <c r="Y22" s="225" t="s">
        <v>27</v>
      </c>
      <c r="Z22" s="225" t="s">
        <v>28</v>
      </c>
      <c r="AA22" s="225" t="s">
        <v>29</v>
      </c>
      <c r="AB22" s="225" t="s">
        <v>30</v>
      </c>
      <c r="AC22" s="225" t="s">
        <v>31</v>
      </c>
      <c r="AD22" s="225" t="s">
        <v>32</v>
      </c>
      <c r="AE22" s="226" t="s">
        <v>33</v>
      </c>
      <c r="AF22" s="222"/>
      <c r="AG22" s="222"/>
      <c r="AH22" s="222"/>
      <c r="AM22" s="158" t="s">
        <v>314</v>
      </c>
      <c r="AN22" s="81" t="s">
        <v>315</v>
      </c>
      <c r="AO22" s="81" t="s">
        <v>333</v>
      </c>
      <c r="AP22" s="152">
        <f>'Verwarming Tabula 2zone'!B60+SUM(R10:R13)+R16</f>
        <v>144.16683767153609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22"/>
        <v>144.16683767153609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I22" s="81"/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3"/>
        <v>251</v>
      </c>
      <c r="BQ22" s="167" t="s">
        <v>317</v>
      </c>
      <c r="BS22" s="81" t="s">
        <v>373</v>
      </c>
      <c r="BT22" s="81" t="s">
        <v>396</v>
      </c>
      <c r="BU22" s="166">
        <v>-8.51</v>
      </c>
      <c r="BV22" s="166">
        <v>0.16800000000000001</v>
      </c>
      <c r="BW22" s="81">
        <v>-50.8</v>
      </c>
      <c r="BX22" s="81" t="s">
        <v>384</v>
      </c>
      <c r="BY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1/BU41</f>
        <v>1992.0318725099603</v>
      </c>
      <c r="CF22" s="167" t="s">
        <v>317</v>
      </c>
      <c r="CI22" s="81" t="s">
        <v>334</v>
      </c>
      <c r="CJ22" s="242">
        <f t="shared" si="1"/>
        <v>196.05767859245145</v>
      </c>
      <c r="CK22" s="242">
        <f t="shared" si="2"/>
        <v>884.95575221238948</v>
      </c>
      <c r="CL22" s="242">
        <f t="shared" si="3"/>
        <v>1992.0318725099603</v>
      </c>
      <c r="CO22" s="243" t="s">
        <v>373</v>
      </c>
      <c r="CP22" s="243" t="s">
        <v>450</v>
      </c>
      <c r="CQ22" s="244">
        <v>0.29399999999999998</v>
      </c>
      <c r="CR22" s="244">
        <v>5.2499999999999998E-2</v>
      </c>
      <c r="CS22" s="243">
        <v>5.61</v>
      </c>
      <c r="CT22" s="244">
        <v>2.0999999999999999E-8</v>
      </c>
      <c r="CU22" s="243" t="s">
        <v>385</v>
      </c>
      <c r="CV22" s="81"/>
      <c r="CW22" s="245" t="s">
        <v>460</v>
      </c>
      <c r="CX22" s="249" t="s">
        <v>478</v>
      </c>
      <c r="CY22" s="246" t="s">
        <v>318</v>
      </c>
      <c r="CZ22" s="247">
        <f t="shared" si="12"/>
        <v>5.0400000000000002E-11</v>
      </c>
      <c r="DA22" s="245" t="s">
        <v>317</v>
      </c>
      <c r="DD22" s="169" t="s">
        <v>460</v>
      </c>
      <c r="DE22" s="276" t="s">
        <v>478</v>
      </c>
      <c r="DF22" s="274" t="s">
        <v>318</v>
      </c>
      <c r="DG22" s="169">
        <f>O$10*$Z$37*$AP$42</f>
        <v>0.68660528903407769</v>
      </c>
      <c r="DH22" s="169" t="s">
        <v>317</v>
      </c>
    </row>
    <row r="23" spans="2:112" ht="15" customHeight="1" thickTop="1" thickBot="1" x14ac:dyDescent="0.3">
      <c r="B23" s="193" t="s">
        <v>91</v>
      </c>
      <c r="C23" s="195">
        <f>C17+C6</f>
        <v>225.9</v>
      </c>
      <c r="D23" s="194" t="s">
        <v>9</v>
      </c>
      <c r="E23" s="175"/>
      <c r="F23" s="176"/>
      <c r="G23" s="176"/>
      <c r="H23" s="176"/>
      <c r="I23" s="177"/>
      <c r="K23" t="s">
        <v>89</v>
      </c>
      <c r="L23" s="208">
        <v>0</v>
      </c>
      <c r="M23" s="209">
        <v>2</v>
      </c>
      <c r="N23" s="209" t="s">
        <v>54</v>
      </c>
      <c r="O23" s="210">
        <f>I12</f>
        <v>4.05</v>
      </c>
      <c r="P23" s="211" t="s">
        <v>45</v>
      </c>
      <c r="Q23" s="30">
        <f t="shared" si="7"/>
        <v>5</v>
      </c>
      <c r="R23" s="30">
        <f t="shared" si="8"/>
        <v>20.25</v>
      </c>
      <c r="S23" s="30">
        <f t="shared" si="18"/>
        <v>0</v>
      </c>
      <c r="T23" s="30">
        <f t="shared" si="19"/>
        <v>0</v>
      </c>
      <c r="U23" s="30">
        <f t="shared" si="20"/>
        <v>0</v>
      </c>
      <c r="V23" s="31"/>
      <c r="W23" s="223"/>
      <c r="X23" s="175"/>
      <c r="Y23" s="176" t="s">
        <v>433</v>
      </c>
      <c r="Z23" s="176">
        <v>0.02</v>
      </c>
      <c r="AA23" s="176">
        <v>0.6</v>
      </c>
      <c r="AB23" s="176">
        <v>975</v>
      </c>
      <c r="AC23" s="176">
        <v>840</v>
      </c>
      <c r="AD23" s="227">
        <f>Z23/AA23</f>
        <v>3.3333333333333333E-2</v>
      </c>
      <c r="AE23" s="177">
        <f>Z23*AB23*AC23</f>
        <v>16380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SUM(O6:O9)*1/(SUM(AD15:AD17)+0.5*SUM(AD18:AD19)+1/23)</f>
        <v>196.05767859245145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22"/>
        <v>196.05767859245145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I23" s="81"/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397</v>
      </c>
      <c r="BU23" s="166">
        <v>-16.7</v>
      </c>
      <c r="BV23" s="166">
        <v>5.94</v>
      </c>
      <c r="BW23" s="81">
        <v>-2.81</v>
      </c>
      <c r="BX23" s="81">
        <v>4.8999999999999998E-3</v>
      </c>
      <c r="BY23" s="81" t="s">
        <v>398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BU44</f>
        <v>530</v>
      </c>
      <c r="CF23" s="167" t="s">
        <v>317</v>
      </c>
      <c r="CI23" s="81" t="s">
        <v>335</v>
      </c>
      <c r="CJ23" s="242">
        <f t="shared" si="1"/>
        <v>68.374193548387083</v>
      </c>
      <c r="CK23" s="242">
        <f t="shared" si="2"/>
        <v>301</v>
      </c>
      <c r="CL23" s="242">
        <f t="shared" si="3"/>
        <v>530</v>
      </c>
      <c r="CO23" s="243" t="s">
        <v>373</v>
      </c>
      <c r="CP23" s="243" t="s">
        <v>451</v>
      </c>
      <c r="CQ23" s="244">
        <v>0.53300000000000003</v>
      </c>
      <c r="CR23" s="244">
        <v>1.6199999999999999E-2</v>
      </c>
      <c r="CS23" s="243">
        <v>32.840000000000003</v>
      </c>
      <c r="CT23" s="243" t="s">
        <v>420</v>
      </c>
      <c r="CU23" s="244">
        <v>2E-16</v>
      </c>
      <c r="CV23" s="81" t="s">
        <v>385</v>
      </c>
      <c r="CW23" s="245" t="s">
        <v>460</v>
      </c>
      <c r="CX23" s="248" t="s">
        <v>479</v>
      </c>
      <c r="CY23" s="246" t="s">
        <v>318</v>
      </c>
      <c r="CZ23" s="247">
        <f t="shared" si="12"/>
        <v>0.17</v>
      </c>
      <c r="DA23" s="245" t="s">
        <v>317</v>
      </c>
      <c r="DD23" s="169" t="s">
        <v>460</v>
      </c>
      <c r="DE23" s="275" t="s">
        <v>479</v>
      </c>
      <c r="DF23" s="274" t="s">
        <v>318</v>
      </c>
      <c r="DG23" s="169">
        <f>O$12*$Z$37*$AP$42</f>
        <v>0.66208367156857495</v>
      </c>
      <c r="DH23" s="169" t="s">
        <v>317</v>
      </c>
    </row>
    <row r="24" spans="2:112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0.66489597166888015</v>
      </c>
      <c r="H24" s="176"/>
      <c r="I24" s="177"/>
      <c r="K24" t="s">
        <v>92</v>
      </c>
      <c r="L24" s="208">
        <v>0</v>
      </c>
      <c r="M24" s="209">
        <v>2</v>
      </c>
      <c r="N24" s="209" t="s">
        <v>54</v>
      </c>
      <c r="O24" s="210">
        <f>I13</f>
        <v>3.55</v>
      </c>
      <c r="P24" s="211" t="s">
        <v>50</v>
      </c>
      <c r="Q24" s="30">
        <f t="shared" si="7"/>
        <v>5</v>
      </c>
      <c r="R24" s="30">
        <f t="shared" si="8"/>
        <v>17.75</v>
      </c>
      <c r="S24" s="30">
        <f t="shared" si="18"/>
        <v>0</v>
      </c>
      <c r="T24" s="30">
        <f t="shared" si="19"/>
        <v>0</v>
      </c>
      <c r="U24" s="30">
        <f t="shared" si="20"/>
        <v>0</v>
      </c>
      <c r="V24" s="31"/>
      <c r="W24" s="223"/>
      <c r="X24" s="175"/>
      <c r="Y24" s="176" t="s">
        <v>434</v>
      </c>
      <c r="Z24" s="176">
        <v>0.1</v>
      </c>
      <c r="AA24" s="176">
        <v>0.54</v>
      </c>
      <c r="AB24" s="176">
        <v>1400</v>
      </c>
      <c r="AC24" s="176">
        <v>840</v>
      </c>
      <c r="AD24" s="227">
        <f>Z24/AA24</f>
        <v>0.18518518518518517</v>
      </c>
      <c r="AE24" s="177">
        <f>Z24*AB24*AC24</f>
        <v>117600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SUM(O14)*1/(SUM(AD44:AD46)+1)</f>
        <v>68.374193548387083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22"/>
        <v>68.374193548387083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I24" s="81"/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399</v>
      </c>
      <c r="BU24" s="166">
        <v>-12.4</v>
      </c>
      <c r="BV24" s="166">
        <v>4.4400000000000004</v>
      </c>
      <c r="BW24" s="81">
        <v>-2.8</v>
      </c>
      <c r="BX24" s="81">
        <v>5.1000000000000004E-3</v>
      </c>
      <c r="BY24" s="81" t="s">
        <v>398</v>
      </c>
      <c r="CA24" s="167"/>
      <c r="CB24" s="167"/>
      <c r="CC24" s="167"/>
      <c r="CD24" s="168"/>
      <c r="CE24" s="161"/>
      <c r="CF24" s="167"/>
      <c r="CI24" s="81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8.0999999999999999E-10</v>
      </c>
      <c r="CR24" s="244">
        <v>1.3000000000000001E-8</v>
      </c>
      <c r="CS24" s="243">
        <v>0.06</v>
      </c>
      <c r="CT24" s="244">
        <v>0.95050000000000001</v>
      </c>
      <c r="CV24" s="81"/>
      <c r="CW24" s="245" t="s">
        <v>460</v>
      </c>
      <c r="CX24" s="246" t="s">
        <v>480</v>
      </c>
      <c r="CY24" s="246" t="s">
        <v>318</v>
      </c>
      <c r="CZ24" s="247">
        <f t="shared" si="12"/>
        <v>0.108</v>
      </c>
      <c r="DA24" s="245" t="s">
        <v>317</v>
      </c>
      <c r="DD24" s="169" t="s">
        <v>460</v>
      </c>
      <c r="DE24" s="274" t="s">
        <v>480</v>
      </c>
      <c r="DF24" s="274" t="s">
        <v>318</v>
      </c>
      <c r="DG24" s="169">
        <f>O$13*$Z$37*$AP$42</f>
        <v>0.58034494668356562</v>
      </c>
      <c r="DH24" s="169" t="s">
        <v>317</v>
      </c>
    </row>
    <row r="25" spans="2:112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t="s">
        <v>96</v>
      </c>
      <c r="L25" s="208">
        <v>0</v>
      </c>
      <c r="M25" s="209">
        <v>2</v>
      </c>
      <c r="N25" s="209" t="s">
        <v>20</v>
      </c>
      <c r="O25" s="210">
        <f>'Tabula data'!B7</f>
        <v>90</v>
      </c>
      <c r="P25" s="211" t="s">
        <v>97</v>
      </c>
      <c r="Q25" s="30">
        <f t="shared" si="7"/>
        <v>1.714339326947635</v>
      </c>
      <c r="R25" s="30">
        <f t="shared" si="8"/>
        <v>154.29053942528716</v>
      </c>
      <c r="S25" s="30">
        <f t="shared" si="18"/>
        <v>7013700</v>
      </c>
      <c r="T25" s="30">
        <f t="shared" si="19"/>
        <v>77930</v>
      </c>
      <c r="U25" s="30">
        <f t="shared" si="20"/>
        <v>3800700</v>
      </c>
      <c r="V25" s="31"/>
      <c r="W25" s="223"/>
      <c r="X25" s="187"/>
      <c r="Y25" s="174" t="s">
        <v>433</v>
      </c>
      <c r="Z25" s="174">
        <v>0.02</v>
      </c>
      <c r="AA25" s="174">
        <v>0.6</v>
      </c>
      <c r="AB25" s="174">
        <v>975</v>
      </c>
      <c r="AC25" s="174">
        <v>840</v>
      </c>
      <c r="AD25" s="229">
        <f>Z25/AA25</f>
        <v>3.3333333333333333E-2</v>
      </c>
      <c r="AE25" s="192">
        <f>Z25*AB25*AC25</f>
        <v>16380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I25" s="81"/>
      <c r="BL25" s="167"/>
      <c r="BM25" s="167"/>
      <c r="BN25" s="167"/>
      <c r="BO25" s="168"/>
      <c r="BP25" s="161"/>
      <c r="BQ25" s="167"/>
      <c r="BS25" s="81" t="s">
        <v>373</v>
      </c>
      <c r="BT25" s="81" t="s">
        <v>400</v>
      </c>
      <c r="BU25" s="166">
        <v>-17.8</v>
      </c>
      <c r="BV25" s="166">
        <v>5.5</v>
      </c>
      <c r="BW25" s="81">
        <v>-3.24</v>
      </c>
      <c r="BX25" s="81">
        <v>1.1999999999999999E-3</v>
      </c>
      <c r="BY25" s="81" t="s">
        <v>398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BU53</f>
        <v>0.42799999999999999</v>
      </c>
      <c r="CF25" s="167" t="s">
        <v>317</v>
      </c>
      <c r="CI25" s="81" t="s">
        <v>336</v>
      </c>
      <c r="CJ25" s="239">
        <f t="shared" si="1"/>
        <v>0.20964687111625821</v>
      </c>
      <c r="CK25" s="239">
        <f t="shared" si="2"/>
        <v>0.01</v>
      </c>
      <c r="CL25" s="239">
        <f t="shared" si="3"/>
        <v>0.42799999999999999</v>
      </c>
      <c r="CO25" s="243" t="s">
        <v>373</v>
      </c>
      <c r="CP25" s="243" t="s">
        <v>453</v>
      </c>
      <c r="CQ25" s="244">
        <v>0.41699999999999998</v>
      </c>
      <c r="CR25" s="244">
        <v>9.0699999999999999E-3</v>
      </c>
      <c r="CS25" s="243">
        <v>45.93</v>
      </c>
      <c r="CT25" s="243" t="s">
        <v>420</v>
      </c>
      <c r="CU25" s="244">
        <v>2E-16</v>
      </c>
      <c r="CV25" s="81" t="s">
        <v>385</v>
      </c>
      <c r="CY25" s="246"/>
      <c r="DF25" s="274"/>
    </row>
    <row r="26" spans="2:112" ht="15" customHeight="1" thickTop="1" thickBot="1" x14ac:dyDescent="0.3">
      <c r="B26" s="193" t="s">
        <v>100</v>
      </c>
      <c r="C26" s="199">
        <f>'Tabula data'!B6</f>
        <v>323</v>
      </c>
      <c r="D26" s="198" t="s">
        <v>9</v>
      </c>
      <c r="E26" s="175"/>
      <c r="F26" s="176"/>
      <c r="G26" s="176"/>
      <c r="H26" s="176"/>
      <c r="I26" s="177"/>
      <c r="K26" t="s">
        <v>98</v>
      </c>
      <c r="L26" s="208">
        <v>1</v>
      </c>
      <c r="M26" s="209">
        <v>2</v>
      </c>
      <c r="N26" s="209" t="s">
        <v>99</v>
      </c>
      <c r="O26" s="210">
        <f>O14</f>
        <v>75.699999999999989</v>
      </c>
      <c r="P26" s="211"/>
      <c r="Q26" s="30">
        <f t="shared" si="7"/>
        <v>1.2141280353200883</v>
      </c>
      <c r="R26" s="30">
        <f t="shared" si="8"/>
        <v>91.909492273730663</v>
      </c>
      <c r="S26" s="30">
        <f t="shared" si="18"/>
        <v>4379244.9999999991</v>
      </c>
      <c r="T26" s="30">
        <f t="shared" si="19"/>
        <v>57850</v>
      </c>
      <c r="U26" s="30">
        <f t="shared" si="20"/>
        <v>4379244.9999999991</v>
      </c>
      <c r="V26" s="31"/>
      <c r="W26" s="223"/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SUM(O17:O20,O25)/SUM(O$17:O$25,2*O$28,O$26,O31,2*O29)</f>
        <v>0.20964687111625821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0.20964687111625821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401</v>
      </c>
      <c r="BU26" s="166">
        <v>-18.8</v>
      </c>
      <c r="BV26" s="166">
        <v>6.12</v>
      </c>
      <c r="BW26" s="81">
        <v>-3.06</v>
      </c>
      <c r="BX26" s="81">
        <v>2.2000000000000001E-3</v>
      </c>
      <c r="BY26" s="81" t="s">
        <v>398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 t="shared" ref="CE26:CE27" si="24">BU54</f>
        <v>0.161</v>
      </c>
      <c r="CF26" s="167" t="s">
        <v>317</v>
      </c>
      <c r="CI26" s="81" t="s">
        <v>337</v>
      </c>
      <c r="CJ26" s="239">
        <f t="shared" si="1"/>
        <v>0.67577412872519027</v>
      </c>
      <c r="CK26" s="239">
        <f t="shared" si="2"/>
        <v>1.0200000000000001E-2</v>
      </c>
      <c r="CL26" s="239">
        <f t="shared" si="3"/>
        <v>0.161</v>
      </c>
      <c r="CO26" s="243" t="s">
        <v>373</v>
      </c>
      <c r="CP26" s="243" t="s">
        <v>454</v>
      </c>
      <c r="CQ26" s="244">
        <v>0.42699999999999999</v>
      </c>
      <c r="CR26" s="244">
        <v>9.5499999999999995E-3</v>
      </c>
      <c r="CS26" s="243">
        <v>44.65</v>
      </c>
      <c r="CT26" s="243" t="s">
        <v>420</v>
      </c>
      <c r="CU26" s="244">
        <v>2E-16</v>
      </c>
      <c r="CV26" s="81" t="s">
        <v>385</v>
      </c>
      <c r="CX26" s="246"/>
      <c r="CY26" s="246"/>
      <c r="CZ26" s="247"/>
      <c r="DE26" s="274"/>
      <c r="DF26" s="274"/>
    </row>
    <row r="27" spans="2:112" ht="15" customHeight="1" thickTop="1" thickBot="1" x14ac:dyDescent="0.3">
      <c r="B27" s="175"/>
      <c r="C27" s="191">
        <f>SUM(O6:O25)</f>
        <v>323</v>
      </c>
      <c r="D27" s="177" t="s">
        <v>70</v>
      </c>
      <c r="E27" s="175"/>
      <c r="F27" s="176"/>
      <c r="G27" s="176"/>
      <c r="H27" s="176"/>
      <c r="I27" s="177"/>
      <c r="K27" t="s">
        <v>101</v>
      </c>
      <c r="L27" s="208">
        <v>1</v>
      </c>
      <c r="M27" s="209">
        <v>1</v>
      </c>
      <c r="N27" s="209" t="s">
        <v>85</v>
      </c>
      <c r="O27" s="210">
        <f>SUM(O6:O9)+O30/2</f>
        <v>68.671375389958385</v>
      </c>
      <c r="P27" s="211"/>
      <c r="Q27" s="30">
        <f t="shared" si="7"/>
        <v>1.9926199261992623</v>
      </c>
      <c r="R27" s="30">
        <f t="shared" si="8"/>
        <v>136.8359509615407</v>
      </c>
      <c r="S27" s="30">
        <f t="shared" si="18"/>
        <v>10325428.003634144</v>
      </c>
      <c r="T27" s="30">
        <f t="shared" si="19"/>
        <v>150360</v>
      </c>
      <c r="U27" s="30">
        <f t="shared" si="20"/>
        <v>10325428.003634144</v>
      </c>
      <c r="V27" s="31"/>
      <c r="W27" s="223"/>
      <c r="X27" s="216" t="s">
        <v>99</v>
      </c>
      <c r="Y27" s="217"/>
      <c r="Z27" s="218" t="s">
        <v>21</v>
      </c>
      <c r="AA27" s="219">
        <f>1/(1/10+SUM(AD29:AD32)+1/6)</f>
        <v>1.2141280353200883</v>
      </c>
      <c r="AB27" s="217" t="s">
        <v>5</v>
      </c>
      <c r="AC27" s="217"/>
      <c r="AD27" s="217" t="s">
        <v>22</v>
      </c>
      <c r="AE27" s="220">
        <f>SUM(AE29:AE33)</f>
        <v>57850</v>
      </c>
      <c r="AF27" s="222" t="s">
        <v>23</v>
      </c>
      <c r="AG27" s="222">
        <f>SUM(AE29:AE32)</f>
        <v>57850</v>
      </c>
      <c r="AH27" s="222"/>
      <c r="AM27" s="158" t="s">
        <v>314</v>
      </c>
      <c r="AN27" s="81" t="s">
        <v>315</v>
      </c>
      <c r="AO27" s="81" t="s">
        <v>337</v>
      </c>
      <c r="AP27" s="81">
        <f>SUM(2*O28,2*O29,O31)/SUM(O$17:O$25,2*O$28,O$26,O31,2*O29)</f>
        <v>0.67577412872519027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5">AP27</f>
        <v>0.67577412872519027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6">BE53</f>
        <v>1.0200000000000001E-2</v>
      </c>
      <c r="BQ27" s="167" t="s">
        <v>317</v>
      </c>
      <c r="BS27" s="81" t="s">
        <v>373</v>
      </c>
      <c r="BT27" s="81" t="s">
        <v>402</v>
      </c>
      <c r="BU27" s="166">
        <v>8.2900000000000001E-2</v>
      </c>
      <c r="BV27" s="166">
        <v>2.0799999999999999E-4</v>
      </c>
      <c r="BW27" s="81">
        <v>398.4</v>
      </c>
      <c r="BX27" s="81" t="s">
        <v>384</v>
      </c>
      <c r="BY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 t="shared" si="24"/>
        <v>8.0100000000000005E-2</v>
      </c>
      <c r="CF27" s="167" t="s">
        <v>317</v>
      </c>
      <c r="CI27" s="81" t="s">
        <v>338</v>
      </c>
      <c r="CJ27" s="239">
        <f t="shared" si="1"/>
        <v>1.9733398059017901E-2</v>
      </c>
      <c r="CK27" s="239">
        <f t="shared" si="2"/>
        <v>0.69799999999999995</v>
      </c>
      <c r="CL27" s="239">
        <f t="shared" si="3"/>
        <v>8.0100000000000005E-2</v>
      </c>
      <c r="CO27" s="243" t="s">
        <v>373</v>
      </c>
      <c r="CP27" s="243" t="s">
        <v>455</v>
      </c>
      <c r="CQ27" s="244">
        <v>0.16500000000000001</v>
      </c>
      <c r="CR27" s="244">
        <v>1.1299999999999999E-2</v>
      </c>
      <c r="CS27" s="243">
        <v>14.64</v>
      </c>
      <c r="CT27" s="243" t="s">
        <v>420</v>
      </c>
      <c r="CU27" s="244">
        <v>2E-16</v>
      </c>
      <c r="CV27" s="81" t="s">
        <v>385</v>
      </c>
      <c r="CW27" s="245" t="s">
        <v>460</v>
      </c>
      <c r="CX27" s="246" t="s">
        <v>325</v>
      </c>
      <c r="CY27" s="246" t="s">
        <v>318</v>
      </c>
      <c r="CZ27" s="247">
        <f>CQ32</f>
        <v>23600000</v>
      </c>
      <c r="DA27" s="245" t="s">
        <v>317</v>
      </c>
      <c r="DD27" s="169" t="s">
        <v>460</v>
      </c>
      <c r="DE27" s="274" t="s">
        <v>325</v>
      </c>
      <c r="DF27" s="274" t="s">
        <v>318</v>
      </c>
      <c r="DG27" s="278">
        <f>AP12</f>
        <v>8399671.9999999981</v>
      </c>
      <c r="DH27" s="169" t="s">
        <v>317</v>
      </c>
    </row>
    <row r="28" spans="2:112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t="s">
        <v>102</v>
      </c>
      <c r="L28" s="208">
        <v>2</v>
      </c>
      <c r="M28" s="209">
        <v>2</v>
      </c>
      <c r="N28" s="209" t="s">
        <v>85</v>
      </c>
      <c r="O28" s="210">
        <f>SUM(O17:O20)+O31/2</f>
        <v>136.25416887148947</v>
      </c>
      <c r="P28" s="211"/>
      <c r="Q28" s="30">
        <f>VLOOKUP(N28,$X$5:$AA$392,4,0)</f>
        <v>1.9926199261992623</v>
      </c>
      <c r="R28" s="30">
        <f>Q28*O28</f>
        <v>271.50277192104915</v>
      </c>
      <c r="S28" s="30">
        <f>VLOOKUP(N28,$X$5:$AE$392,8,0)*O28</f>
        <v>20487176.831517156</v>
      </c>
      <c r="T28" s="30">
        <f>S28/O28</f>
        <v>150360</v>
      </c>
      <c r="U28" s="30">
        <f>VLOOKUP(N28,$X$5:$AG$391,10,0)*O28</f>
        <v>20487176.831517156</v>
      </c>
      <c r="V28" s="31"/>
      <c r="X28" s="224"/>
      <c r="Y28" s="225" t="s">
        <v>27</v>
      </c>
      <c r="Z28" s="225" t="s">
        <v>28</v>
      </c>
      <c r="AA28" s="225" t="s">
        <v>29</v>
      </c>
      <c r="AB28" s="225" t="s">
        <v>30</v>
      </c>
      <c r="AC28" s="225" t="s">
        <v>31</v>
      </c>
      <c r="AD28" s="225" t="s">
        <v>32</v>
      </c>
      <c r="AE28" s="226" t="s">
        <v>33</v>
      </c>
      <c r="AF28" s="222"/>
      <c r="AG28" s="222"/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SUM(O21:O24)/SUM(O$17:O$25,2*O$28,O$26,O31,2*O29)</f>
        <v>1.9733398059017901E-2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5"/>
        <v>1.9733398059017901E-2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6"/>
        <v>0.69799999999999995</v>
      </c>
      <c r="BQ28" s="167" t="s">
        <v>317</v>
      </c>
      <c r="BS28" s="81" t="s">
        <v>373</v>
      </c>
      <c r="BT28" s="81" t="s">
        <v>403</v>
      </c>
      <c r="BU28" s="166">
        <v>0.16500000000000001</v>
      </c>
      <c r="BV28" s="166">
        <v>4.26E-4</v>
      </c>
      <c r="BW28" s="81">
        <v>388.6</v>
      </c>
      <c r="BX28" s="81" t="s">
        <v>384</v>
      </c>
      <c r="BY28" s="81" t="s">
        <v>385</v>
      </c>
      <c r="CA28" s="167"/>
      <c r="CB28" s="167"/>
      <c r="CC28" s="167"/>
      <c r="CD28" s="168"/>
      <c r="CE28" s="161"/>
      <c r="CF28" s="167"/>
      <c r="CI28" s="81"/>
      <c r="CJ28" s="240"/>
      <c r="CK28" s="240"/>
      <c r="CL28" s="240"/>
      <c r="CO28" s="243" t="s">
        <v>373</v>
      </c>
      <c r="CP28" s="243" t="s">
        <v>355</v>
      </c>
      <c r="CQ28" s="244">
        <v>5.0400000000000002E-11</v>
      </c>
      <c r="CR28" s="244">
        <v>8.6600000000000001E-10</v>
      </c>
      <c r="CS28" s="243">
        <v>0.06</v>
      </c>
      <c r="CT28" s="243">
        <v>0.9536</v>
      </c>
      <c r="CV28" s="81"/>
      <c r="CW28" s="245" t="s">
        <v>460</v>
      </c>
      <c r="CX28" s="249" t="s">
        <v>322</v>
      </c>
      <c r="CY28" s="246" t="s">
        <v>318</v>
      </c>
      <c r="CZ28" s="247">
        <f t="shared" ref="CZ28:CZ30" si="27">CQ33</f>
        <v>1420000</v>
      </c>
      <c r="DA28" s="245" t="s">
        <v>317</v>
      </c>
      <c r="DD28" s="169" t="s">
        <v>460</v>
      </c>
      <c r="DE28" s="276" t="s">
        <v>322</v>
      </c>
      <c r="DF28" s="274" t="s">
        <v>318</v>
      </c>
      <c r="DG28" s="278">
        <f>AP9</f>
        <v>1095632.3788579016</v>
      </c>
      <c r="DH28" s="169" t="s">
        <v>317</v>
      </c>
    </row>
    <row r="29" spans="2:112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08">
        <v>2</v>
      </c>
      <c r="M29" s="209">
        <v>2</v>
      </c>
      <c r="N29" s="209" t="s">
        <v>99</v>
      </c>
      <c r="O29" s="210">
        <f>C8-C7</f>
        <v>74.500000000000028</v>
      </c>
      <c r="P29" s="211"/>
      <c r="Q29" s="30">
        <f t="shared" ref="Q29:Q31" si="28">VLOOKUP(N29,$X$5:$AA$392,4,0)</f>
        <v>1.2141280353200883</v>
      </c>
      <c r="R29" s="30">
        <f t="shared" ref="R29:R31" si="29">Q29*O29</f>
        <v>90.452538631346613</v>
      </c>
      <c r="S29" s="30">
        <f t="shared" ref="S29:S31" si="30">VLOOKUP(N29,$X$5:$AE$392,8,0)*O29</f>
        <v>4309825.0000000019</v>
      </c>
      <c r="T29" s="30">
        <f t="shared" ref="T29:T31" si="31">S29/O29</f>
        <v>57850</v>
      </c>
      <c r="U29" s="30">
        <f t="shared" ref="U29:U31" si="32">VLOOKUP(N29,$X$5:$AG$391,10,0)*O29</f>
        <v>4309825.0000000019</v>
      </c>
      <c r="X29" s="181"/>
      <c r="Y29" s="182" t="s">
        <v>103</v>
      </c>
      <c r="Z29" s="182">
        <v>0.02</v>
      </c>
      <c r="AA29" s="182">
        <v>0.11</v>
      </c>
      <c r="AB29" s="182">
        <v>550</v>
      </c>
      <c r="AC29" s="182">
        <v>1880</v>
      </c>
      <c r="AD29" s="231">
        <f>Z29/AA29</f>
        <v>0.18181818181818182</v>
      </c>
      <c r="AE29" s="232">
        <f>Z29*AB29*AC29</f>
        <v>20680</v>
      </c>
      <c r="AF29" s="222" t="s">
        <v>104</v>
      </c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404</v>
      </c>
      <c r="BU29" s="166">
        <v>0.71599999999999997</v>
      </c>
      <c r="BV29" s="166">
        <v>3.2699999999999999E-3</v>
      </c>
      <c r="BW29" s="81">
        <v>219.17</v>
      </c>
      <c r="BX29" s="81" t="s">
        <v>384</v>
      </c>
      <c r="BY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BU58</f>
        <v>1470000</v>
      </c>
      <c r="CF29" s="167" t="s">
        <v>317</v>
      </c>
      <c r="CI29" s="81" t="s">
        <v>339</v>
      </c>
      <c r="CJ29" s="241">
        <f t="shared" si="1"/>
        <v>2173896.7411420983</v>
      </c>
      <c r="CK29" s="241">
        <f t="shared" si="2"/>
        <v>3800000</v>
      </c>
      <c r="CL29" s="241">
        <f t="shared" si="3"/>
        <v>1470000</v>
      </c>
      <c r="CO29" s="243" t="s">
        <v>373</v>
      </c>
      <c r="CP29" s="243" t="s">
        <v>456</v>
      </c>
      <c r="CQ29" s="244">
        <v>0.17</v>
      </c>
      <c r="CR29" s="244">
        <v>6.7499999999999999E-3</v>
      </c>
      <c r="CS29" s="243">
        <v>25.16</v>
      </c>
      <c r="CT29" s="243" t="s">
        <v>420</v>
      </c>
      <c r="CU29" s="244">
        <v>2E-16</v>
      </c>
      <c r="CV29" s="81" t="s">
        <v>385</v>
      </c>
      <c r="CW29" s="245" t="s">
        <v>460</v>
      </c>
      <c r="CX29" s="249" t="s">
        <v>323</v>
      </c>
      <c r="CY29" s="246" t="s">
        <v>318</v>
      </c>
      <c r="CZ29" s="247">
        <f t="shared" si="27"/>
        <v>12500000</v>
      </c>
      <c r="DA29" s="245" t="s">
        <v>317</v>
      </c>
      <c r="DD29" s="169" t="s">
        <v>460</v>
      </c>
      <c r="DE29" s="276" t="s">
        <v>323</v>
      </c>
      <c r="DF29" s="274" t="s">
        <v>318</v>
      </c>
      <c r="DG29" s="278">
        <f>AP10</f>
        <v>15779225.678618854</v>
      </c>
      <c r="DH29" s="169" t="s">
        <v>317</v>
      </c>
    </row>
    <row r="30" spans="2:112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 s="208" t="s">
        <v>504</v>
      </c>
      <c r="M30" s="209">
        <v>1</v>
      </c>
      <c r="N30" s="209" t="s">
        <v>505</v>
      </c>
      <c r="O30" s="210">
        <f>'Tabula data'!B19*D43</f>
        <v>59.397553790098286</v>
      </c>
      <c r="P30" s="211"/>
      <c r="Q30" s="30">
        <f t="shared" si="28"/>
        <v>2.5352112676056335</v>
      </c>
      <c r="R30" s="30">
        <f t="shared" si="29"/>
        <v>150.58534763686887</v>
      </c>
      <c r="S30" s="30">
        <f t="shared" si="30"/>
        <v>10203311.790063083</v>
      </c>
      <c r="T30" s="30">
        <f t="shared" si="31"/>
        <v>171780</v>
      </c>
      <c r="U30" s="30">
        <f t="shared" si="32"/>
        <v>10203311.790063083</v>
      </c>
      <c r="X30" s="175"/>
      <c r="Y30" s="176" t="s">
        <v>105</v>
      </c>
      <c r="Z30" s="176">
        <v>0.1</v>
      </c>
      <c r="AA30" s="176"/>
      <c r="AB30" s="176"/>
      <c r="AC30" s="176"/>
      <c r="AD30" s="227">
        <v>0.16</v>
      </c>
      <c r="AE30" s="177">
        <f>Z30*AB30*AC30</f>
        <v>0</v>
      </c>
      <c r="AF30" s="222"/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2173896.7411420983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2173896.7411420983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405</v>
      </c>
      <c r="BU30" s="166">
        <v>5.5E-2</v>
      </c>
      <c r="BV30" s="166">
        <v>1.06E-4</v>
      </c>
      <c r="BW30" s="81">
        <v>518.19000000000005</v>
      </c>
      <c r="BX30" s="81" t="s">
        <v>384</v>
      </c>
      <c r="BY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 t="shared" ref="CE30:CE31" si="33">BU59</f>
        <v>219000000</v>
      </c>
      <c r="CF30" s="167" t="s">
        <v>317</v>
      </c>
      <c r="CI30" s="81" t="s">
        <v>340</v>
      </c>
      <c r="CJ30" s="241">
        <f t="shared" si="1"/>
        <v>35109018.321381137</v>
      </c>
      <c r="CK30" s="241">
        <f t="shared" si="2"/>
        <v>78400000</v>
      </c>
      <c r="CL30" s="241">
        <f t="shared" si="3"/>
        <v>219000000</v>
      </c>
      <c r="CO30" s="243" t="s">
        <v>373</v>
      </c>
      <c r="CP30" s="243" t="s">
        <v>457</v>
      </c>
      <c r="CQ30" s="244">
        <v>0.108</v>
      </c>
      <c r="CR30" s="244">
        <v>6.9800000000000001E-3</v>
      </c>
      <c r="CS30" s="243">
        <v>15.45</v>
      </c>
      <c r="CT30" s="243" t="s">
        <v>420</v>
      </c>
      <c r="CU30" s="244">
        <v>2E-16</v>
      </c>
      <c r="CV30" s="81" t="s">
        <v>385</v>
      </c>
      <c r="CW30" s="245" t="s">
        <v>460</v>
      </c>
      <c r="CX30" s="249" t="s">
        <v>324</v>
      </c>
      <c r="CY30" s="246" t="s">
        <v>318</v>
      </c>
      <c r="CZ30" s="247">
        <f t="shared" si="27"/>
        <v>12600000</v>
      </c>
      <c r="DA30" s="245" t="s">
        <v>317</v>
      </c>
      <c r="DD30" s="169" t="s">
        <v>460</v>
      </c>
      <c r="DE30" s="276" t="s">
        <v>324</v>
      </c>
      <c r="DF30" s="274" t="s">
        <v>318</v>
      </c>
      <c r="DG30" s="278">
        <f>AP11</f>
        <v>20528739.793697227</v>
      </c>
      <c r="DH30" s="169" t="s">
        <v>317</v>
      </c>
    </row>
    <row r="31" spans="2:112" ht="15" customHeight="1" thickTop="1" thickBot="1" x14ac:dyDescent="0.3">
      <c r="L31" s="213" t="s">
        <v>504</v>
      </c>
      <c r="M31" s="214">
        <v>2</v>
      </c>
      <c r="N31" s="214" t="s">
        <v>505</v>
      </c>
      <c r="O31" s="210">
        <f>'Tabula data'!B19*(1-D43)</f>
        <v>117.85353473279741</v>
      </c>
      <c r="P31" s="211"/>
      <c r="Q31" s="30">
        <f t="shared" si="28"/>
        <v>2.5352112676056335</v>
      </c>
      <c r="R31" s="30">
        <f t="shared" si="29"/>
        <v>298.78360918173991</v>
      </c>
      <c r="S31" s="30">
        <f t="shared" si="30"/>
        <v>20244880.196399938</v>
      </c>
      <c r="T31" s="30">
        <f t="shared" si="31"/>
        <v>171780</v>
      </c>
      <c r="U31" s="30">
        <f t="shared" si="32"/>
        <v>20244880.196399938</v>
      </c>
      <c r="X31" s="175"/>
      <c r="Y31" s="176" t="s">
        <v>108</v>
      </c>
      <c r="Z31" s="176">
        <v>0.02</v>
      </c>
      <c r="AA31" s="176">
        <v>0.11</v>
      </c>
      <c r="AB31" s="176">
        <v>550</v>
      </c>
      <c r="AC31" s="176">
        <v>1890</v>
      </c>
      <c r="AD31" s="227">
        <f>Z31/AA31</f>
        <v>0.18181818181818182</v>
      </c>
      <c r="AE31" s="177">
        <f>Z31*AB31*AC31</f>
        <v>20790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35109018.321381137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34">AP31</f>
        <v>35109018.321381137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35">BE58</f>
        <v>78400000</v>
      </c>
      <c r="BQ31" s="167" t="s">
        <v>317</v>
      </c>
      <c r="BS31" s="81" t="s">
        <v>373</v>
      </c>
      <c r="BT31" s="81" t="s">
        <v>406</v>
      </c>
      <c r="BU31" s="166">
        <v>2.8899999999999999E-2</v>
      </c>
      <c r="BV31" s="166">
        <v>1.4300000000000001E-4</v>
      </c>
      <c r="BW31" s="81">
        <v>201.71</v>
      </c>
      <c r="BX31" s="81" t="s">
        <v>384</v>
      </c>
      <c r="BY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 t="shared" si="33"/>
        <v>40000000</v>
      </c>
      <c r="CF31" s="167" t="s">
        <v>317</v>
      </c>
      <c r="CI31" s="81" t="s">
        <v>341</v>
      </c>
      <c r="CJ31" s="241">
        <f t="shared" si="1"/>
        <v>40789907.027917095</v>
      </c>
      <c r="CK31" s="241">
        <f t="shared" si="2"/>
        <v>12500000</v>
      </c>
      <c r="CL31" s="241">
        <f t="shared" si="3"/>
        <v>40000000</v>
      </c>
      <c r="CO31" s="243" t="s">
        <v>373</v>
      </c>
      <c r="CP31" s="243" t="s">
        <v>303</v>
      </c>
      <c r="CQ31" s="244">
        <v>210000000</v>
      </c>
      <c r="CR31" s="244">
        <v>8490000</v>
      </c>
      <c r="CS31" s="243">
        <v>24.69</v>
      </c>
      <c r="CT31" s="244" t="s">
        <v>420</v>
      </c>
      <c r="CU31" s="244">
        <v>2E-16</v>
      </c>
      <c r="CV31" s="81" t="s">
        <v>385</v>
      </c>
      <c r="CY31" s="246"/>
      <c r="DF31" s="274"/>
    </row>
    <row r="32" spans="2:112" ht="15" customHeight="1" thickTop="1" thickBot="1" x14ac:dyDescent="0.3">
      <c r="L32" s="213"/>
      <c r="M32" s="214"/>
      <c r="N32" s="214"/>
      <c r="O32" s="214"/>
      <c r="P32" s="215"/>
      <c r="Q32"/>
      <c r="R32"/>
      <c r="X32" s="187"/>
      <c r="Y32" s="174" t="s">
        <v>80</v>
      </c>
      <c r="Z32" s="174">
        <v>0.02</v>
      </c>
      <c r="AA32" s="174">
        <v>0.6</v>
      </c>
      <c r="AB32" s="174">
        <v>975</v>
      </c>
      <c r="AC32" s="174">
        <v>840</v>
      </c>
      <c r="AD32" s="229">
        <f>Z32/AA32</f>
        <v>3.3333333333333333E-2</v>
      </c>
      <c r="AE32" s="192">
        <f>Z32*AB32*AC32</f>
        <v>16380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SUM(U28,U31,AG27)</f>
        <v>40789907.027917095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34"/>
        <v>40789907.027917095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35"/>
        <v>12500000</v>
      </c>
      <c r="BQ32" s="167" t="s">
        <v>317</v>
      </c>
      <c r="BS32" s="81" t="s">
        <v>373</v>
      </c>
      <c r="BT32" s="81" t="s">
        <v>407</v>
      </c>
      <c r="BU32" s="166">
        <v>505</v>
      </c>
      <c r="BV32" s="166">
        <v>1.79</v>
      </c>
      <c r="BW32" s="81">
        <v>282.55</v>
      </c>
      <c r="BX32" s="81" t="s">
        <v>384</v>
      </c>
      <c r="BY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BU65</f>
        <v>0.16500000000000001</v>
      </c>
      <c r="CF32" s="167" t="s">
        <v>317</v>
      </c>
      <c r="CI32" s="81" t="s">
        <v>342</v>
      </c>
      <c r="CJ32" s="239">
        <f t="shared" si="1"/>
        <v>4.1929374223251645E-2</v>
      </c>
      <c r="CK32" s="239">
        <f t="shared" si="2"/>
        <v>1.6E-2</v>
      </c>
      <c r="CL32" s="239">
        <f t="shared" si="3"/>
        <v>0.16500000000000001</v>
      </c>
      <c r="CO32" s="243" t="s">
        <v>373</v>
      </c>
      <c r="CP32" s="243" t="s">
        <v>299</v>
      </c>
      <c r="CQ32" s="244">
        <v>23600000</v>
      </c>
      <c r="CR32" s="244">
        <v>1490000</v>
      </c>
      <c r="CS32" s="243">
        <v>15.82</v>
      </c>
      <c r="CT32" s="244" t="s">
        <v>420</v>
      </c>
      <c r="CU32" s="244">
        <v>2E-16</v>
      </c>
      <c r="CV32" s="81" t="s">
        <v>385</v>
      </c>
      <c r="CW32" s="245" t="s">
        <v>460</v>
      </c>
      <c r="CX32" s="249" t="s">
        <v>330</v>
      </c>
      <c r="CY32" s="246" t="s">
        <v>318</v>
      </c>
      <c r="CZ32" s="247">
        <f>CQ46</f>
        <v>92.6</v>
      </c>
      <c r="DA32" s="245" t="s">
        <v>317</v>
      </c>
      <c r="DD32" s="169" t="s">
        <v>460</v>
      </c>
      <c r="DE32" s="276" t="s">
        <v>330</v>
      </c>
      <c r="DF32" s="274" t="s">
        <v>318</v>
      </c>
      <c r="DG32" s="169">
        <f>AP19</f>
        <v>152.65231457946646</v>
      </c>
      <c r="DH32" s="169" t="s">
        <v>317</v>
      </c>
    </row>
    <row r="33" spans="2:112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89" t="s">
        <v>112</v>
      </c>
      <c r="G33" s="289"/>
      <c r="H33" s="72" t="s">
        <v>113</v>
      </c>
      <c r="L33"/>
      <c r="M33"/>
      <c r="N33"/>
      <c r="Q33"/>
      <c r="R33"/>
      <c r="X33" s="176"/>
      <c r="Y33" s="176"/>
      <c r="Z33" s="176"/>
      <c r="AA33" s="176"/>
      <c r="AB33" s="176"/>
      <c r="AC33" s="176"/>
      <c r="AD33" s="227"/>
      <c r="AE33" s="176"/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AP26*0.2</f>
        <v>4.1929374223251645E-2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34"/>
        <v>4.1929374223251645E-2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408</v>
      </c>
      <c r="BU33" s="166">
        <v>194</v>
      </c>
      <c r="BV33" s="166">
        <v>0.9</v>
      </c>
      <c r="BW33" s="81">
        <v>216.08</v>
      </c>
      <c r="BX33" s="81" t="s">
        <v>384</v>
      </c>
      <c r="BY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 t="shared" ref="CE33:CE34" si="36">BU66</f>
        <v>5.8500000000000003E-2</v>
      </c>
      <c r="CF33" s="167" t="s">
        <v>317</v>
      </c>
      <c r="CI33" s="81" t="s">
        <v>343</v>
      </c>
      <c r="CJ33" s="239">
        <f t="shared" si="1"/>
        <v>0.13515482574503807</v>
      </c>
      <c r="CK33" s="239">
        <f t="shared" si="2"/>
        <v>4.2999999999999997E-2</v>
      </c>
      <c r="CL33" s="239">
        <f t="shared" si="3"/>
        <v>5.8500000000000003E-2</v>
      </c>
      <c r="CO33" s="243" t="s">
        <v>373</v>
      </c>
      <c r="CP33" s="243" t="s">
        <v>395</v>
      </c>
      <c r="CQ33" s="244">
        <v>1420000</v>
      </c>
      <c r="CR33" s="244">
        <v>11800</v>
      </c>
      <c r="CS33" s="243">
        <v>119.81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37">CQ47</f>
        <v>126</v>
      </c>
      <c r="DA33" s="245" t="s">
        <v>317</v>
      </c>
      <c r="DD33" s="169" t="s">
        <v>460</v>
      </c>
      <c r="DE33" s="276" t="s">
        <v>331</v>
      </c>
      <c r="DF33" s="274" t="s">
        <v>318</v>
      </c>
      <c r="DG33" s="169">
        <f>AP20</f>
        <v>240.86363636363635</v>
      </c>
      <c r="DH33" s="169" t="s">
        <v>317</v>
      </c>
    </row>
    <row r="34" spans="2:112" ht="15" customHeight="1" thickTop="1" thickBot="1" x14ac:dyDescent="0.3">
      <c r="B34" s="73">
        <v>1</v>
      </c>
      <c r="C34" s="74">
        <f>C7*'Tabula data'!E5</f>
        <v>208.20013280212478</v>
      </c>
      <c r="D34" s="73"/>
      <c r="E34" s="73" t="s">
        <v>42</v>
      </c>
      <c r="F34" s="290">
        <v>21</v>
      </c>
      <c r="G34" s="290"/>
      <c r="H34" s="76">
        <f>VLOOKUP(E34,B6:C22,2,0)</f>
        <v>75.699999999999989</v>
      </c>
      <c r="L34"/>
      <c r="M34"/>
      <c r="N34"/>
      <c r="Q34" s="69" t="s">
        <v>106</v>
      </c>
      <c r="R34" s="70">
        <f>SUM(R4:R13)+R14*0.5+SUM(R17:R25)+R16</f>
        <v>712.60164630640475</v>
      </c>
      <c r="S34" s="69" t="s">
        <v>107</v>
      </c>
      <c r="Z34" s="221" t="s">
        <v>4</v>
      </c>
      <c r="AA34" s="221">
        <v>5</v>
      </c>
      <c r="AB34" s="221" t="s">
        <v>5</v>
      </c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AP27*0.2</f>
        <v>0.13515482574503807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34"/>
        <v>0.13515482574503807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38">BE65</f>
        <v>4.2999999999999997E-2</v>
      </c>
      <c r="BQ34" s="167" t="s">
        <v>317</v>
      </c>
      <c r="BS34" s="81" t="s">
        <v>373</v>
      </c>
      <c r="BT34" s="81" t="s">
        <v>290</v>
      </c>
      <c r="BU34" s="166">
        <v>644</v>
      </c>
      <c r="BV34" s="166">
        <v>4.09</v>
      </c>
      <c r="BW34" s="81">
        <v>157.52000000000001</v>
      </c>
      <c r="BX34" s="81" t="s">
        <v>384</v>
      </c>
      <c r="BY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 t="shared" si="36"/>
        <v>0.61199999999999999</v>
      </c>
      <c r="CF34" s="167" t="s">
        <v>317</v>
      </c>
      <c r="CI34" s="81" t="s">
        <v>345</v>
      </c>
      <c r="CJ34" s="239">
        <f t="shared" si="1"/>
        <v>0.80394667961180366</v>
      </c>
      <c r="CK34" s="239">
        <f t="shared" si="2"/>
        <v>0.73</v>
      </c>
      <c r="CL34" s="239">
        <f t="shared" si="3"/>
        <v>0.61199999999999999</v>
      </c>
      <c r="CO34" s="243" t="s">
        <v>373</v>
      </c>
      <c r="CP34" s="243" t="s">
        <v>296</v>
      </c>
      <c r="CQ34" s="244">
        <v>12500000</v>
      </c>
      <c r="CR34" s="244">
        <v>244000</v>
      </c>
      <c r="CS34" s="243">
        <v>51.35</v>
      </c>
      <c r="CT34" s="243" t="s">
        <v>420</v>
      </c>
      <c r="CU34" s="244">
        <v>2E-16</v>
      </c>
      <c r="CV34" s="81" t="s">
        <v>385</v>
      </c>
      <c r="CW34" s="245" t="s">
        <v>460</v>
      </c>
      <c r="CX34" s="250" t="s">
        <v>332</v>
      </c>
      <c r="CY34" s="246" t="s">
        <v>318</v>
      </c>
      <c r="CZ34" s="247">
        <f t="shared" si="37"/>
        <v>356</v>
      </c>
      <c r="DA34" s="245" t="s">
        <v>317</v>
      </c>
      <c r="DD34" s="169" t="s">
        <v>460</v>
      </c>
      <c r="DE34" s="277" t="s">
        <v>332</v>
      </c>
      <c r="DF34" s="274" t="s">
        <v>318</v>
      </c>
      <c r="DG34" s="169">
        <f>AP21</f>
        <v>424.25724955995031</v>
      </c>
      <c r="DH34" s="169" t="s">
        <v>317</v>
      </c>
    </row>
    <row r="35" spans="2:112" ht="15" customHeight="1" thickTop="1" thickBot="1" x14ac:dyDescent="0.3">
      <c r="B35" s="73">
        <v>2</v>
      </c>
      <c r="C35" s="74">
        <f>C4-C34</f>
        <v>413.09986719787514</v>
      </c>
      <c r="D35" s="73"/>
      <c r="E35" s="73" t="s">
        <v>116</v>
      </c>
      <c r="F35" s="77">
        <v>18</v>
      </c>
      <c r="G35" s="77"/>
      <c r="H35" s="76">
        <f>VLOOKUP(E35,B7:C23,2,0)</f>
        <v>150.20000000000002</v>
      </c>
      <c r="L35"/>
      <c r="M35"/>
      <c r="N35"/>
      <c r="Q35"/>
      <c r="R35">
        <f>H4*Z37</f>
        <v>27.405000000000001</v>
      </c>
      <c r="X35" s="216" t="s">
        <v>115</v>
      </c>
      <c r="Y35" s="217"/>
      <c r="Z35" s="218" t="s">
        <v>21</v>
      </c>
      <c r="AA35" s="200">
        <v>5</v>
      </c>
      <c r="AB35" s="217" t="s">
        <v>5</v>
      </c>
      <c r="AC35" s="217"/>
      <c r="AD35" s="217" t="s">
        <v>22</v>
      </c>
      <c r="AE35" s="220">
        <f>SUM(AE36:AE37)</f>
        <v>0</v>
      </c>
      <c r="AF35" s="222" t="s">
        <v>23</v>
      </c>
      <c r="AG35" s="222">
        <f>SUM(AE37:AE38)</f>
        <v>0</v>
      </c>
      <c r="AH35" s="222"/>
      <c r="AM35" s="158" t="s">
        <v>314</v>
      </c>
      <c r="AN35" s="81" t="s">
        <v>315</v>
      </c>
      <c r="AO35" s="81" t="s">
        <v>345</v>
      </c>
      <c r="AP35" s="81">
        <f>AP28*0.2+0.8</f>
        <v>0.80394667961180366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34"/>
        <v>0.80394667961180366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38"/>
        <v>0.73</v>
      </c>
      <c r="BQ35" s="167" t="s">
        <v>317</v>
      </c>
      <c r="BS35" s="81" t="s">
        <v>373</v>
      </c>
      <c r="BT35" s="81" t="s">
        <v>120</v>
      </c>
      <c r="BU35" s="166">
        <v>260</v>
      </c>
      <c r="BV35" s="166">
        <v>2.52</v>
      </c>
      <c r="BW35" s="81">
        <v>103.2</v>
      </c>
      <c r="BX35" s="81" t="s">
        <v>384</v>
      </c>
      <c r="BY35" s="81" t="s">
        <v>385</v>
      </c>
      <c r="CA35" s="167"/>
      <c r="CB35" s="167"/>
      <c r="CC35" s="167"/>
      <c r="CD35" s="168"/>
      <c r="CE35" s="161"/>
      <c r="CF35" s="167"/>
      <c r="CI35" s="81"/>
      <c r="CJ35" s="240"/>
      <c r="CK35" s="240"/>
      <c r="CL35" s="240"/>
      <c r="CO35" s="243" t="s">
        <v>373</v>
      </c>
      <c r="CP35" s="243" t="s">
        <v>298</v>
      </c>
      <c r="CQ35" s="244">
        <v>12600000</v>
      </c>
      <c r="CR35" s="244">
        <v>138000</v>
      </c>
      <c r="CS35" s="243">
        <v>90.91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37"/>
        <v>145</v>
      </c>
      <c r="DA35" s="245" t="s">
        <v>317</v>
      </c>
      <c r="DD35" s="169" t="s">
        <v>460</v>
      </c>
      <c r="DE35" s="277" t="s">
        <v>333</v>
      </c>
      <c r="DF35" s="274" t="s">
        <v>318</v>
      </c>
      <c r="DG35" s="169">
        <f>AP22</f>
        <v>144.16683767153609</v>
      </c>
      <c r="DH35" s="169" t="s">
        <v>317</v>
      </c>
    </row>
    <row r="36" spans="2:112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91" t="s">
        <v>119</v>
      </c>
      <c r="G36" s="291"/>
      <c r="H36" s="76">
        <f>C17</f>
        <v>0</v>
      </c>
      <c r="L36"/>
      <c r="M36"/>
      <c r="N36"/>
      <c r="Q36"/>
      <c r="R36"/>
      <c r="X36" s="181"/>
      <c r="Y36" s="182" t="s">
        <v>435</v>
      </c>
      <c r="Z36" s="182">
        <v>5.8</v>
      </c>
      <c r="AA36" s="182" t="s">
        <v>5</v>
      </c>
      <c r="AB36" s="182"/>
      <c r="AC36" s="182" t="s">
        <v>510</v>
      </c>
      <c r="AD36" s="182">
        <v>2.6</v>
      </c>
      <c r="AE36" s="233"/>
      <c r="AF36" s="222"/>
      <c r="AG36" s="222"/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409</v>
      </c>
      <c r="BU36" s="166">
        <v>-5.4</v>
      </c>
      <c r="BV36" s="166">
        <v>1.5699999999999999E-2</v>
      </c>
      <c r="BW36" s="81">
        <v>-344.27</v>
      </c>
      <c r="BX36" s="81" t="s">
        <v>384</v>
      </c>
      <c r="BY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BU69</f>
        <v>298</v>
      </c>
      <c r="CF36" s="167" t="s">
        <v>317</v>
      </c>
      <c r="CI36" s="81" t="s">
        <v>347</v>
      </c>
      <c r="CJ36" s="242">
        <f t="shared" si="1"/>
        <v>536.28359862673869</v>
      </c>
      <c r="CK36" s="242">
        <f t="shared" si="2"/>
        <v>1350</v>
      </c>
      <c r="CL36" s="242">
        <f t="shared" si="3"/>
        <v>298</v>
      </c>
      <c r="CO36" s="243" t="s">
        <v>373</v>
      </c>
      <c r="CP36" s="243" t="s">
        <v>396</v>
      </c>
      <c r="CQ36" s="244">
        <v>-28.8</v>
      </c>
      <c r="CR36" s="244">
        <v>12.4</v>
      </c>
      <c r="CS36" s="243">
        <v>-2.33</v>
      </c>
      <c r="CT36" s="243">
        <v>1.9900000000000001E-2</v>
      </c>
      <c r="CU36" s="244" t="s">
        <v>418</v>
      </c>
      <c r="CV36" s="81"/>
      <c r="CW36" s="245" t="s">
        <v>460</v>
      </c>
      <c r="CX36" s="251" t="s">
        <v>335</v>
      </c>
      <c r="CY36" s="246" t="s">
        <v>318</v>
      </c>
      <c r="CZ36" s="247">
        <f>CQ58</f>
        <v>263</v>
      </c>
      <c r="DA36" s="245" t="s">
        <v>317</v>
      </c>
      <c r="DD36" s="169" t="s">
        <v>460</v>
      </c>
      <c r="DE36" s="279" t="s">
        <v>335</v>
      </c>
      <c r="DF36" s="274" t="s">
        <v>318</v>
      </c>
      <c r="DG36" s="169">
        <f>AP24</f>
        <v>68.374193548387083</v>
      </c>
      <c r="DH36" s="169" t="s">
        <v>317</v>
      </c>
    </row>
    <row r="37" spans="2:112" ht="15" customHeight="1" thickTop="1" thickBot="1" x14ac:dyDescent="0.3">
      <c r="L37"/>
      <c r="M37"/>
      <c r="N37"/>
      <c r="Q37"/>
      <c r="R37"/>
      <c r="X37" s="187"/>
      <c r="Y37" s="174" t="s">
        <v>436</v>
      </c>
      <c r="Z37" s="174">
        <v>0.87</v>
      </c>
      <c r="AA37" s="174"/>
      <c r="AB37" s="174"/>
      <c r="AC37" s="174" t="s">
        <v>511</v>
      </c>
      <c r="AD37" s="174">
        <v>0.25</v>
      </c>
      <c r="AE37" s="192"/>
      <c r="AF37" s="228" t="s">
        <v>274</v>
      </c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SUM(O17:O20)*(1/(SUM(AD18:AD19)*0.5+1/8))+O25*(1/(SUM(AD9:AD10)+1/8))</f>
        <v>536.28359862673869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536.28359862673869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410</v>
      </c>
      <c r="BU37" s="166">
        <v>-6.41</v>
      </c>
      <c r="BV37" s="166">
        <v>1.4999999999999999E-2</v>
      </c>
      <c r="BW37" s="81">
        <v>-427.68</v>
      </c>
      <c r="BX37" s="81" t="s">
        <v>384</v>
      </c>
      <c r="BY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 t="shared" ref="CE37:CE38" si="39">BU70</f>
        <v>120</v>
      </c>
      <c r="CF37" s="167" t="s">
        <v>317</v>
      </c>
      <c r="CI37" s="81" t="s">
        <v>349</v>
      </c>
      <c r="CJ37" s="242">
        <f t="shared" si="1"/>
        <v>1022.6942302865315</v>
      </c>
      <c r="CK37" s="242">
        <f t="shared" si="2"/>
        <v>372</v>
      </c>
      <c r="CL37" s="242">
        <f t="shared" si="3"/>
        <v>120</v>
      </c>
      <c r="CO37" s="243" t="s">
        <v>373</v>
      </c>
      <c r="CP37" s="243" t="s">
        <v>397</v>
      </c>
      <c r="CQ37" s="244">
        <v>-19.3</v>
      </c>
      <c r="CR37" s="244">
        <v>20.8</v>
      </c>
      <c r="CS37" s="243">
        <v>-0.93</v>
      </c>
      <c r="CT37" s="243">
        <v>0.35420000000000001</v>
      </c>
      <c r="CU37" s="244"/>
      <c r="CV37" s="81"/>
      <c r="CW37" s="245" t="s">
        <v>460</v>
      </c>
      <c r="CX37" s="251" t="s">
        <v>334</v>
      </c>
      <c r="CY37" s="246" t="s">
        <v>318</v>
      </c>
      <c r="CZ37" s="247">
        <f>1/CQ55</f>
        <v>255.7544757033248</v>
      </c>
      <c r="DA37" s="245" t="s">
        <v>317</v>
      </c>
      <c r="DD37" s="169" t="s">
        <v>460</v>
      </c>
      <c r="DE37" s="279" t="s">
        <v>334</v>
      </c>
      <c r="DF37" s="274" t="s">
        <v>318</v>
      </c>
      <c r="DG37" s="169">
        <f>AP23</f>
        <v>196.05767859245145</v>
      </c>
      <c r="DH37" s="169" t="s">
        <v>317</v>
      </c>
    </row>
    <row r="38" spans="2:112" ht="15" customHeight="1" thickTop="1" thickBot="1" x14ac:dyDescent="0.3">
      <c r="C38" s="3"/>
      <c r="L38"/>
      <c r="M38"/>
      <c r="N38" t="s">
        <v>114</v>
      </c>
      <c r="O38" s="3">
        <f>SUM(R6:R9,R15,R17:R20,R25)</f>
        <v>410.41037113861955</v>
      </c>
      <c r="P38" s="3"/>
      <c r="Q38"/>
      <c r="R38"/>
      <c r="AF38" s="222"/>
      <c r="AG38" s="222"/>
      <c r="AH38" s="222"/>
      <c r="AM38" s="158" t="s">
        <v>314</v>
      </c>
      <c r="AN38" s="81" t="s">
        <v>315</v>
      </c>
      <c r="AO38" s="81" t="s">
        <v>349</v>
      </c>
      <c r="AP38" s="81">
        <f>2*AA21*O28+1*O31*AA54+2*O29*AA27</f>
        <v>1022.6942302865315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40">AP38</f>
        <v>1022.6942302865315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41">BE69</f>
        <v>372</v>
      </c>
      <c r="BQ38" s="167" t="s">
        <v>317</v>
      </c>
      <c r="BS38" s="81" t="s">
        <v>373</v>
      </c>
      <c r="BT38" s="81" t="s">
        <v>411</v>
      </c>
      <c r="BU38" s="166">
        <v>-5.92</v>
      </c>
      <c r="BV38" s="166">
        <v>1.8499999999999999E-2</v>
      </c>
      <c r="BW38" s="81">
        <v>-319.37</v>
      </c>
      <c r="BX38" s="81" t="s">
        <v>384</v>
      </c>
      <c r="BY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 t="shared" si="39"/>
        <v>69.5</v>
      </c>
      <c r="CF38" s="167" t="s">
        <v>317</v>
      </c>
      <c r="CI38" s="81" t="s">
        <v>350</v>
      </c>
      <c r="CJ38" s="242">
        <f t="shared" si="1"/>
        <v>144.02887479415671</v>
      </c>
      <c r="CK38" s="242">
        <f t="shared" si="2"/>
        <v>31.9</v>
      </c>
      <c r="CL38" s="242">
        <f t="shared" si="3"/>
        <v>69.5</v>
      </c>
      <c r="CO38" s="243" t="s">
        <v>373</v>
      </c>
      <c r="CP38" s="243" t="s">
        <v>399</v>
      </c>
      <c r="CQ38" s="244">
        <v>-18.2</v>
      </c>
      <c r="CR38" s="244">
        <v>14.8</v>
      </c>
      <c r="CS38" s="243">
        <v>-1.23</v>
      </c>
      <c r="CT38" s="243">
        <v>0.219</v>
      </c>
      <c r="CU38" s="244"/>
      <c r="CV38" s="81"/>
      <c r="CW38" s="245" t="s">
        <v>460</v>
      </c>
      <c r="CX38" s="248" t="s">
        <v>326</v>
      </c>
      <c r="CY38" s="246" t="s">
        <v>318</v>
      </c>
      <c r="CZ38" s="247">
        <f>CQ41</f>
        <v>0.03</v>
      </c>
      <c r="DA38" s="245" t="s">
        <v>317</v>
      </c>
      <c r="DD38" s="169" t="s">
        <v>460</v>
      </c>
      <c r="DE38" s="275" t="s">
        <v>326</v>
      </c>
      <c r="DF38" s="274" t="s">
        <v>318</v>
      </c>
      <c r="DG38" s="169">
        <f>AP14</f>
        <v>1.9347821900905348E-2</v>
      </c>
      <c r="DH38" s="169" t="s">
        <v>317</v>
      </c>
    </row>
    <row r="39" spans="2:112" ht="15" customHeight="1" thickTop="1" thickBot="1" x14ac:dyDescent="0.3">
      <c r="L39"/>
      <c r="M39"/>
      <c r="N39" t="s">
        <v>117</v>
      </c>
      <c r="O39" s="3">
        <f>SUM(R10:R13,R21:R24)</f>
        <v>157.5</v>
      </c>
      <c r="R39"/>
      <c r="Z39" s="221" t="s">
        <v>4</v>
      </c>
      <c r="AA39" s="221">
        <v>0.85</v>
      </c>
      <c r="AB39" s="221" t="s">
        <v>5</v>
      </c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2zone'!B139+SUM(R21:R24)</f>
        <v>144.02887479415671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40"/>
        <v>144.02887479415671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41"/>
        <v>31.9</v>
      </c>
      <c r="BQ39" s="167" t="s">
        <v>317</v>
      </c>
      <c r="BS39" s="81" t="s">
        <v>373</v>
      </c>
      <c r="BT39" s="81" t="s">
        <v>412</v>
      </c>
      <c r="BU39" s="166">
        <v>-5.28</v>
      </c>
      <c r="BV39" s="166">
        <v>1.7000000000000001E-2</v>
      </c>
      <c r="BW39" s="81">
        <v>-310.54000000000002</v>
      </c>
      <c r="BX39" s="81" t="s">
        <v>384</v>
      </c>
      <c r="BY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1/BU76</f>
        <v>9900.9900990099013</v>
      </c>
      <c r="CF39" s="167" t="s">
        <v>317</v>
      </c>
      <c r="CI39" s="81" t="s">
        <v>352</v>
      </c>
      <c r="CJ39" s="242">
        <f t="shared" si="1"/>
        <v>793.12217348184151</v>
      </c>
      <c r="CK39" s="242">
        <f t="shared" si="2"/>
        <v>110.74197120708749</v>
      </c>
      <c r="CL39" s="242">
        <f t="shared" si="3"/>
        <v>9900.9900990099013</v>
      </c>
      <c r="CO39" s="243" t="s">
        <v>373</v>
      </c>
      <c r="CP39" s="243" t="s">
        <v>400</v>
      </c>
      <c r="CQ39" s="244">
        <v>-16.3</v>
      </c>
      <c r="CR39" s="244">
        <v>2.5299999999999998</v>
      </c>
      <c r="CS39" s="243">
        <v>-6.45</v>
      </c>
      <c r="CT39" s="244">
        <v>1.2E-10</v>
      </c>
      <c r="CU39" s="244" t="s">
        <v>385</v>
      </c>
      <c r="CV39" s="81"/>
      <c r="CW39" s="245" t="s">
        <v>460</v>
      </c>
      <c r="CX39" s="249" t="s">
        <v>327</v>
      </c>
      <c r="CY39" s="246" t="s">
        <v>318</v>
      </c>
      <c r="CZ39" s="247">
        <f t="shared" ref="CZ39:CZ42" si="42">CQ42</f>
        <v>0.151</v>
      </c>
      <c r="DA39" s="245" t="s">
        <v>317</v>
      </c>
      <c r="DD39" s="169" t="s">
        <v>460</v>
      </c>
      <c r="DE39" s="276" t="s">
        <v>327</v>
      </c>
      <c r="DF39" s="274" t="s">
        <v>318</v>
      </c>
      <c r="DG39" s="169">
        <f>AP15</f>
        <v>9.7671095091279192E-2</v>
      </c>
      <c r="DH39" s="169" t="s">
        <v>317</v>
      </c>
    </row>
    <row r="40" spans="2:112" ht="15" customHeight="1" thickTop="1" thickBot="1" x14ac:dyDescent="0.3">
      <c r="B40" t="s">
        <v>275</v>
      </c>
      <c r="L40"/>
      <c r="M40"/>
      <c r="N40" t="s">
        <v>120</v>
      </c>
      <c r="O40" s="3">
        <f>'Verwarming Tabula'!B60</f>
        <v>138.03320000000002</v>
      </c>
      <c r="Q40" s="3">
        <f>SUM(U6:U9,U15)/1000000</f>
        <v>19.579925678618856</v>
      </c>
      <c r="R40"/>
      <c r="X40" s="216" t="s">
        <v>63</v>
      </c>
      <c r="Y40" s="217"/>
      <c r="Z40" s="218" t="s">
        <v>21</v>
      </c>
      <c r="AA40" s="219">
        <f>1/(1/10+SUM(AD42:AD46))</f>
        <v>2.8187919463087252</v>
      </c>
      <c r="AB40" s="217" t="s">
        <v>5</v>
      </c>
      <c r="AC40" s="217"/>
      <c r="AD40" s="217" t="s">
        <v>22</v>
      </c>
      <c r="AE40" s="220">
        <f>SUM(AE42:AE46)</f>
        <v>375560</v>
      </c>
      <c r="AF40" s="222" t="s">
        <v>23</v>
      </c>
      <c r="AG40" s="222">
        <f>SUM(AE42:AE43)</f>
        <v>110960</v>
      </c>
      <c r="AH40" s="222"/>
      <c r="AM40" s="158" t="s">
        <v>314</v>
      </c>
      <c r="AN40" s="81" t="s">
        <v>315</v>
      </c>
      <c r="AO40" s="81" t="s">
        <v>352</v>
      </c>
      <c r="AP40" s="81">
        <f>SUM(O17:O20)*1/(SUM(AD15:AD17)+0.5*SUM(AD18:AD19)+1/23)+O25*1/(SUM(AD7:AD8)+1/23)</f>
        <v>793.12217348184151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40"/>
        <v>793.12217348184151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413</v>
      </c>
      <c r="BU40" s="166">
        <v>-6.14</v>
      </c>
      <c r="BV40" s="166">
        <v>1.67E-2</v>
      </c>
      <c r="BW40" s="81">
        <v>-367.45</v>
      </c>
      <c r="BX40" s="81" t="s">
        <v>384</v>
      </c>
      <c r="BY40" s="81" t="s">
        <v>385</v>
      </c>
      <c r="CA40" s="167"/>
      <c r="CB40" s="167"/>
      <c r="CC40" s="167"/>
      <c r="CD40" s="168"/>
      <c r="CE40" s="161"/>
      <c r="CF40" s="167"/>
      <c r="CI40" s="81"/>
      <c r="CJ40" s="240"/>
      <c r="CK40" s="240"/>
      <c r="CL40" s="240"/>
      <c r="CO40" s="243" t="s">
        <v>373</v>
      </c>
      <c r="CP40" s="243" t="s">
        <v>401</v>
      </c>
      <c r="CQ40" s="244">
        <v>-15.6</v>
      </c>
      <c r="CR40" s="244">
        <v>11.5</v>
      </c>
      <c r="CS40" s="243">
        <v>-1.36</v>
      </c>
      <c r="CT40" s="243">
        <v>0.1749</v>
      </c>
      <c r="CU40" s="244"/>
      <c r="CV40" s="81"/>
      <c r="CW40" s="245" t="s">
        <v>460</v>
      </c>
      <c r="CX40" s="249" t="s">
        <v>328</v>
      </c>
      <c r="CY40" s="246" t="s">
        <v>318</v>
      </c>
      <c r="CZ40" s="247">
        <f t="shared" si="42"/>
        <v>0.754</v>
      </c>
      <c r="DA40" s="245" t="s">
        <v>317</v>
      </c>
      <c r="DD40" s="169" t="s">
        <v>460</v>
      </c>
      <c r="DE40" s="276" t="s">
        <v>328</v>
      </c>
      <c r="DF40" s="274" t="s">
        <v>318</v>
      </c>
      <c r="DG40" s="169">
        <f>AP16</f>
        <v>0.80781903713654268</v>
      </c>
      <c r="DH40" s="169" t="s">
        <v>317</v>
      </c>
    </row>
    <row r="41" spans="2:112" ht="15" customHeight="1" thickTop="1" thickBot="1" x14ac:dyDescent="0.3">
      <c r="B41" s="149" t="s">
        <v>276</v>
      </c>
      <c r="L41"/>
      <c r="M41"/>
      <c r="N41"/>
      <c r="O41" s="3"/>
      <c r="Q41" s="3">
        <f>SUM(U26:U27)/1000000</f>
        <v>14.704673003634143</v>
      </c>
      <c r="R41"/>
      <c r="X41" s="224"/>
      <c r="Y41" s="225" t="s">
        <v>27</v>
      </c>
      <c r="Z41" s="225" t="s">
        <v>28</v>
      </c>
      <c r="AA41" s="225" t="s">
        <v>29</v>
      </c>
      <c r="AB41" s="225" t="s">
        <v>30</v>
      </c>
      <c r="AC41" s="225" t="s">
        <v>31</v>
      </c>
      <c r="AD41" s="225" t="s">
        <v>32</v>
      </c>
      <c r="AE41" s="226" t="s">
        <v>33</v>
      </c>
      <c r="AF41" s="222"/>
      <c r="AG41" s="222"/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414</v>
      </c>
      <c r="BU41" s="166">
        <v>5.0199999999999995E-4</v>
      </c>
      <c r="BV41" s="166">
        <v>9.6099999999999995E-6</v>
      </c>
      <c r="BW41" s="81">
        <v>52.22</v>
      </c>
      <c r="BX41" s="81" t="s">
        <v>384</v>
      </c>
      <c r="BY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BU15</f>
        <v>7.9000000000000001E-2</v>
      </c>
      <c r="CF41" s="167" t="s">
        <v>317</v>
      </c>
      <c r="CI41" s="81" t="s">
        <v>353</v>
      </c>
      <c r="CJ41" s="239">
        <f t="shared" si="1"/>
        <v>0.18790511467818219</v>
      </c>
      <c r="CK41" s="239">
        <f t="shared" si="2"/>
        <v>2.8899999999999999E-2</v>
      </c>
      <c r="CL41" s="239">
        <f t="shared" si="3"/>
        <v>7.9000000000000001E-2</v>
      </c>
      <c r="CO41" s="243" t="s">
        <v>373</v>
      </c>
      <c r="CP41" s="243" t="s">
        <v>402</v>
      </c>
      <c r="CQ41" s="244">
        <v>0.03</v>
      </c>
      <c r="CR41" s="244">
        <v>1.7000000000000001E-4</v>
      </c>
      <c r="CS41" s="243">
        <v>176.71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42"/>
        <v>6.3299999999999995E-2</v>
      </c>
      <c r="DA41" s="245" t="s">
        <v>317</v>
      </c>
      <c r="DD41" s="169" t="s">
        <v>460</v>
      </c>
      <c r="DE41" s="274" t="s">
        <v>329</v>
      </c>
      <c r="DF41" s="274" t="s">
        <v>318</v>
      </c>
      <c r="DG41" s="169">
        <f>AP17</f>
        <v>5.6371534403454653E-2</v>
      </c>
      <c r="DH41" s="169" t="s">
        <v>317</v>
      </c>
    </row>
    <row r="42" spans="2:112" ht="15" customHeight="1" thickTop="1" thickBot="1" x14ac:dyDescent="0.3">
      <c r="B42" t="s">
        <v>277</v>
      </c>
      <c r="D42">
        <v>1</v>
      </c>
      <c r="L42"/>
      <c r="M42"/>
      <c r="N42" t="s">
        <v>122</v>
      </c>
      <c r="O42" s="3">
        <f>C4*1.204*1012*5/1000000</f>
        <v>3.7851087119999995</v>
      </c>
      <c r="P42" t="s">
        <v>123</v>
      </c>
      <c r="Q42" s="3">
        <f>U14/1000000</f>
        <v>8.3996719999999989</v>
      </c>
      <c r="R42"/>
      <c r="X42" s="181"/>
      <c r="Y42" s="182" t="s">
        <v>128</v>
      </c>
      <c r="Z42" s="182">
        <v>0.02</v>
      </c>
      <c r="AA42" s="182">
        <v>1.4</v>
      </c>
      <c r="AB42" s="182">
        <v>2100</v>
      </c>
      <c r="AC42" s="182">
        <v>840</v>
      </c>
      <c r="AD42" s="231">
        <f>Z42/AA42</f>
        <v>1.4285714285714287E-2</v>
      </c>
      <c r="AE42" s="232">
        <f>Z42*AB42*AC42</f>
        <v>35280</v>
      </c>
      <c r="AF42" s="222" t="s">
        <v>104</v>
      </c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SUM(O26)/(SUM($O$6:$O$14,$O$26,O30)+2*SUM($O$27))</f>
        <v>0.18790511467818219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0.18790511467818219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415</v>
      </c>
      <c r="BU42" s="166">
        <v>115</v>
      </c>
      <c r="BV42" s="166">
        <v>1.17</v>
      </c>
      <c r="BW42" s="81">
        <v>98.05</v>
      </c>
      <c r="BX42" s="81" t="s">
        <v>384</v>
      </c>
      <c r="BY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BU56</f>
        <v>0.33100000000000002</v>
      </c>
      <c r="CF42" s="167" t="s">
        <v>317</v>
      </c>
      <c r="CI42" s="81" t="s">
        <v>355</v>
      </c>
      <c r="CJ42" s="239">
        <f t="shared" si="1"/>
        <v>9.4845602099533646E-2</v>
      </c>
      <c r="CK42" s="239">
        <f t="shared" si="2"/>
        <v>9.7500000000000003E-2</v>
      </c>
      <c r="CL42" s="239">
        <f t="shared" si="3"/>
        <v>0.33100000000000002</v>
      </c>
      <c r="CO42" s="243" t="s">
        <v>373</v>
      </c>
      <c r="CP42" s="243" t="s">
        <v>403</v>
      </c>
      <c r="CQ42" s="244">
        <v>0.151</v>
      </c>
      <c r="CR42" s="244">
        <v>7.4299999999999995E-4</v>
      </c>
      <c r="CS42" s="243">
        <v>202.93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42"/>
        <v>2.7699999999999999E-2</v>
      </c>
      <c r="DA42" s="245" t="s">
        <v>317</v>
      </c>
      <c r="DD42" s="169" t="s">
        <v>460</v>
      </c>
      <c r="DE42" s="274" t="s">
        <v>430</v>
      </c>
      <c r="DF42" s="274" t="s">
        <v>318</v>
      </c>
      <c r="DG42" s="169">
        <f>AP46</f>
        <v>3.7581022935636442E-2</v>
      </c>
      <c r="DH42" s="169" t="s">
        <v>317</v>
      </c>
    </row>
    <row r="43" spans="2:112" ht="15" customHeight="1" thickTop="1" thickBot="1" x14ac:dyDescent="0.3">
      <c r="B43" t="s">
        <v>278</v>
      </c>
      <c r="D43">
        <f>C7/C6</f>
        <v>0.33510402833111991</v>
      </c>
      <c r="E43" t="s">
        <v>279</v>
      </c>
      <c r="L43"/>
      <c r="M43"/>
      <c r="N43" t="s">
        <v>124</v>
      </c>
      <c r="O43" s="3">
        <f>SUM(S6:S9,S15)/1000000</f>
        <v>24.546692610889771</v>
      </c>
      <c r="P43" t="s">
        <v>125</v>
      </c>
      <c r="Q43"/>
      <c r="R43"/>
      <c r="X43" s="175"/>
      <c r="Y43" s="176" t="s">
        <v>129</v>
      </c>
      <c r="Z43" s="176">
        <v>0.08</v>
      </c>
      <c r="AA43" s="176">
        <v>0.6</v>
      </c>
      <c r="AB43" s="176">
        <v>1100</v>
      </c>
      <c r="AC43" s="176">
        <v>860</v>
      </c>
      <c r="AD43" s="227">
        <f>Z43/AA43</f>
        <v>0.13333333333333333</v>
      </c>
      <c r="AE43" s="177">
        <f>Z43*AB43*AC43</f>
        <v>75680</v>
      </c>
      <c r="AF43" s="222"/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SUM(O26)/SUM(O$17:O$25,2*O$28,O$26,O31,2*O29)</f>
        <v>9.4845602099533646E-2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43">AP43</f>
        <v>9.4845602099533646E-2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416</v>
      </c>
      <c r="BU43" s="166">
        <v>9960</v>
      </c>
      <c r="BV43" s="166">
        <v>166</v>
      </c>
      <c r="BW43" s="81">
        <v>60.14</v>
      </c>
      <c r="BX43" s="81" t="s">
        <v>384</v>
      </c>
      <c r="BY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BU88</f>
        <v>139000000</v>
      </c>
      <c r="CF43" s="167" t="s">
        <v>317</v>
      </c>
      <c r="CI43" s="81" t="s">
        <v>357</v>
      </c>
      <c r="CJ43" s="241">
        <f t="shared" si="1"/>
        <v>2189622.4999999995</v>
      </c>
      <c r="CK43" s="241">
        <f t="shared" si="2"/>
        <v>248000</v>
      </c>
      <c r="CL43" s="241">
        <f t="shared" si="3"/>
        <v>139000000</v>
      </c>
      <c r="CO43" s="243" t="s">
        <v>373</v>
      </c>
      <c r="CP43" s="243" t="s">
        <v>404</v>
      </c>
      <c r="CQ43" s="244">
        <v>0.754</v>
      </c>
      <c r="CR43" s="244">
        <v>2.1099999999999999E-3</v>
      </c>
      <c r="CS43" s="243">
        <v>357.32</v>
      </c>
      <c r="CT43" s="243" t="s">
        <v>420</v>
      </c>
      <c r="CU43" s="244">
        <v>2E-16</v>
      </c>
      <c r="CV43" s="81" t="s">
        <v>385</v>
      </c>
      <c r="CY43" s="246"/>
      <c r="DF43" s="274"/>
    </row>
    <row r="44" spans="2:112" ht="15" customHeight="1" thickTop="1" thickBot="1" x14ac:dyDescent="0.3">
      <c r="B44" t="s">
        <v>282</v>
      </c>
      <c r="D44">
        <v>0.7</v>
      </c>
      <c r="F44" s="79"/>
      <c r="L44"/>
      <c r="M44"/>
      <c r="N44" t="s">
        <v>126</v>
      </c>
      <c r="O44" s="3">
        <f>SUM(S26:S27)/1000000</f>
        <v>14.704673003634143</v>
      </c>
      <c r="P44" t="s">
        <v>125</v>
      </c>
      <c r="Q44"/>
      <c r="R44"/>
      <c r="X44" s="175"/>
      <c r="Y44" s="176" t="s">
        <v>280</v>
      </c>
      <c r="Z44" s="176">
        <v>0</v>
      </c>
      <c r="AA44" s="176">
        <v>3.5999999999999997E-2</v>
      </c>
      <c r="AB44" s="176">
        <v>30</v>
      </c>
      <c r="AC44" s="176">
        <v>1470</v>
      </c>
      <c r="AD44" s="227">
        <f>Z44/AA44</f>
        <v>0</v>
      </c>
      <c r="AE44" s="177">
        <f>Z44*AB44*AC44</f>
        <v>0</v>
      </c>
      <c r="AF44" s="228" t="s">
        <v>281</v>
      </c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2189622.4999999995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43"/>
        <v>2189622.4999999995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BS44" s="81" t="s">
        <v>373</v>
      </c>
      <c r="BT44" s="81" t="s">
        <v>417</v>
      </c>
      <c r="BU44" s="166">
        <v>530</v>
      </c>
      <c r="BV44" s="166">
        <v>250</v>
      </c>
      <c r="BW44" s="81">
        <v>2.12</v>
      </c>
      <c r="BX44" s="81">
        <v>3.3700000000000001E-2</v>
      </c>
      <c r="BY44" s="81" t="s">
        <v>418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BU89</f>
        <v>18800000</v>
      </c>
      <c r="CF44" s="167" t="s">
        <v>317</v>
      </c>
      <c r="CI44" s="81" t="s">
        <v>359</v>
      </c>
      <c r="CJ44" s="241">
        <f t="shared" si="1"/>
        <v>2189622.4999999995</v>
      </c>
      <c r="CK44" s="241">
        <f t="shared" si="2"/>
        <v>6990000</v>
      </c>
      <c r="CL44" s="241">
        <f t="shared" si="3"/>
        <v>18800000</v>
      </c>
      <c r="CO44" s="243" t="s">
        <v>373</v>
      </c>
      <c r="CP44" s="243" t="s">
        <v>405</v>
      </c>
      <c r="CQ44" s="244">
        <v>6.3299999999999995E-2</v>
      </c>
      <c r="CR44" s="244">
        <v>2.9300000000000002E-4</v>
      </c>
      <c r="CS44" s="243">
        <v>216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3.32E-8</v>
      </c>
      <c r="DA44" s="245" t="s">
        <v>317</v>
      </c>
      <c r="DD44" s="169" t="s">
        <v>460</v>
      </c>
      <c r="DE44" s="279" t="s">
        <v>482</v>
      </c>
      <c r="DF44" s="274" t="s">
        <v>318</v>
      </c>
      <c r="DG44" s="169">
        <f>O$11*$Z$37*$AP$26</f>
        <v>0.72045147259102138</v>
      </c>
      <c r="DH44" s="169" t="s">
        <v>317</v>
      </c>
    </row>
    <row r="45" spans="2:112" ht="15" customHeight="1" thickTop="1" thickBot="1" x14ac:dyDescent="0.3">
      <c r="B45" t="s">
        <v>283</v>
      </c>
      <c r="D45">
        <v>0.5</v>
      </c>
      <c r="F45" s="79"/>
      <c r="L45"/>
      <c r="M45"/>
      <c r="N45" t="s">
        <v>127</v>
      </c>
      <c r="O45" s="3">
        <f>S14/1000000</f>
        <v>28.429891999999995</v>
      </c>
      <c r="Q45"/>
      <c r="R45"/>
      <c r="X45" s="175"/>
      <c r="Y45" s="176" t="s">
        <v>131</v>
      </c>
      <c r="Z45" s="176">
        <v>0.15</v>
      </c>
      <c r="AA45" s="176">
        <v>1.4</v>
      </c>
      <c r="AB45" s="176">
        <v>2100</v>
      </c>
      <c r="AC45" s="176">
        <v>840</v>
      </c>
      <c r="AD45" s="227">
        <f>Z45/AA45</f>
        <v>0.10714285714285715</v>
      </c>
      <c r="AE45" s="177">
        <f>Z45*AB45*AC45</f>
        <v>264600</v>
      </c>
      <c r="AF45" s="222"/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2189622.4999999995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43"/>
        <v>2189622.4999999995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F45" s="81"/>
      <c r="BG45" s="81"/>
      <c r="BH45" s="81"/>
      <c r="BI45" s="81"/>
      <c r="BJ45" s="81"/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BU31</f>
        <v>2.8899999999999999E-2</v>
      </c>
      <c r="CF45" s="167" t="s">
        <v>317</v>
      </c>
      <c r="CI45" s="81" t="s">
        <v>361</v>
      </c>
      <c r="CJ45" s="239">
        <f t="shared" si="1"/>
        <v>3.7581022935636442E-2</v>
      </c>
      <c r="CK45" s="239">
        <f t="shared" si="2"/>
        <v>1.9E-2</v>
      </c>
      <c r="CL45" s="239">
        <f t="shared" si="3"/>
        <v>2.8899999999999999E-2</v>
      </c>
      <c r="CO45" s="243" t="s">
        <v>373</v>
      </c>
      <c r="CP45" s="243" t="s">
        <v>406</v>
      </c>
      <c r="CQ45" s="244">
        <v>2.7699999999999999E-2</v>
      </c>
      <c r="CR45" s="244">
        <v>2.0900000000000001E-4</v>
      </c>
      <c r="CS45" s="243">
        <v>132.6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44">CQ69</f>
        <v>0.432</v>
      </c>
      <c r="DA45" s="245" t="s">
        <v>317</v>
      </c>
      <c r="DD45" s="169" t="s">
        <v>460</v>
      </c>
      <c r="DE45" s="279" t="s">
        <v>483</v>
      </c>
      <c r="DF45" s="274" t="s">
        <v>318</v>
      </c>
      <c r="DG45" s="169">
        <f>O$10*$Z$37*$AP$26</f>
        <v>0.7660496670588075</v>
      </c>
      <c r="DH45" s="169" t="s">
        <v>317</v>
      </c>
    </row>
    <row r="46" spans="2:112" ht="15" customHeight="1" thickTop="1" thickBot="1" x14ac:dyDescent="0.3">
      <c r="L46"/>
      <c r="M46"/>
      <c r="N46"/>
      <c r="Q46"/>
      <c r="R46"/>
      <c r="X46" s="187"/>
      <c r="Y46" s="174" t="s">
        <v>132</v>
      </c>
      <c r="Z46" s="174">
        <v>0</v>
      </c>
      <c r="AA46" s="174">
        <v>0.02</v>
      </c>
      <c r="AB46" s="174">
        <v>30</v>
      </c>
      <c r="AC46" s="174">
        <v>1470</v>
      </c>
      <c r="AD46" s="229">
        <f>Z46/AA46</f>
        <v>0</v>
      </c>
      <c r="AE46" s="192">
        <f>Z46*AB46*AC46</f>
        <v>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AP42*0.2</f>
        <v>3.7581022935636442E-2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43"/>
        <v>3.7581022935636442E-2</v>
      </c>
      <c r="BA46" s="167" t="s">
        <v>317</v>
      </c>
      <c r="BC46" s="81" t="s">
        <v>373</v>
      </c>
      <c r="BD46" s="81" t="s">
        <v>376</v>
      </c>
      <c r="BE46" s="81"/>
      <c r="BF46" s="81"/>
      <c r="BG46" s="81"/>
      <c r="BH46" s="81"/>
      <c r="BI46" s="81"/>
      <c r="BJ46" s="81"/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374</v>
      </c>
      <c r="BU46" s="81" t="s">
        <v>419</v>
      </c>
      <c r="BV46" s="81"/>
      <c r="BW46" s="81"/>
      <c r="BX46" s="81"/>
      <c r="BY46" s="81"/>
      <c r="BZ46" s="81"/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BU68</f>
        <v>0.11700000000000001</v>
      </c>
      <c r="CF46" s="167" t="s">
        <v>317</v>
      </c>
      <c r="CI46" s="81" t="s">
        <v>363</v>
      </c>
      <c r="CJ46" s="239">
        <f t="shared" si="1"/>
        <v>1.896912041990673E-2</v>
      </c>
      <c r="CK46" s="239">
        <f t="shared" si="2"/>
        <v>0.184</v>
      </c>
      <c r="CL46" s="239">
        <f t="shared" si="3"/>
        <v>0.11700000000000001</v>
      </c>
      <c r="CO46" s="243" t="s">
        <v>373</v>
      </c>
      <c r="CP46" s="243" t="s">
        <v>407</v>
      </c>
      <c r="CQ46" s="244">
        <v>92.6</v>
      </c>
      <c r="CR46" s="244">
        <v>0.377</v>
      </c>
      <c r="CS46" s="243">
        <v>245.43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44"/>
        <v>0.41399999999999998</v>
      </c>
      <c r="DA46" s="245" t="s">
        <v>317</v>
      </c>
      <c r="DD46" s="169" t="s">
        <v>460</v>
      </c>
      <c r="DE46" s="279" t="s">
        <v>484</v>
      </c>
      <c r="DF46" s="274" t="s">
        <v>318</v>
      </c>
      <c r="DG46" s="169">
        <f>O$12*$Z$37*$AP$26</f>
        <v>0.73869075037813581</v>
      </c>
      <c r="DH46" s="169" t="s">
        <v>317</v>
      </c>
    </row>
    <row r="47" spans="2:112" ht="15" customHeight="1" thickTop="1" thickBot="1" x14ac:dyDescent="0.3">
      <c r="C47" s="3"/>
      <c r="L47"/>
      <c r="M47"/>
      <c r="N47"/>
      <c r="Q47"/>
      <c r="R47"/>
      <c r="X47" s="176"/>
      <c r="Y47" s="176"/>
      <c r="Z47" s="176"/>
      <c r="AA47" s="176"/>
      <c r="AB47" s="176"/>
      <c r="AC47" s="176"/>
      <c r="AD47" s="227"/>
      <c r="AE47" s="176"/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AP43*0.2</f>
        <v>1.896912041990673E-2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43"/>
        <v>1.896912041990673E-2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J47" s="81"/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376</v>
      </c>
      <c r="BU47" s="81"/>
      <c r="BV47" s="81"/>
      <c r="BW47" s="81"/>
      <c r="BX47" s="81"/>
      <c r="BY47" s="81"/>
      <c r="BZ47" s="81"/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BU94</f>
        <v>192</v>
      </c>
      <c r="CF47" s="167" t="s">
        <v>317</v>
      </c>
      <c r="CI47" s="81" t="s">
        <v>365</v>
      </c>
      <c r="CJ47" s="242">
        <f t="shared" si="1"/>
        <v>367.63796909492265</v>
      </c>
      <c r="CK47" s="242">
        <f t="shared" si="2"/>
        <v>476</v>
      </c>
      <c r="CL47" s="242">
        <f t="shared" si="3"/>
        <v>192</v>
      </c>
      <c r="CO47" s="243" t="s">
        <v>373</v>
      </c>
      <c r="CP47" s="243" t="s">
        <v>408</v>
      </c>
      <c r="CQ47" s="244">
        <v>126</v>
      </c>
      <c r="CR47" s="244">
        <v>0.65400000000000003</v>
      </c>
      <c r="CS47" s="243">
        <v>192.74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44"/>
        <v>0.56999999999999995</v>
      </c>
      <c r="DA47" s="245" t="s">
        <v>317</v>
      </c>
      <c r="DD47" s="169" t="s">
        <v>460</v>
      </c>
      <c r="DE47" s="279" t="s">
        <v>485</v>
      </c>
      <c r="DF47" s="274" t="s">
        <v>318</v>
      </c>
      <c r="DG47" s="169">
        <f>O$13*$Z$37*$AP$26</f>
        <v>0.64749436144256345</v>
      </c>
      <c r="DH47" s="169" t="s">
        <v>317</v>
      </c>
    </row>
    <row r="48" spans="2:112" ht="15" customHeight="1" thickTop="1" thickBot="1" x14ac:dyDescent="0.3">
      <c r="C48" s="3"/>
      <c r="L48"/>
      <c r="M48"/>
      <c r="N48"/>
      <c r="Q48"/>
      <c r="R48"/>
      <c r="Z48" s="221" t="s">
        <v>4</v>
      </c>
      <c r="AA48" s="221">
        <v>4</v>
      </c>
      <c r="AB48" s="221" t="s">
        <v>5</v>
      </c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AA27*4*O26</f>
        <v>367.63796909492265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43"/>
        <v>367.63796909492265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377</v>
      </c>
      <c r="BU48" s="81" t="s">
        <v>378</v>
      </c>
      <c r="BV48" s="81" t="s">
        <v>379</v>
      </c>
      <c r="BW48" s="81" t="s">
        <v>380</v>
      </c>
      <c r="BX48" s="81" t="s">
        <v>381</v>
      </c>
      <c r="BY48" s="81" t="s">
        <v>382</v>
      </c>
      <c r="BZ48" s="81"/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BU95</f>
        <v>2.63E-4</v>
      </c>
      <c r="CF48" s="167" t="s">
        <v>317</v>
      </c>
      <c r="CI48" s="81" t="s">
        <v>367</v>
      </c>
      <c r="CJ48" s="242">
        <f t="shared" si="1"/>
        <v>183.81898454746133</v>
      </c>
      <c r="CK48" s="242">
        <f t="shared" si="2"/>
        <v>3410</v>
      </c>
      <c r="CL48" s="242">
        <f t="shared" si="3"/>
        <v>2.63E-4</v>
      </c>
      <c r="CO48" s="243" t="s">
        <v>373</v>
      </c>
      <c r="CP48" s="243" t="s">
        <v>290</v>
      </c>
      <c r="CQ48" s="244">
        <v>356</v>
      </c>
      <c r="CR48" s="244">
        <v>1.73</v>
      </c>
      <c r="CS48" s="243">
        <v>206.14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44"/>
        <v>1.88</v>
      </c>
      <c r="DA48" s="245" t="s">
        <v>317</v>
      </c>
      <c r="DD48" s="169" t="s">
        <v>460</v>
      </c>
      <c r="DE48" s="279" t="s">
        <v>486</v>
      </c>
      <c r="DF48" s="274" t="s">
        <v>318</v>
      </c>
      <c r="DG48" s="169">
        <f>O$11*$Z$37*$AP$27</f>
        <v>2.3222977933641165</v>
      </c>
      <c r="DH48" s="169" t="s">
        <v>317</v>
      </c>
    </row>
    <row r="49" spans="3:112" ht="15" customHeight="1" thickTop="1" thickBot="1" x14ac:dyDescent="0.3">
      <c r="C49" s="3"/>
      <c r="L49"/>
      <c r="M49"/>
      <c r="N49"/>
      <c r="Q49"/>
      <c r="R49"/>
      <c r="X49" s="216" t="s">
        <v>68</v>
      </c>
      <c r="Y49" s="217"/>
      <c r="Z49" s="218" t="s">
        <v>21</v>
      </c>
      <c r="AA49" s="200">
        <v>4</v>
      </c>
      <c r="AB49" s="217" t="s">
        <v>5</v>
      </c>
      <c r="AC49" s="217"/>
      <c r="AD49" s="217" t="s">
        <v>22</v>
      </c>
      <c r="AE49" s="220">
        <f>0.04*550*1660</f>
        <v>36520</v>
      </c>
      <c r="AF49" s="222" t="s">
        <v>23</v>
      </c>
      <c r="AG49" s="222">
        <f>SUM(AE52:AE53)</f>
        <v>0</v>
      </c>
      <c r="AH49" s="222"/>
      <c r="AM49" s="158" t="s">
        <v>314</v>
      </c>
      <c r="AN49" s="81" t="s">
        <v>315</v>
      </c>
      <c r="AO49" s="81" t="s">
        <v>367</v>
      </c>
      <c r="AP49" s="81">
        <f>AP50/2</f>
        <v>183.81898454746133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43"/>
        <v>183.81898454746133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45">BE95</f>
        <v>3410</v>
      </c>
      <c r="BQ49" s="167" t="s">
        <v>317</v>
      </c>
      <c r="BS49" s="81" t="s">
        <v>373</v>
      </c>
      <c r="BT49" s="81" t="s">
        <v>383</v>
      </c>
      <c r="BU49" s="166">
        <v>289</v>
      </c>
      <c r="BV49" s="166">
        <v>0.14899999999999999</v>
      </c>
      <c r="BW49" s="81">
        <v>1944.91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BU96</f>
        <v>389</v>
      </c>
      <c r="CF49" s="167" t="s">
        <v>317</v>
      </c>
      <c r="CI49" s="81" t="s">
        <v>369</v>
      </c>
      <c r="CJ49" s="242">
        <f t="shared" si="1"/>
        <v>367.63796909492265</v>
      </c>
      <c r="CK49" s="242">
        <f t="shared" si="2"/>
        <v>989</v>
      </c>
      <c r="CL49" s="242">
        <f t="shared" si="3"/>
        <v>389</v>
      </c>
      <c r="CO49" s="243" t="s">
        <v>373</v>
      </c>
      <c r="CP49" s="243" t="s">
        <v>120</v>
      </c>
      <c r="CQ49" s="244">
        <v>145</v>
      </c>
      <c r="CR49" s="244">
        <v>0.51700000000000002</v>
      </c>
      <c r="CS49" s="243">
        <v>280.81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44"/>
        <v>1.67</v>
      </c>
      <c r="DA49" s="245" t="s">
        <v>317</v>
      </c>
      <c r="DD49" s="169" t="s">
        <v>460</v>
      </c>
      <c r="DE49" s="279" t="s">
        <v>487</v>
      </c>
      <c r="DF49" s="274" t="s">
        <v>318</v>
      </c>
      <c r="DG49" s="169">
        <f>O$10*$Z$37*$AP$27</f>
        <v>2.4692786663618453</v>
      </c>
      <c r="DH49" s="169" t="s">
        <v>317</v>
      </c>
    </row>
    <row r="50" spans="3:112" ht="15" customHeight="1" thickTop="1" thickBot="1" x14ac:dyDescent="0.3">
      <c r="L50"/>
      <c r="M50"/>
      <c r="N50"/>
      <c r="Q50"/>
      <c r="R50"/>
      <c r="X50" s="224"/>
      <c r="Y50" s="225" t="s">
        <v>27</v>
      </c>
      <c r="Z50" s="225" t="s">
        <v>28</v>
      </c>
      <c r="AA50" s="225" t="s">
        <v>29</v>
      </c>
      <c r="AB50" s="225" t="s">
        <v>30</v>
      </c>
      <c r="AC50" s="225" t="s">
        <v>31</v>
      </c>
      <c r="AD50" s="225" t="s">
        <v>32</v>
      </c>
      <c r="AE50" s="226" t="s">
        <v>33</v>
      </c>
      <c r="AF50" s="222"/>
      <c r="AG50" s="222"/>
      <c r="AH50" s="222"/>
      <c r="AM50" s="158" t="s">
        <v>314</v>
      </c>
      <c r="AN50" s="81" t="s">
        <v>315</v>
      </c>
      <c r="AO50" s="81" t="s">
        <v>369</v>
      </c>
      <c r="AP50" s="81">
        <f>AP48</f>
        <v>367.63796909492265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43"/>
        <v>367.63796909492265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45"/>
        <v>989</v>
      </c>
      <c r="BQ50" s="167" t="s">
        <v>317</v>
      </c>
      <c r="BS50" s="81" t="s">
        <v>373</v>
      </c>
      <c r="BT50" s="81" t="s">
        <v>386</v>
      </c>
      <c r="BU50" s="166">
        <v>282</v>
      </c>
      <c r="BV50" s="166">
        <v>0.17299999999999999</v>
      </c>
      <c r="BW50" s="81">
        <v>1635.35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-5.69</v>
      </c>
      <c r="CR50" s="244">
        <v>1.49E-2</v>
      </c>
      <c r="CS50" s="243">
        <v>-381.92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44"/>
        <v>1.72</v>
      </c>
      <c r="DA50" s="245" t="s">
        <v>317</v>
      </c>
      <c r="DD50" s="169" t="s">
        <v>460</v>
      </c>
      <c r="DE50" s="279" t="s">
        <v>488</v>
      </c>
      <c r="DF50" s="274" t="s">
        <v>318</v>
      </c>
      <c r="DG50" s="169">
        <f>O$12*$Z$37*$AP$27</f>
        <v>2.3810901425632078</v>
      </c>
      <c r="DH50" s="169" t="s">
        <v>317</v>
      </c>
    </row>
    <row r="51" spans="3:112" ht="15" customHeight="1" thickTop="1" thickBot="1" x14ac:dyDescent="0.3">
      <c r="L51"/>
      <c r="M51"/>
      <c r="N51"/>
      <c r="Q51"/>
      <c r="R51"/>
      <c r="X51" s="181"/>
      <c r="Y51" s="182" t="s">
        <v>16</v>
      </c>
      <c r="Z51" s="182">
        <v>4</v>
      </c>
      <c r="AA51" s="182" t="s">
        <v>5</v>
      </c>
      <c r="AB51" s="182"/>
      <c r="AC51" s="182" t="s">
        <v>308</v>
      </c>
      <c r="AD51" s="182">
        <f>0.11*(1/AA49-1/23-1/8)</f>
        <v>8.9673913043478264E-3</v>
      </c>
      <c r="AE51" s="233"/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387</v>
      </c>
      <c r="BU51" s="166">
        <v>292</v>
      </c>
      <c r="BV51" s="166">
        <v>0.111</v>
      </c>
      <c r="BW51" s="81">
        <v>2622.7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-6.34</v>
      </c>
      <c r="CR51" s="244">
        <v>1.4500000000000001E-2</v>
      </c>
      <c r="CS51" s="243">
        <v>-438.31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44"/>
        <v>0.86499999999999999</v>
      </c>
      <c r="DA51" s="245" t="s">
        <v>317</v>
      </c>
      <c r="DD51" s="169" t="s">
        <v>460</v>
      </c>
      <c r="DE51" s="279" t="s">
        <v>489</v>
      </c>
      <c r="DF51" s="274" t="s">
        <v>318</v>
      </c>
      <c r="DG51" s="169">
        <f>O$13*$Z$37*$AP$27</f>
        <v>2.0871283965677501</v>
      </c>
      <c r="DH51" s="169" t="s">
        <v>317</v>
      </c>
    </row>
    <row r="52" spans="3:112" thickTop="1" thickBot="1" x14ac:dyDescent="0.3">
      <c r="L52"/>
      <c r="M52"/>
      <c r="N52"/>
      <c r="X52" s="187"/>
      <c r="Y52" s="174" t="s">
        <v>121</v>
      </c>
      <c r="Z52" s="174">
        <v>0</v>
      </c>
      <c r="AA52" s="174"/>
      <c r="AB52" s="174"/>
      <c r="AC52" s="174"/>
      <c r="AD52" s="174"/>
      <c r="AE52" s="19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388</v>
      </c>
      <c r="BU52" s="166">
        <v>294</v>
      </c>
      <c r="BV52" s="166">
        <v>0.13300000000000001</v>
      </c>
      <c r="BW52" s="81">
        <v>2217.33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-6.29</v>
      </c>
      <c r="CR52" s="244">
        <v>1.66E-2</v>
      </c>
      <c r="CS52" s="243">
        <v>-378.39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44"/>
        <v>1.0800000000000001E-8</v>
      </c>
      <c r="DA52" s="245" t="s">
        <v>317</v>
      </c>
      <c r="DD52" s="169" t="s">
        <v>460</v>
      </c>
      <c r="DE52" s="279" t="s">
        <v>490</v>
      </c>
      <c r="DF52" s="274" t="s">
        <v>318</v>
      </c>
      <c r="DG52" s="169">
        <f>O$11*$Z$37*$AP$28</f>
        <v>6.7813822429815013E-2</v>
      </c>
      <c r="DH52" s="169" t="s">
        <v>317</v>
      </c>
    </row>
    <row r="53" spans="3:112" thickTop="1" thickBot="1" x14ac:dyDescent="0.3">
      <c r="L53"/>
      <c r="M53"/>
      <c r="N53"/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390</v>
      </c>
      <c r="BU53" s="166">
        <v>0.42799999999999999</v>
      </c>
      <c r="BV53" s="166">
        <v>6.11E-3</v>
      </c>
      <c r="BW53" s="81">
        <v>69.94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-5.51</v>
      </c>
      <c r="CR53" s="244">
        <v>1.61E-2</v>
      </c>
      <c r="CS53" s="243">
        <v>-341.73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44"/>
        <v>3.4599999999999999E-13</v>
      </c>
      <c r="DA53" s="245" t="s">
        <v>317</v>
      </c>
      <c r="DD53" s="169" t="s">
        <v>460</v>
      </c>
      <c r="DE53" s="279" t="s">
        <v>491</v>
      </c>
      <c r="DF53" s="274" t="s">
        <v>318</v>
      </c>
      <c r="DG53" s="169">
        <f>O$10*$Z$37*$AP$28</f>
        <v>7.2105836507651414E-2</v>
      </c>
      <c r="DH53" s="169" t="s">
        <v>317</v>
      </c>
    </row>
    <row r="54" spans="3:112" thickTop="1" thickBot="1" x14ac:dyDescent="0.3">
      <c r="L54"/>
      <c r="M54"/>
      <c r="N54"/>
      <c r="X54" s="256" t="s">
        <v>505</v>
      </c>
      <c r="Y54" s="257"/>
      <c r="Z54" s="258" t="s">
        <v>21</v>
      </c>
      <c r="AA54" s="259">
        <f>(1/(1/8+SUM(AD56:AD58)+1/8))</f>
        <v>2.5352112676056335</v>
      </c>
      <c r="AB54" s="257" t="s">
        <v>5</v>
      </c>
      <c r="AC54" s="257"/>
      <c r="AD54" s="257" t="s">
        <v>22</v>
      </c>
      <c r="AE54" s="260">
        <f>SUM(AE56:AE60)</f>
        <v>171780</v>
      </c>
      <c r="AF54" s="222" t="s">
        <v>23</v>
      </c>
      <c r="AG54" s="222">
        <f>SUM(AE56:AE57)</f>
        <v>171780</v>
      </c>
      <c r="AH54" s="222"/>
      <c r="AO54" s="169" t="s">
        <v>371</v>
      </c>
      <c r="AP54" s="169">
        <f>SUM(AP42,AP4:AP7)</f>
        <v>1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J54" s="81"/>
      <c r="BS54" s="81" t="s">
        <v>373</v>
      </c>
      <c r="BT54" s="81" t="s">
        <v>391</v>
      </c>
      <c r="BU54" s="166">
        <v>0.161</v>
      </c>
      <c r="BV54" s="166">
        <v>1.7899999999999999E-3</v>
      </c>
      <c r="BW54" s="81">
        <v>89.98</v>
      </c>
      <c r="BX54" s="81" t="s">
        <v>420</v>
      </c>
      <c r="BY54" s="166">
        <v>2E-16</v>
      </c>
      <c r="BZ54" s="81" t="s">
        <v>385</v>
      </c>
      <c r="CO54" s="243" t="s">
        <v>373</v>
      </c>
      <c r="CP54" s="243" t="s">
        <v>413</v>
      </c>
      <c r="CQ54" s="244">
        <v>-6.17</v>
      </c>
      <c r="CR54" s="244">
        <v>1.5699999999999999E-2</v>
      </c>
      <c r="CS54" s="243">
        <v>-392.97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44"/>
        <v>3.3500000000000002E-7</v>
      </c>
      <c r="DA54" s="245" t="s">
        <v>317</v>
      </c>
      <c r="DD54" s="169" t="s">
        <v>460</v>
      </c>
      <c r="DE54" s="279" t="s">
        <v>492</v>
      </c>
      <c r="DF54" s="274" t="s">
        <v>318</v>
      </c>
      <c r="DG54" s="169">
        <f>O$12*$Z$37*$AP$28</f>
        <v>6.9530628060949576E-2</v>
      </c>
      <c r="DH54" s="169" t="s">
        <v>317</v>
      </c>
    </row>
    <row r="55" spans="3:112" thickTop="1" thickBot="1" x14ac:dyDescent="0.3">
      <c r="X55" s="261"/>
      <c r="Y55" s="225" t="s">
        <v>27</v>
      </c>
      <c r="Z55" s="225" t="s">
        <v>28</v>
      </c>
      <c r="AA55" s="225" t="s">
        <v>29</v>
      </c>
      <c r="AB55" s="225" t="s">
        <v>30</v>
      </c>
      <c r="AC55" s="225" t="s">
        <v>31</v>
      </c>
      <c r="AD55" s="225" t="s">
        <v>32</v>
      </c>
      <c r="AE55" s="262" t="s">
        <v>33</v>
      </c>
      <c r="AO55" s="169" t="s">
        <v>371</v>
      </c>
      <c r="AP55" s="169">
        <f>SUM(AP43,AP26:AP28)</f>
        <v>1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392</v>
      </c>
      <c r="BU55" s="166">
        <v>8.0100000000000005E-2</v>
      </c>
      <c r="BV55" s="166">
        <v>1.77E-2</v>
      </c>
      <c r="BW55" s="81">
        <v>4.53</v>
      </c>
      <c r="BX55" s="166">
        <v>6.1E-6</v>
      </c>
      <c r="BY55" s="81" t="s">
        <v>385</v>
      </c>
      <c r="BZ55" s="81"/>
      <c r="CO55" s="243" t="s">
        <v>373</v>
      </c>
      <c r="CP55" s="243" t="s">
        <v>414</v>
      </c>
      <c r="CQ55" s="244">
        <v>3.9100000000000003E-3</v>
      </c>
      <c r="CR55" s="244">
        <v>6.02E-5</v>
      </c>
      <c r="CS55" s="243">
        <v>64.98</v>
      </c>
      <c r="CT55" s="243" t="s">
        <v>420</v>
      </c>
      <c r="CU55" s="244">
        <v>2E-16</v>
      </c>
      <c r="CV55" s="81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44"/>
        <v>0.28199999999999997</v>
      </c>
      <c r="DA55" s="245" t="s">
        <v>317</v>
      </c>
      <c r="DD55" s="169" t="s">
        <v>460</v>
      </c>
      <c r="DE55" s="279" t="s">
        <v>493</v>
      </c>
      <c r="DF55" s="274" t="s">
        <v>318</v>
      </c>
      <c r="DG55" s="169">
        <f>O$13*$Z$37*$AP$28</f>
        <v>6.0946599905276781E-2</v>
      </c>
      <c r="DH55" s="169" t="s">
        <v>317</v>
      </c>
    </row>
    <row r="56" spans="3:112" thickTop="1" thickBot="1" x14ac:dyDescent="0.3">
      <c r="X56" s="263"/>
      <c r="Y56" s="176" t="s">
        <v>90</v>
      </c>
      <c r="Z56" s="176">
        <v>0.02</v>
      </c>
      <c r="AA56" s="176">
        <v>0.6</v>
      </c>
      <c r="AB56" s="176">
        <v>975</v>
      </c>
      <c r="AC56" s="176">
        <v>840</v>
      </c>
      <c r="AD56" s="227">
        <f>Z56/AA56</f>
        <v>3.3333333333333333E-2</v>
      </c>
      <c r="AE56" s="264">
        <f>Z56*AB56*AC56</f>
        <v>16380</v>
      </c>
      <c r="AO56" s="169" t="s">
        <v>372</v>
      </c>
      <c r="AP56" s="169">
        <f>SUM(AP46,AP14:AP17)</f>
        <v>1.0187905114678182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I56" s="81"/>
      <c r="BJ56" s="81"/>
      <c r="BS56" s="81" t="s">
        <v>373</v>
      </c>
      <c r="BT56" s="81" t="s">
        <v>393</v>
      </c>
      <c r="BU56" s="166">
        <v>0.33100000000000002</v>
      </c>
      <c r="BV56" s="166">
        <v>4.3699999999999998E-3</v>
      </c>
      <c r="BW56" s="81">
        <v>75.67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48.9</v>
      </c>
      <c r="CR56" s="244">
        <v>0.38400000000000001</v>
      </c>
      <c r="CS56" s="243">
        <v>127.33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44"/>
        <v>0.153</v>
      </c>
      <c r="DA56" s="245" t="s">
        <v>317</v>
      </c>
      <c r="DD56" s="169" t="s">
        <v>460</v>
      </c>
      <c r="DE56" s="279" t="s">
        <v>494</v>
      </c>
      <c r="DF56" s="274" t="s">
        <v>318</v>
      </c>
      <c r="DG56" s="169">
        <f>O$11*$Z$37*$AP$43</f>
        <v>0.3259369116150474</v>
      </c>
      <c r="DH56" s="169" t="s">
        <v>317</v>
      </c>
    </row>
    <row r="57" spans="3:112" thickTop="1" thickBot="1" x14ac:dyDescent="0.3">
      <c r="X57" s="263"/>
      <c r="Y57" s="176" t="s">
        <v>509</v>
      </c>
      <c r="Z57" s="176">
        <v>0.1</v>
      </c>
      <c r="AA57" s="176">
        <v>0.9</v>
      </c>
      <c r="AB57" s="176">
        <v>1850</v>
      </c>
      <c r="AC57" s="176">
        <v>840</v>
      </c>
      <c r="AD57" s="227">
        <f>Z57/AA57</f>
        <v>0.11111111111111112</v>
      </c>
      <c r="AE57" s="264">
        <f>Z57*AB57*AC57</f>
        <v>155400</v>
      </c>
      <c r="AO57" s="169" t="s">
        <v>372</v>
      </c>
      <c r="AP57" s="169">
        <f>SUM(AP47,AP33:AP35)</f>
        <v>1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J57" s="81"/>
      <c r="BS57" s="81" t="s">
        <v>373</v>
      </c>
      <c r="BT57" s="81" t="s">
        <v>303</v>
      </c>
      <c r="BU57" s="166">
        <v>976000000</v>
      </c>
      <c r="BV57" s="166">
        <v>20400000</v>
      </c>
      <c r="BW57" s="81">
        <v>47.85</v>
      </c>
      <c r="BX57" s="81" t="s">
        <v>420</v>
      </c>
      <c r="BY57" s="166">
        <v>2E-16</v>
      </c>
      <c r="BZ57" s="81" t="s">
        <v>385</v>
      </c>
      <c r="CO57" s="243" t="s">
        <v>373</v>
      </c>
      <c r="CP57" s="243" t="s">
        <v>416</v>
      </c>
      <c r="CQ57" s="244">
        <v>9940</v>
      </c>
      <c r="CR57" s="244">
        <v>245</v>
      </c>
      <c r="CS57" s="243">
        <v>40.590000000000003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44"/>
        <v>1.7599999999999999E-8</v>
      </c>
      <c r="DA57" s="245" t="s">
        <v>317</v>
      </c>
      <c r="DD57" s="169" t="s">
        <v>460</v>
      </c>
      <c r="DE57" s="279" t="s">
        <v>495</v>
      </c>
      <c r="DF57" s="274" t="s">
        <v>318</v>
      </c>
      <c r="DG57" s="169">
        <f>O$10*$Z$37*$AP$43</f>
        <v>0.34656583007169595</v>
      </c>
      <c r="DH57" s="169" t="s">
        <v>317</v>
      </c>
    </row>
    <row r="58" spans="3:112" thickTop="1" thickBot="1" x14ac:dyDescent="0.3">
      <c r="X58" s="265"/>
      <c r="Y58" s="266" t="s">
        <v>508</v>
      </c>
      <c r="Z58" s="267">
        <v>0</v>
      </c>
      <c r="AA58" s="267">
        <v>3.5999999999999997E-2</v>
      </c>
      <c r="AB58" s="267">
        <v>26</v>
      </c>
      <c r="AC58" s="267">
        <v>1470</v>
      </c>
      <c r="AD58" s="268">
        <f>Z58/AA58</f>
        <v>0</v>
      </c>
      <c r="AE58" s="269">
        <f>Z58*AB58*AC58</f>
        <v>0</v>
      </c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I58" s="81"/>
      <c r="BJ58" s="81"/>
      <c r="BS58" s="81" t="s">
        <v>373</v>
      </c>
      <c r="BT58" s="81" t="s">
        <v>395</v>
      </c>
      <c r="BU58" s="166">
        <v>1470000</v>
      </c>
      <c r="BV58" s="166">
        <v>21800</v>
      </c>
      <c r="BW58" s="81">
        <v>67.430000000000007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263</v>
      </c>
      <c r="CR58" s="244">
        <v>10.199999999999999</v>
      </c>
      <c r="CS58" s="243">
        <v>25.68</v>
      </c>
      <c r="CT58" s="243" t="s">
        <v>420</v>
      </c>
      <c r="CU58" s="244">
        <v>2E-16</v>
      </c>
      <c r="CV58" s="81" t="s">
        <v>385</v>
      </c>
      <c r="CW58" s="245" t="s">
        <v>460</v>
      </c>
      <c r="CX58" s="251" t="s">
        <v>496</v>
      </c>
      <c r="CY58" s="246" t="s">
        <v>318</v>
      </c>
      <c r="CZ58" s="247">
        <f t="shared" si="44"/>
        <v>0.114</v>
      </c>
      <c r="DA58" s="245" t="s">
        <v>317</v>
      </c>
      <c r="DD58" s="169" t="s">
        <v>460</v>
      </c>
      <c r="DE58" s="279" t="s">
        <v>496</v>
      </c>
      <c r="DF58" s="274" t="s">
        <v>318</v>
      </c>
      <c r="DG58" s="169">
        <f>O$12*$Z$37*$AP$43</f>
        <v>0.33418847899770676</v>
      </c>
      <c r="DH58" s="169" t="s">
        <v>317</v>
      </c>
    </row>
    <row r="59" spans="3:112" thickTop="1" thickBot="1" x14ac:dyDescent="0.3"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I59" s="81"/>
      <c r="BJ59" s="81"/>
      <c r="BS59" s="81" t="s">
        <v>373</v>
      </c>
      <c r="BT59" s="81" t="s">
        <v>296</v>
      </c>
      <c r="BU59" s="166">
        <v>219000000</v>
      </c>
      <c r="BV59" s="166">
        <v>15400000</v>
      </c>
      <c r="BW59" s="81">
        <v>14.25</v>
      </c>
      <c r="BX59" s="81" t="s">
        <v>420</v>
      </c>
      <c r="BY59" s="166">
        <v>2E-16</v>
      </c>
      <c r="BZ59" s="81" t="s">
        <v>385</v>
      </c>
      <c r="CW59" s="245" t="s">
        <v>460</v>
      </c>
      <c r="CX59" s="251" t="s">
        <v>497</v>
      </c>
      <c r="CY59" s="246" t="s">
        <v>318</v>
      </c>
      <c r="CZ59" s="247">
        <f t="shared" si="44"/>
        <v>0.112</v>
      </c>
      <c r="DA59" s="245" t="s">
        <v>317</v>
      </c>
      <c r="DD59" s="169" t="s">
        <v>460</v>
      </c>
      <c r="DE59" s="279" t="s">
        <v>497</v>
      </c>
      <c r="DF59" s="274" t="s">
        <v>318</v>
      </c>
      <c r="DG59" s="169">
        <f>O$13*$Z$37*$AP$43</f>
        <v>0.29293064208440966</v>
      </c>
      <c r="DH59" s="169" t="s">
        <v>317</v>
      </c>
    </row>
    <row r="60" spans="3:112" thickTop="1" thickBot="1" x14ac:dyDescent="0.3"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J60" s="81"/>
      <c r="BS60" s="81" t="s">
        <v>373</v>
      </c>
      <c r="BT60" s="81" t="s">
        <v>298</v>
      </c>
      <c r="BU60" s="166">
        <v>40000000</v>
      </c>
      <c r="BV60" s="166">
        <v>20300000</v>
      </c>
      <c r="BW60" s="81">
        <v>1.97</v>
      </c>
      <c r="BX60" s="81">
        <v>4.9000000000000002E-2</v>
      </c>
      <c r="BY60" s="81" t="s">
        <v>418</v>
      </c>
      <c r="BZ60" s="81"/>
      <c r="CX60" s="251"/>
      <c r="CY60" s="246"/>
      <c r="CZ60" s="247"/>
      <c r="DE60" s="279"/>
      <c r="DF60" s="274"/>
    </row>
    <row r="61" spans="3:112" thickTop="1" thickBot="1" x14ac:dyDescent="0.3"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I61" s="81"/>
      <c r="BJ61" s="81"/>
      <c r="BS61" s="81" t="s">
        <v>373</v>
      </c>
      <c r="BT61" s="81" t="s">
        <v>396</v>
      </c>
      <c r="BU61" s="166">
        <v>-36.9</v>
      </c>
      <c r="BV61" s="166">
        <v>1.4</v>
      </c>
      <c r="BW61" s="81">
        <v>-26.39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V61" s="81"/>
      <c r="CW61" s="245" t="s">
        <v>460</v>
      </c>
      <c r="CX61" s="251" t="s">
        <v>339</v>
      </c>
      <c r="CY61" s="246" t="s">
        <v>318</v>
      </c>
      <c r="CZ61" s="247">
        <f>CQ85</f>
        <v>2620000</v>
      </c>
      <c r="DA61" s="245" t="s">
        <v>317</v>
      </c>
      <c r="DD61" s="169" t="s">
        <v>460</v>
      </c>
      <c r="DE61" s="279" t="s">
        <v>339</v>
      </c>
      <c r="DF61" s="274" t="s">
        <v>318</v>
      </c>
      <c r="DG61" s="278">
        <f>AP30</f>
        <v>2173896.7411420983</v>
      </c>
      <c r="DH61" s="169" t="s">
        <v>317</v>
      </c>
    </row>
    <row r="62" spans="3:112" thickTop="1" thickBot="1" x14ac:dyDescent="0.3"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I62" s="81"/>
      <c r="BJ62" s="81"/>
      <c r="BS62" s="81" t="s">
        <v>373</v>
      </c>
      <c r="BT62" s="81" t="s">
        <v>397</v>
      </c>
      <c r="BU62" s="166">
        <v>-40.700000000000003</v>
      </c>
      <c r="BV62" s="166">
        <v>1.36</v>
      </c>
      <c r="BW62" s="81">
        <v>-29.88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V62" s="81"/>
      <c r="CW62" s="245" t="s">
        <v>460</v>
      </c>
      <c r="CX62" s="251" t="s">
        <v>340</v>
      </c>
      <c r="CY62" s="246" t="s">
        <v>318</v>
      </c>
      <c r="CZ62" s="247">
        <f t="shared" ref="CZ62:CZ63" si="46">CQ86</f>
        <v>28800000</v>
      </c>
      <c r="DA62" s="245" t="s">
        <v>317</v>
      </c>
      <c r="DD62" s="169" t="s">
        <v>460</v>
      </c>
      <c r="DE62" s="279" t="s">
        <v>340</v>
      </c>
      <c r="DF62" s="274" t="s">
        <v>318</v>
      </c>
      <c r="DG62" s="278">
        <f>AP31</f>
        <v>35109018.321381137</v>
      </c>
      <c r="DH62" s="169" t="s">
        <v>317</v>
      </c>
    </row>
    <row r="63" spans="3:112" thickTop="1" thickBot="1" x14ac:dyDescent="0.3"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I63" s="81"/>
      <c r="BJ63" s="81"/>
      <c r="BS63" s="81" t="s">
        <v>373</v>
      </c>
      <c r="BT63" s="81" t="s">
        <v>399</v>
      </c>
      <c r="BU63" s="166">
        <v>-37.1</v>
      </c>
      <c r="BV63" s="166">
        <v>1.59</v>
      </c>
      <c r="BW63" s="81">
        <v>-23.36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V63" s="81"/>
      <c r="CW63" s="245" t="s">
        <v>460</v>
      </c>
      <c r="CX63" s="251" t="s">
        <v>341</v>
      </c>
      <c r="CY63" s="246" t="s">
        <v>318</v>
      </c>
      <c r="CZ63" s="247">
        <f t="shared" si="46"/>
        <v>23200000</v>
      </c>
      <c r="DA63" s="245" t="s">
        <v>317</v>
      </c>
      <c r="DD63" s="169" t="s">
        <v>460</v>
      </c>
      <c r="DE63" s="279" t="s">
        <v>341</v>
      </c>
      <c r="DF63" s="274" t="s">
        <v>318</v>
      </c>
      <c r="DG63" s="278">
        <f>AP32</f>
        <v>40789907.027917095</v>
      </c>
      <c r="DH63" s="169" t="s">
        <v>317</v>
      </c>
    </row>
    <row r="64" spans="3:112" thickTop="1" thickBot="1" x14ac:dyDescent="0.3"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J64" s="81"/>
      <c r="BS64" s="81" t="s">
        <v>373</v>
      </c>
      <c r="BT64" s="81" t="s">
        <v>400</v>
      </c>
      <c r="BU64" s="166">
        <v>-24.8</v>
      </c>
      <c r="BV64" s="166">
        <v>7.4200000000000002E-2</v>
      </c>
      <c r="BW64" s="81">
        <v>-334.42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292</v>
      </c>
      <c r="CR64" s="244">
        <v>4.4699999999999997E-2</v>
      </c>
      <c r="CS64" s="243">
        <v>6531.69</v>
      </c>
      <c r="CT64" s="243" t="s">
        <v>420</v>
      </c>
      <c r="CU64" s="244">
        <v>2E-16</v>
      </c>
      <c r="CV64" s="81" t="s">
        <v>385</v>
      </c>
      <c r="CY64" s="246"/>
      <c r="DF64" s="274"/>
    </row>
    <row r="65" spans="55:112" thickTop="1" thickBot="1" x14ac:dyDescent="0.3"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I65" s="81"/>
      <c r="BJ65" s="81"/>
      <c r="BS65" s="81" t="s">
        <v>373</v>
      </c>
      <c r="BT65" s="81" t="s">
        <v>402</v>
      </c>
      <c r="BU65" s="166">
        <v>0.16500000000000001</v>
      </c>
      <c r="BV65" s="166">
        <v>4.6200000000000001E-4</v>
      </c>
      <c r="BW65" s="81">
        <v>357.36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285</v>
      </c>
      <c r="CR65" s="244">
        <v>7.7299999999999994E-2</v>
      </c>
      <c r="CS65" s="243">
        <v>3686.8</v>
      </c>
      <c r="CT65" s="243" t="s">
        <v>420</v>
      </c>
      <c r="CU65" s="244">
        <v>2E-16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6.8099999999999994E-2</v>
      </c>
      <c r="DA65" s="245" t="s">
        <v>317</v>
      </c>
      <c r="DD65" s="169" t="s">
        <v>460</v>
      </c>
      <c r="DE65" s="279" t="s">
        <v>342</v>
      </c>
      <c r="DF65" s="274" t="s">
        <v>318</v>
      </c>
      <c r="DG65" s="169">
        <f>AP33</f>
        <v>4.1929374223251645E-2</v>
      </c>
      <c r="DH65" s="169" t="s">
        <v>317</v>
      </c>
    </row>
    <row r="66" spans="55:112" thickTop="1" thickBot="1" x14ac:dyDescent="0.3"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403</v>
      </c>
      <c r="BU66" s="166">
        <v>5.8500000000000003E-2</v>
      </c>
      <c r="BV66" s="166">
        <v>1.2799999999999999E-4</v>
      </c>
      <c r="BW66" s="81">
        <v>455.64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292</v>
      </c>
      <c r="CR66" s="244">
        <v>5.45E-2</v>
      </c>
      <c r="CS66" s="243">
        <v>5364.24</v>
      </c>
      <c r="CT66" s="243" t="s">
        <v>420</v>
      </c>
      <c r="CU66" s="244">
        <v>2E-16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47">CQ93</f>
        <v>0.193</v>
      </c>
      <c r="DA66" s="245" t="s">
        <v>317</v>
      </c>
      <c r="DD66" s="169" t="s">
        <v>460</v>
      </c>
      <c r="DE66" s="279" t="s">
        <v>343</v>
      </c>
      <c r="DF66" s="274" t="s">
        <v>318</v>
      </c>
      <c r="DG66" s="169">
        <f>AP34</f>
        <v>0.13515482574503807</v>
      </c>
      <c r="DH66" s="169" t="s">
        <v>317</v>
      </c>
    </row>
    <row r="67" spans="55:112" thickTop="1" thickBot="1" x14ac:dyDescent="0.3"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J67" s="81"/>
      <c r="BS67" s="81" t="s">
        <v>373</v>
      </c>
      <c r="BT67" s="81" t="s">
        <v>404</v>
      </c>
      <c r="BU67" s="166">
        <v>0.61199999999999999</v>
      </c>
      <c r="BV67" s="166">
        <v>6.6400000000000001E-3</v>
      </c>
      <c r="BW67" s="81">
        <v>92.16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295</v>
      </c>
      <c r="CR67" s="244">
        <v>0.107</v>
      </c>
      <c r="CS67" s="243">
        <v>2745.73</v>
      </c>
      <c r="CT67" s="243" t="s">
        <v>420</v>
      </c>
      <c r="CU67" s="244">
        <v>2E-16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47"/>
        <v>0.69199999999999995</v>
      </c>
      <c r="DA67" s="245" t="s">
        <v>317</v>
      </c>
      <c r="DD67" s="169" t="s">
        <v>460</v>
      </c>
      <c r="DE67" s="279" t="s">
        <v>345</v>
      </c>
      <c r="DF67" s="274" t="s">
        <v>318</v>
      </c>
      <c r="DG67" s="169">
        <f>AP35</f>
        <v>0.80394667961180366</v>
      </c>
      <c r="DH67" s="169" t="s">
        <v>317</v>
      </c>
    </row>
    <row r="68" spans="55:112" thickTop="1" thickBot="1" x14ac:dyDescent="0.3"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J68" s="81"/>
      <c r="BS68" s="81" t="s">
        <v>373</v>
      </c>
      <c r="BT68" s="81" t="s">
        <v>405</v>
      </c>
      <c r="BU68" s="166">
        <v>0.11700000000000001</v>
      </c>
      <c r="BV68" s="166">
        <v>3.1700000000000001E-4</v>
      </c>
      <c r="BW68" s="81">
        <v>369.23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3.32E-8</v>
      </c>
      <c r="CR68" s="244">
        <v>7.9300000000000003E-6</v>
      </c>
      <c r="CS68" s="243">
        <v>0</v>
      </c>
      <c r="CT68" s="244">
        <v>1</v>
      </c>
      <c r="CU68" s="244"/>
      <c r="CV68" s="81"/>
      <c r="CW68" s="245" t="s">
        <v>460</v>
      </c>
      <c r="CX68" s="251" t="s">
        <v>431</v>
      </c>
      <c r="CY68" s="246" t="s">
        <v>318</v>
      </c>
      <c r="CZ68" s="247">
        <f t="shared" si="47"/>
        <v>2.9899999999999999E-2</v>
      </c>
      <c r="DA68" s="245" t="s">
        <v>317</v>
      </c>
      <c r="DD68" s="169" t="s">
        <v>460</v>
      </c>
      <c r="DE68" s="279" t="s">
        <v>431</v>
      </c>
      <c r="DF68" s="274" t="s">
        <v>318</v>
      </c>
      <c r="DG68" s="169">
        <f>AP47</f>
        <v>1.896912041990673E-2</v>
      </c>
      <c r="DH68" s="169" t="s">
        <v>317</v>
      </c>
    </row>
    <row r="69" spans="55:112" thickTop="1" thickBot="1" x14ac:dyDescent="0.3"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J69" s="81"/>
      <c r="BS69" s="81" t="s">
        <v>373</v>
      </c>
      <c r="BT69" s="81" t="s">
        <v>407</v>
      </c>
      <c r="BU69" s="166">
        <v>298</v>
      </c>
      <c r="BV69" s="166">
        <v>1.43</v>
      </c>
      <c r="BW69" s="81">
        <v>208.33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0.432</v>
      </c>
      <c r="CR69" s="244">
        <v>0.10299999999999999</v>
      </c>
      <c r="CS69" s="243">
        <v>4.21</v>
      </c>
      <c r="CT69" s="244">
        <v>2.5000000000000001E-5</v>
      </c>
      <c r="CU69" s="243" t="s">
        <v>385</v>
      </c>
      <c r="CV69" s="81"/>
      <c r="CY69" s="246"/>
      <c r="DF69" s="274"/>
    </row>
    <row r="70" spans="55:112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I70" s="81"/>
      <c r="BJ70" s="81"/>
      <c r="BS70" s="81" t="s">
        <v>373</v>
      </c>
      <c r="BT70" s="81" t="s">
        <v>290</v>
      </c>
      <c r="BU70" s="166">
        <v>120</v>
      </c>
      <c r="BV70" s="166">
        <v>0.72799999999999998</v>
      </c>
      <c r="BW70" s="81">
        <v>164.9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0.41399999999999998</v>
      </c>
      <c r="CR70" s="244">
        <v>2.7900000000000001E-2</v>
      </c>
      <c r="CS70" s="243">
        <v>14.8</v>
      </c>
      <c r="CT70" s="243" t="s">
        <v>420</v>
      </c>
      <c r="CU70" s="244">
        <v>2E-16</v>
      </c>
      <c r="CV70" s="81" t="s">
        <v>385</v>
      </c>
      <c r="CW70" s="245" t="s">
        <v>460</v>
      </c>
      <c r="CX70" s="251" t="s">
        <v>347</v>
      </c>
      <c r="CY70" s="246" t="s">
        <v>318</v>
      </c>
      <c r="CZ70" s="247">
        <f>CQ96</f>
        <v>329</v>
      </c>
      <c r="DA70" s="245" t="s">
        <v>317</v>
      </c>
      <c r="DD70" s="169" t="s">
        <v>460</v>
      </c>
      <c r="DE70" s="279" t="s">
        <v>347</v>
      </c>
      <c r="DF70" s="274" t="s">
        <v>318</v>
      </c>
      <c r="DG70" s="169">
        <f>AP37</f>
        <v>536.28359862673869</v>
      </c>
      <c r="DH70" s="169" t="s">
        <v>317</v>
      </c>
    </row>
    <row r="71" spans="55:112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120</v>
      </c>
      <c r="BU71" s="166">
        <v>69.5</v>
      </c>
      <c r="BV71" s="166">
        <v>2.5499999999999998</v>
      </c>
      <c r="BW71" s="81">
        <v>27.22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0.56999999999999995</v>
      </c>
      <c r="CR71" s="244">
        <v>2.1899999999999999E-2</v>
      </c>
      <c r="CS71" s="243">
        <v>26.1</v>
      </c>
      <c r="CT71" s="243" t="s">
        <v>420</v>
      </c>
      <c r="CU71" s="244">
        <v>2E-16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48">CQ97</f>
        <v>832</v>
      </c>
      <c r="DA71" s="245" t="s">
        <v>317</v>
      </c>
      <c r="DD71" s="169" t="s">
        <v>460</v>
      </c>
      <c r="DE71" s="279" t="s">
        <v>349</v>
      </c>
      <c r="DF71" s="274" t="s">
        <v>318</v>
      </c>
      <c r="DG71" s="169">
        <f>AP38</f>
        <v>1022.6942302865315</v>
      </c>
      <c r="DH71" s="169" t="s">
        <v>317</v>
      </c>
    </row>
    <row r="72" spans="55:112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409</v>
      </c>
      <c r="BU72" s="166">
        <v>-5.14</v>
      </c>
      <c r="BV72" s="166">
        <v>1.41E-2</v>
      </c>
      <c r="BW72" s="81">
        <v>-364.74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1.88</v>
      </c>
      <c r="CR72" s="244">
        <v>0.08</v>
      </c>
      <c r="CS72" s="243">
        <v>23.57</v>
      </c>
      <c r="CT72" s="243" t="s">
        <v>420</v>
      </c>
      <c r="CU72" s="244">
        <v>2E-16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48"/>
        <v>114</v>
      </c>
      <c r="DA72" s="245" t="s">
        <v>317</v>
      </c>
      <c r="DD72" s="169" t="s">
        <v>460</v>
      </c>
      <c r="DE72" s="279" t="s">
        <v>350</v>
      </c>
      <c r="DF72" s="274" t="s">
        <v>318</v>
      </c>
      <c r="DG72" s="169">
        <f>AP39</f>
        <v>144.02887479415671</v>
      </c>
      <c r="DH72" s="169" t="s">
        <v>317</v>
      </c>
    </row>
    <row r="73" spans="55:112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410</v>
      </c>
      <c r="BU73" s="166">
        <v>-5.22</v>
      </c>
      <c r="BV73" s="166">
        <v>1.5100000000000001E-2</v>
      </c>
      <c r="BW73" s="81">
        <v>-345.49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1.67</v>
      </c>
      <c r="CR73" s="244">
        <v>0.16200000000000001</v>
      </c>
      <c r="CS73" s="243">
        <v>10.31</v>
      </c>
      <c r="CT73" s="244" t="s">
        <v>420</v>
      </c>
      <c r="CU73" s="244">
        <v>2E-16</v>
      </c>
      <c r="CV73" s="81" t="s">
        <v>385</v>
      </c>
      <c r="CW73" s="245" t="s">
        <v>460</v>
      </c>
      <c r="CX73" s="251" t="s">
        <v>352</v>
      </c>
      <c r="CY73" s="246" t="s">
        <v>318</v>
      </c>
      <c r="CZ73" s="247">
        <f>1/CQ103</f>
        <v>1351.3513513513515</v>
      </c>
      <c r="DA73" s="245" t="s">
        <v>317</v>
      </c>
      <c r="DD73" s="169" t="s">
        <v>460</v>
      </c>
      <c r="DE73" s="279" t="s">
        <v>352</v>
      </c>
      <c r="DF73" s="274" t="s">
        <v>318</v>
      </c>
      <c r="DG73" s="169">
        <f>AP40</f>
        <v>793.12217348184151</v>
      </c>
      <c r="DH73" s="169" t="s">
        <v>317</v>
      </c>
    </row>
    <row r="74" spans="55:112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J74" s="81"/>
      <c r="BS74" s="81" t="s">
        <v>373</v>
      </c>
      <c r="BT74" s="81" t="s">
        <v>411</v>
      </c>
      <c r="BU74" s="166">
        <v>-5.62</v>
      </c>
      <c r="BV74" s="166">
        <v>1.6E-2</v>
      </c>
      <c r="BW74" s="81">
        <v>-351.63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1.72</v>
      </c>
      <c r="CR74" s="244">
        <v>4.0099999999999997E-2</v>
      </c>
      <c r="CS74" s="243">
        <v>42.93</v>
      </c>
      <c r="CT74" s="243" t="s">
        <v>420</v>
      </c>
      <c r="CU74" s="244">
        <v>2E-16</v>
      </c>
      <c r="CV74" s="81" t="s">
        <v>385</v>
      </c>
      <c r="CY74" s="246"/>
      <c r="DF74" s="274"/>
    </row>
    <row r="75" spans="55:112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412</v>
      </c>
      <c r="BU75" s="166">
        <v>-5.44</v>
      </c>
      <c r="BV75" s="166">
        <v>1.4999999999999999E-2</v>
      </c>
      <c r="BW75" s="81">
        <v>-361.47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0.86499999999999999</v>
      </c>
      <c r="CR75" s="244">
        <v>3.9300000000000002E-2</v>
      </c>
      <c r="CS75" s="243">
        <v>22</v>
      </c>
      <c r="CT75" s="243" t="s">
        <v>420</v>
      </c>
      <c r="CU75" s="244">
        <v>2E-16</v>
      </c>
      <c r="CV75" s="81" t="s">
        <v>385</v>
      </c>
      <c r="CW75" s="245" t="s">
        <v>460</v>
      </c>
      <c r="CX75" s="251" t="s">
        <v>424</v>
      </c>
      <c r="CY75" s="246" t="s">
        <v>318</v>
      </c>
      <c r="CZ75" s="247">
        <f>CQ112</f>
        <v>995000000</v>
      </c>
      <c r="DA75" s="245" t="s">
        <v>317</v>
      </c>
      <c r="DD75" s="169" t="s">
        <v>460</v>
      </c>
      <c r="DE75" s="279" t="s">
        <v>424</v>
      </c>
      <c r="DF75" s="274" t="s">
        <v>318</v>
      </c>
      <c r="DG75" s="169">
        <f>AP44</f>
        <v>2189622.4999999995</v>
      </c>
      <c r="DH75" s="169" t="s">
        <v>317</v>
      </c>
    </row>
    <row r="76" spans="55:112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J76" s="81"/>
      <c r="BS76" s="81" t="s">
        <v>373</v>
      </c>
      <c r="BT76" s="81" t="s">
        <v>414</v>
      </c>
      <c r="BU76" s="166">
        <v>1.01E-4</v>
      </c>
      <c r="BV76" s="166">
        <v>3.2899999999999998E-6</v>
      </c>
      <c r="BW76" s="81">
        <v>30.66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1.0800000000000001E-8</v>
      </c>
      <c r="CR76" s="244">
        <v>3.1E-6</v>
      </c>
      <c r="CS76" s="243">
        <v>0</v>
      </c>
      <c r="CT76" s="244">
        <v>1</v>
      </c>
      <c r="CU76" s="244"/>
      <c r="CV76" s="81"/>
      <c r="CW76" s="245" t="s">
        <v>460</v>
      </c>
      <c r="CX76" s="251" t="s">
        <v>359</v>
      </c>
      <c r="CY76" s="246" t="s">
        <v>318</v>
      </c>
      <c r="CZ76" s="247">
        <f>CQ113</f>
        <v>253000000</v>
      </c>
      <c r="DA76" s="245" t="s">
        <v>317</v>
      </c>
      <c r="DD76" s="169" t="s">
        <v>460</v>
      </c>
      <c r="DE76" s="279" t="s">
        <v>359</v>
      </c>
      <c r="DF76" s="274" t="s">
        <v>318</v>
      </c>
      <c r="DG76" s="169">
        <f>AP45</f>
        <v>2189622.4999999995</v>
      </c>
      <c r="DH76" s="169" t="s">
        <v>317</v>
      </c>
    </row>
    <row r="77" spans="55:112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J77" s="81"/>
      <c r="BS77" s="81" t="s">
        <v>373</v>
      </c>
      <c r="BT77" s="81" t="s">
        <v>415</v>
      </c>
      <c r="BU77" s="166">
        <v>252</v>
      </c>
      <c r="BV77" s="166">
        <v>1.62</v>
      </c>
      <c r="BW77" s="81">
        <v>155.62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3.4599999999999999E-13</v>
      </c>
      <c r="CR77" s="244">
        <v>1.7600000000000001E-10</v>
      </c>
      <c r="CS77" s="243">
        <v>0</v>
      </c>
      <c r="CT77" s="243">
        <v>1</v>
      </c>
      <c r="CV77" s="81"/>
      <c r="CW77" s="245" t="s">
        <v>460</v>
      </c>
      <c r="CX77" s="251" t="s">
        <v>365</v>
      </c>
      <c r="CY77" s="246" t="s">
        <v>318</v>
      </c>
      <c r="CZ77" s="247">
        <f>CQ120</f>
        <v>46.3</v>
      </c>
      <c r="DA77" s="245" t="s">
        <v>317</v>
      </c>
      <c r="DD77" s="169" t="s">
        <v>460</v>
      </c>
      <c r="DE77" s="279" t="s">
        <v>365</v>
      </c>
      <c r="DF77" s="274" t="s">
        <v>318</v>
      </c>
      <c r="DG77" s="169">
        <f>AP48</f>
        <v>367.63796909492265</v>
      </c>
      <c r="DH77" s="169" t="s">
        <v>317</v>
      </c>
    </row>
    <row r="78" spans="55:112" thickTop="1" thickBot="1" x14ac:dyDescent="0.3">
      <c r="BS78" s="81" t="s">
        <v>373</v>
      </c>
      <c r="BT78" s="81" t="s">
        <v>416</v>
      </c>
      <c r="BU78" s="166">
        <v>5430</v>
      </c>
      <c r="BV78" s="166">
        <v>185</v>
      </c>
      <c r="BW78" s="81">
        <v>29.43</v>
      </c>
      <c r="BX78" s="81" t="s">
        <v>420</v>
      </c>
      <c r="BY78" s="166">
        <v>2E-16</v>
      </c>
      <c r="BZ78" s="81" t="s">
        <v>385</v>
      </c>
      <c r="CO78" s="243" t="s">
        <v>373</v>
      </c>
      <c r="CP78" s="243" t="s">
        <v>449</v>
      </c>
      <c r="CQ78" s="244">
        <v>3.3500000000000002E-7</v>
      </c>
      <c r="CR78" s="244">
        <v>8.1699999999999994E-5</v>
      </c>
      <c r="CS78" s="243">
        <v>0</v>
      </c>
      <c r="CT78" s="243">
        <v>1</v>
      </c>
      <c r="CV78" s="81"/>
      <c r="CW78" s="245" t="s">
        <v>460</v>
      </c>
      <c r="CX78" s="251" t="s">
        <v>367</v>
      </c>
      <c r="CY78" s="246" t="s">
        <v>318</v>
      </c>
      <c r="CZ78" s="247">
        <f t="shared" ref="CZ78:CZ79" si="49">CQ121</f>
        <v>699</v>
      </c>
      <c r="DA78" s="245" t="s">
        <v>317</v>
      </c>
      <c r="DD78" s="169" t="s">
        <v>460</v>
      </c>
      <c r="DE78" s="279" t="s">
        <v>367</v>
      </c>
      <c r="DF78" s="274" t="s">
        <v>318</v>
      </c>
      <c r="DG78" s="169">
        <f>AP49</f>
        <v>183.81898454746133</v>
      </c>
      <c r="DH78" s="169" t="s">
        <v>317</v>
      </c>
    </row>
    <row r="79" spans="55:112" thickTop="1" thickBot="1" x14ac:dyDescent="0.3">
      <c r="BC79" s="81" t="s">
        <v>373</v>
      </c>
      <c r="BD79" s="81" t="s">
        <v>374</v>
      </c>
      <c r="BE79" s="81" t="s">
        <v>429</v>
      </c>
      <c r="BF79" s="81"/>
      <c r="BG79" s="81"/>
      <c r="BH79" s="81"/>
      <c r="BI79" s="81"/>
      <c r="BJ79" s="81"/>
      <c r="CO79" s="243" t="s">
        <v>373</v>
      </c>
      <c r="CP79" s="243" t="s">
        <v>450</v>
      </c>
      <c r="CQ79" s="244">
        <v>0.28199999999999997</v>
      </c>
      <c r="CR79" s="244">
        <v>5.91E-2</v>
      </c>
      <c r="CS79" s="243">
        <v>4.7699999999999996</v>
      </c>
      <c r="CT79" s="244">
        <v>1.9E-6</v>
      </c>
      <c r="CU79" s="243" t="s">
        <v>385</v>
      </c>
      <c r="CV79" s="81"/>
      <c r="CW79" s="245" t="s">
        <v>460</v>
      </c>
      <c r="CX79" s="251" t="s">
        <v>369</v>
      </c>
      <c r="CY79" s="246" t="s">
        <v>318</v>
      </c>
      <c r="CZ79" s="247">
        <f t="shared" si="49"/>
        <v>98.2</v>
      </c>
      <c r="DA79" s="245" t="s">
        <v>317</v>
      </c>
      <c r="DD79" s="169" t="s">
        <v>460</v>
      </c>
      <c r="DE79" s="279" t="s">
        <v>369</v>
      </c>
      <c r="DF79" s="274" t="s">
        <v>318</v>
      </c>
      <c r="DG79" s="169">
        <f>AP50</f>
        <v>367.63796909492265</v>
      </c>
      <c r="DH79" s="169" t="s">
        <v>317</v>
      </c>
    </row>
    <row r="80" spans="55:112" thickTop="1" thickBot="1" x14ac:dyDescent="0.3">
      <c r="BC80" s="81" t="s">
        <v>373</v>
      </c>
      <c r="BD80" s="81" t="s">
        <v>376</v>
      </c>
      <c r="BE80" s="81"/>
      <c r="BF80" s="81"/>
      <c r="BG80" s="81"/>
      <c r="BH80" s="81"/>
      <c r="BI80" s="81"/>
      <c r="BJ80" s="81"/>
      <c r="CO80" s="243" t="s">
        <v>373</v>
      </c>
      <c r="CP80" s="243" t="s">
        <v>451</v>
      </c>
      <c r="CQ80" s="244">
        <v>0.153</v>
      </c>
      <c r="CR80" s="244">
        <v>2.3900000000000001E-2</v>
      </c>
      <c r="CS80" s="243">
        <v>6.41</v>
      </c>
      <c r="CT80" s="244">
        <v>1.5E-10</v>
      </c>
      <c r="CU80" s="244" t="s">
        <v>385</v>
      </c>
      <c r="CV80" s="81"/>
    </row>
    <row r="81" spans="55:100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J81" s="81"/>
      <c r="BS81" s="81" t="s">
        <v>373</v>
      </c>
      <c r="BT81" s="81" t="s">
        <v>374</v>
      </c>
      <c r="BU81" s="81" t="s">
        <v>421</v>
      </c>
      <c r="BV81" s="81"/>
      <c r="BW81" s="81"/>
      <c r="BX81" s="81"/>
      <c r="BY81" s="81"/>
      <c r="BZ81" s="81"/>
      <c r="CO81" s="243" t="s">
        <v>373</v>
      </c>
      <c r="CP81" s="243" t="s">
        <v>452</v>
      </c>
      <c r="CQ81" s="244">
        <v>1.7599999999999999E-8</v>
      </c>
      <c r="CR81" s="244">
        <v>3.9199999999999997E-6</v>
      </c>
      <c r="CS81" s="243">
        <v>0</v>
      </c>
      <c r="CT81" s="243">
        <v>1</v>
      </c>
      <c r="CV81" s="81"/>
    </row>
    <row r="82" spans="55:100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376</v>
      </c>
      <c r="BU82" s="81"/>
      <c r="BV82" s="81"/>
      <c r="BW82" s="81"/>
      <c r="BX82" s="81"/>
      <c r="BY82" s="81"/>
      <c r="BZ82" s="81"/>
      <c r="CO82" s="243" t="s">
        <v>373</v>
      </c>
      <c r="CP82" s="243" t="s">
        <v>453</v>
      </c>
      <c r="CQ82" s="244">
        <v>0.114</v>
      </c>
      <c r="CR82" s="244">
        <v>1.55E-2</v>
      </c>
      <c r="CS82" s="243">
        <v>7.32</v>
      </c>
      <c r="CT82" s="244">
        <v>2.6E-13</v>
      </c>
      <c r="CU82" s="244" t="s">
        <v>385</v>
      </c>
      <c r="CV82" s="81"/>
    </row>
    <row r="83" spans="55:100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377</v>
      </c>
      <c r="BU83" s="81" t="s">
        <v>378</v>
      </c>
      <c r="BV83" s="81" t="s">
        <v>379</v>
      </c>
      <c r="BW83" s="81" t="s">
        <v>380</v>
      </c>
      <c r="BX83" s="81" t="s">
        <v>381</v>
      </c>
      <c r="BY83" s="81" t="s">
        <v>382</v>
      </c>
      <c r="BZ83" s="81"/>
      <c r="CO83" s="243" t="s">
        <v>373</v>
      </c>
      <c r="CP83" s="243" t="s">
        <v>454</v>
      </c>
      <c r="CQ83" s="244">
        <v>0.112</v>
      </c>
      <c r="CR83" s="244">
        <v>1.14E-2</v>
      </c>
      <c r="CS83" s="243">
        <v>9.84</v>
      </c>
      <c r="CT83" s="243" t="s">
        <v>420</v>
      </c>
      <c r="CU83" s="244">
        <v>2E-16</v>
      </c>
      <c r="CV83" s="81" t="s">
        <v>385</v>
      </c>
    </row>
    <row r="84" spans="55:100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422</v>
      </c>
      <c r="BU84" s="166">
        <v>289</v>
      </c>
      <c r="BV84" s="166">
        <v>0.34499999999999997</v>
      </c>
      <c r="BW84" s="81">
        <v>837.17</v>
      </c>
      <c r="BX84" s="81" t="s">
        <v>420</v>
      </c>
      <c r="BY84" s="166">
        <v>2E-16</v>
      </c>
      <c r="BZ84" s="81" t="s">
        <v>385</v>
      </c>
      <c r="CO84" s="243" t="s">
        <v>373</v>
      </c>
      <c r="CP84" s="243" t="s">
        <v>303</v>
      </c>
      <c r="CQ84" s="244">
        <v>11100000</v>
      </c>
      <c r="CR84" s="244">
        <v>1030000</v>
      </c>
      <c r="CS84" s="243">
        <v>10.85</v>
      </c>
      <c r="CT84" s="244" t="s">
        <v>420</v>
      </c>
      <c r="CU84" s="244">
        <v>2E-16</v>
      </c>
      <c r="CV84" s="81" t="s">
        <v>385</v>
      </c>
    </row>
    <row r="85" spans="55:100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423</v>
      </c>
      <c r="BU85" s="166">
        <v>292</v>
      </c>
      <c r="BV85" s="166">
        <v>0.36699999999999999</v>
      </c>
      <c r="BW85" s="81">
        <v>796.26</v>
      </c>
      <c r="BX85" s="81" t="s">
        <v>420</v>
      </c>
      <c r="BY85" s="166">
        <v>2E-16</v>
      </c>
      <c r="BZ85" s="81" t="s">
        <v>385</v>
      </c>
      <c r="CO85" s="243" t="s">
        <v>373</v>
      </c>
      <c r="CP85" s="243" t="s">
        <v>395</v>
      </c>
      <c r="CQ85" s="244">
        <v>2620000</v>
      </c>
      <c r="CR85" s="244">
        <v>18900</v>
      </c>
      <c r="CS85" s="243">
        <v>138.80000000000001</v>
      </c>
      <c r="CT85" s="243" t="s">
        <v>420</v>
      </c>
      <c r="CU85" s="244">
        <v>2E-16</v>
      </c>
      <c r="CV85" s="81" t="s">
        <v>385</v>
      </c>
    </row>
    <row r="86" spans="55:100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353</v>
      </c>
      <c r="BU86" s="166">
        <v>9.84</v>
      </c>
      <c r="BV86" s="166">
        <v>1.27</v>
      </c>
      <c r="BW86" s="81">
        <v>7.73</v>
      </c>
      <c r="BX86" s="166">
        <v>1.4E-14</v>
      </c>
      <c r="BY86" s="81" t="s">
        <v>385</v>
      </c>
      <c r="BZ86" s="81"/>
      <c r="CO86" s="243" t="s">
        <v>373</v>
      </c>
      <c r="CP86" s="243" t="s">
        <v>296</v>
      </c>
      <c r="CQ86" s="244">
        <v>28800000</v>
      </c>
      <c r="CR86" s="244">
        <v>810000</v>
      </c>
      <c r="CS86" s="243">
        <v>35.549999999999997</v>
      </c>
      <c r="CT86" s="243" t="s">
        <v>420</v>
      </c>
      <c r="CU86" s="244">
        <v>2E-16</v>
      </c>
      <c r="CV86" s="81" t="s">
        <v>385</v>
      </c>
    </row>
    <row r="87" spans="55:100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355</v>
      </c>
      <c r="BU87" s="166">
        <v>1.35</v>
      </c>
      <c r="BV87" s="166">
        <v>0.24399999999999999</v>
      </c>
      <c r="BW87" s="81">
        <v>5.54</v>
      </c>
      <c r="BX87" s="166">
        <v>3.1E-8</v>
      </c>
      <c r="BY87" s="81" t="s">
        <v>385</v>
      </c>
      <c r="BZ87" s="81"/>
      <c r="CO87" s="243" t="s">
        <v>373</v>
      </c>
      <c r="CP87" s="243" t="s">
        <v>298</v>
      </c>
      <c r="CQ87" s="244">
        <v>23200000</v>
      </c>
      <c r="CR87" s="244">
        <v>534000</v>
      </c>
      <c r="CS87" s="243">
        <v>43.47</v>
      </c>
      <c r="CT87" s="243" t="s">
        <v>420</v>
      </c>
      <c r="CU87" s="244">
        <v>2E-16</v>
      </c>
      <c r="CV87" s="81" t="s">
        <v>385</v>
      </c>
    </row>
    <row r="88" spans="55:100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J88" s="81"/>
      <c r="BS88" s="81" t="s">
        <v>373</v>
      </c>
      <c r="BT88" s="81" t="s">
        <v>424</v>
      </c>
      <c r="BU88" s="166">
        <v>139000000</v>
      </c>
      <c r="BV88" s="166">
        <v>35000000</v>
      </c>
      <c r="BW88" s="81">
        <v>3.98</v>
      </c>
      <c r="BX88" s="166">
        <v>6.8999999999999997E-5</v>
      </c>
      <c r="BY88" s="81" t="s">
        <v>385</v>
      </c>
      <c r="BZ88" s="81"/>
      <c r="CO88" s="243" t="s">
        <v>373</v>
      </c>
      <c r="CP88" s="243" t="s">
        <v>396</v>
      </c>
      <c r="CQ88" s="244">
        <v>-31.3</v>
      </c>
      <c r="CR88" s="244">
        <v>278</v>
      </c>
      <c r="CS88" s="243">
        <v>-0.11</v>
      </c>
      <c r="CT88" s="243">
        <v>0.91</v>
      </c>
      <c r="CV88" s="81"/>
    </row>
    <row r="89" spans="55:100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I89" s="81"/>
      <c r="BJ89" s="81"/>
      <c r="BS89" s="81" t="s">
        <v>373</v>
      </c>
      <c r="BT89" s="81" t="s">
        <v>359</v>
      </c>
      <c r="BU89" s="166">
        <v>18800000</v>
      </c>
      <c r="BV89" s="166">
        <v>2330000</v>
      </c>
      <c r="BW89" s="81">
        <v>8.09</v>
      </c>
      <c r="BX89" s="166">
        <v>6.7000000000000004E-16</v>
      </c>
      <c r="BY89" s="81" t="s">
        <v>385</v>
      </c>
      <c r="BZ89" s="81"/>
      <c r="CO89" s="243" t="s">
        <v>373</v>
      </c>
      <c r="CP89" s="243" t="s">
        <v>397</v>
      </c>
      <c r="CQ89" s="244">
        <v>-15</v>
      </c>
      <c r="CR89" s="244">
        <v>33.299999999999997</v>
      </c>
      <c r="CS89" s="243">
        <v>-0.45</v>
      </c>
      <c r="CT89" s="243">
        <v>0.65</v>
      </c>
      <c r="CV89" s="81"/>
    </row>
    <row r="90" spans="55:100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401</v>
      </c>
      <c r="BU90" s="166">
        <v>8.0500000000000007</v>
      </c>
      <c r="BV90" s="166">
        <v>5.5100000000000003E-2</v>
      </c>
      <c r="BW90" s="81">
        <v>146.16999999999999</v>
      </c>
      <c r="BX90" s="81" t="s">
        <v>420</v>
      </c>
      <c r="BY90" s="166">
        <v>2E-16</v>
      </c>
      <c r="BZ90" s="81" t="s">
        <v>385</v>
      </c>
      <c r="CO90" s="243" t="s">
        <v>373</v>
      </c>
      <c r="CP90" s="243" t="s">
        <v>399</v>
      </c>
      <c r="CQ90" s="244">
        <v>-15.2</v>
      </c>
      <c r="CR90" s="244">
        <v>118</v>
      </c>
      <c r="CS90" s="243">
        <v>-0.13</v>
      </c>
      <c r="CT90" s="243">
        <v>0.9</v>
      </c>
      <c r="CV90" s="81"/>
    </row>
    <row r="91" spans="55:100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425</v>
      </c>
      <c r="BU91" s="166">
        <v>10</v>
      </c>
      <c r="BV91" s="166">
        <v>2.14E-3</v>
      </c>
      <c r="BW91" s="81">
        <v>4675.1499999999996</v>
      </c>
      <c r="BX91" s="81" t="s">
        <v>420</v>
      </c>
      <c r="BY91" s="166">
        <v>2E-16</v>
      </c>
      <c r="BZ91" s="81" t="s">
        <v>385</v>
      </c>
      <c r="CO91" s="243" t="s">
        <v>373</v>
      </c>
      <c r="CP91" s="243" t="s">
        <v>400</v>
      </c>
      <c r="CQ91" s="244">
        <v>-15</v>
      </c>
      <c r="CR91" s="244">
        <v>27.8</v>
      </c>
      <c r="CS91" s="243">
        <v>-0.54</v>
      </c>
      <c r="CT91" s="243">
        <v>0.59</v>
      </c>
      <c r="CV91" s="81"/>
    </row>
    <row r="92" spans="55:100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413</v>
      </c>
      <c r="BU92" s="166">
        <v>-4.74</v>
      </c>
      <c r="BV92" s="166">
        <v>3.8199999999999998E-2</v>
      </c>
      <c r="BW92" s="81">
        <v>-124.2</v>
      </c>
      <c r="BX92" s="81" t="s">
        <v>420</v>
      </c>
      <c r="BY92" s="166">
        <v>2E-16</v>
      </c>
      <c r="BZ92" s="81" t="s">
        <v>385</v>
      </c>
      <c r="CO92" s="243" t="s">
        <v>373</v>
      </c>
      <c r="CP92" s="243" t="s">
        <v>402</v>
      </c>
      <c r="CQ92" s="244">
        <v>6.8099999999999994E-2</v>
      </c>
      <c r="CR92" s="244">
        <v>5.4900000000000001E-4</v>
      </c>
      <c r="CS92" s="243">
        <v>124.11</v>
      </c>
      <c r="CT92" s="243" t="s">
        <v>420</v>
      </c>
      <c r="CU92" s="244">
        <v>2E-16</v>
      </c>
      <c r="CV92" s="81" t="s">
        <v>385</v>
      </c>
    </row>
    <row r="93" spans="55:100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426</v>
      </c>
      <c r="BU93" s="166">
        <v>-4.71</v>
      </c>
      <c r="BV93" s="166">
        <v>4.3700000000000003E-2</v>
      </c>
      <c r="BW93" s="81">
        <v>-107.8</v>
      </c>
      <c r="BX93" s="81" t="s">
        <v>420</v>
      </c>
      <c r="BY93" s="166">
        <v>2E-16</v>
      </c>
      <c r="BZ93" s="81" t="s">
        <v>385</v>
      </c>
      <c r="CO93" s="243" t="s">
        <v>373</v>
      </c>
      <c r="CP93" s="243" t="s">
        <v>403</v>
      </c>
      <c r="CQ93" s="244">
        <v>0.193</v>
      </c>
      <c r="CR93" s="244">
        <v>1.16E-3</v>
      </c>
      <c r="CS93" s="243">
        <v>165.47</v>
      </c>
      <c r="CT93" s="243" t="s">
        <v>420</v>
      </c>
      <c r="CU93" s="244">
        <v>2E-16</v>
      </c>
      <c r="CV93" s="81" t="s">
        <v>385</v>
      </c>
    </row>
    <row r="94" spans="55:100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365</v>
      </c>
      <c r="BU94" s="166">
        <v>192</v>
      </c>
      <c r="BV94" s="166">
        <v>3.81</v>
      </c>
      <c r="BW94" s="81">
        <v>50.34</v>
      </c>
      <c r="BX94" s="81" t="s">
        <v>420</v>
      </c>
      <c r="BY94" s="166">
        <v>2E-16</v>
      </c>
      <c r="BZ94" s="81" t="s">
        <v>385</v>
      </c>
      <c r="CO94" s="243" t="s">
        <v>373</v>
      </c>
      <c r="CP94" s="243" t="s">
        <v>404</v>
      </c>
      <c r="CQ94" s="244">
        <v>0.69199999999999995</v>
      </c>
      <c r="CR94" s="244">
        <v>2.3700000000000001E-3</v>
      </c>
      <c r="CS94" s="243">
        <v>292.29000000000002</v>
      </c>
      <c r="CT94" s="243" t="s">
        <v>420</v>
      </c>
      <c r="CU94" s="244">
        <v>2E-16</v>
      </c>
      <c r="CV94" s="81" t="s">
        <v>385</v>
      </c>
    </row>
    <row r="95" spans="55:100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367</v>
      </c>
      <c r="BU95" s="166">
        <v>2.63E-4</v>
      </c>
      <c r="BV95" s="166">
        <v>6.5899999999999997E-4</v>
      </c>
      <c r="BW95" s="81">
        <v>0.4</v>
      </c>
      <c r="BX95" s="81">
        <v>0.69</v>
      </c>
      <c r="BY95" s="81"/>
      <c r="BZ95" s="81"/>
      <c r="CO95" s="243" t="s">
        <v>373</v>
      </c>
      <c r="CP95" s="243" t="s">
        <v>405</v>
      </c>
      <c r="CQ95" s="244">
        <v>2.9899999999999999E-2</v>
      </c>
      <c r="CR95" s="244">
        <v>2.8499999999999999E-4</v>
      </c>
      <c r="CS95" s="243">
        <v>105.05</v>
      </c>
      <c r="CT95" s="243" t="s">
        <v>420</v>
      </c>
      <c r="CU95" s="244">
        <v>2E-16</v>
      </c>
      <c r="CV95" s="81" t="s">
        <v>385</v>
      </c>
    </row>
    <row r="96" spans="55:100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369</v>
      </c>
      <c r="BU96" s="166">
        <v>389</v>
      </c>
      <c r="BV96" s="166">
        <v>9.27</v>
      </c>
      <c r="BW96" s="81">
        <v>41.99</v>
      </c>
      <c r="BX96" s="81" t="s">
        <v>420</v>
      </c>
      <c r="BY96" s="166">
        <v>2E-16</v>
      </c>
      <c r="BZ96" s="81" t="s">
        <v>385</v>
      </c>
      <c r="CO96" s="243" t="s">
        <v>373</v>
      </c>
      <c r="CP96" s="243" t="s">
        <v>407</v>
      </c>
      <c r="CQ96" s="244">
        <v>329</v>
      </c>
      <c r="CR96" s="244">
        <v>2.23</v>
      </c>
      <c r="CS96" s="243">
        <v>147.51</v>
      </c>
      <c r="CT96" s="243" t="s">
        <v>420</v>
      </c>
      <c r="CU96" s="244">
        <v>2E-16</v>
      </c>
      <c r="CV96" s="81" t="s">
        <v>385</v>
      </c>
    </row>
    <row r="97" spans="93:100" thickTop="1" thickBot="1" x14ac:dyDescent="0.3">
      <c r="CO97" s="243" t="s">
        <v>373</v>
      </c>
      <c r="CP97" s="243" t="s">
        <v>290</v>
      </c>
      <c r="CQ97" s="244">
        <v>832</v>
      </c>
      <c r="CR97" s="244">
        <v>5.91</v>
      </c>
      <c r="CS97" s="243">
        <v>140.74</v>
      </c>
      <c r="CT97" s="243" t="s">
        <v>420</v>
      </c>
      <c r="CU97" s="244">
        <v>2E-16</v>
      </c>
      <c r="CV97" s="81" t="s">
        <v>385</v>
      </c>
    </row>
    <row r="98" spans="93:100" thickTop="1" thickBot="1" x14ac:dyDescent="0.3">
      <c r="CO98" s="243" t="s">
        <v>373</v>
      </c>
      <c r="CP98" s="243" t="s">
        <v>120</v>
      </c>
      <c r="CQ98" s="244">
        <v>114</v>
      </c>
      <c r="CR98" s="244">
        <v>0.86699999999999999</v>
      </c>
      <c r="CS98" s="243">
        <v>130.97999999999999</v>
      </c>
      <c r="CT98" s="243" t="s">
        <v>420</v>
      </c>
      <c r="CU98" s="244">
        <v>2E-16</v>
      </c>
      <c r="CV98" s="81" t="s">
        <v>385</v>
      </c>
    </row>
    <row r="99" spans="93:100" thickTop="1" thickBot="1" x14ac:dyDescent="0.3">
      <c r="CO99" s="243" t="s">
        <v>373</v>
      </c>
      <c r="CP99" s="243" t="s">
        <v>409</v>
      </c>
      <c r="CQ99" s="244">
        <v>-6.33</v>
      </c>
      <c r="CR99" s="244">
        <v>1.5299999999999999E-2</v>
      </c>
      <c r="CS99" s="243">
        <v>-412.89</v>
      </c>
      <c r="CT99" s="243" t="s">
        <v>420</v>
      </c>
      <c r="CU99" s="244">
        <v>2E-16</v>
      </c>
      <c r="CV99" s="81" t="s">
        <v>385</v>
      </c>
    </row>
    <row r="100" spans="93:100" thickTop="1" thickBot="1" x14ac:dyDescent="0.3">
      <c r="CO100" s="243" t="s">
        <v>373</v>
      </c>
      <c r="CP100" s="243" t="s">
        <v>410</v>
      </c>
      <c r="CQ100" s="244">
        <v>-6.17</v>
      </c>
      <c r="CR100" s="244">
        <v>1.5299999999999999E-2</v>
      </c>
      <c r="CS100" s="243">
        <v>-403.59</v>
      </c>
      <c r="CT100" s="243" t="s">
        <v>420</v>
      </c>
      <c r="CU100" s="244">
        <v>2E-16</v>
      </c>
      <c r="CV100" s="81" t="s">
        <v>385</v>
      </c>
    </row>
    <row r="101" spans="93:100" thickTop="1" thickBot="1" x14ac:dyDescent="0.3">
      <c r="CO101" s="243" t="s">
        <v>373</v>
      </c>
      <c r="CP101" s="243" t="s">
        <v>411</v>
      </c>
      <c r="CQ101" s="244">
        <v>-6.37</v>
      </c>
      <c r="CR101" s="244">
        <v>1.6799999999999999E-2</v>
      </c>
      <c r="CS101" s="243">
        <v>-378.36</v>
      </c>
      <c r="CT101" s="243" t="s">
        <v>420</v>
      </c>
      <c r="CU101" s="244">
        <v>2E-16</v>
      </c>
      <c r="CV101" s="81" t="s">
        <v>385</v>
      </c>
    </row>
    <row r="102" spans="93:100" thickTop="1" thickBot="1" x14ac:dyDescent="0.3">
      <c r="CO102" s="243" t="s">
        <v>373</v>
      </c>
      <c r="CP102" s="243" t="s">
        <v>412</v>
      </c>
      <c r="CQ102" s="244">
        <v>-5.7</v>
      </c>
      <c r="CR102" s="244">
        <v>1.8700000000000001E-2</v>
      </c>
      <c r="CS102" s="243">
        <v>-304.97000000000003</v>
      </c>
      <c r="CT102" s="243" t="s">
        <v>420</v>
      </c>
      <c r="CU102" s="244">
        <v>2E-16</v>
      </c>
      <c r="CV102" s="81" t="s">
        <v>385</v>
      </c>
    </row>
    <row r="103" spans="93:100" thickTop="1" thickBot="1" x14ac:dyDescent="0.3">
      <c r="CO103" s="243" t="s">
        <v>373</v>
      </c>
      <c r="CP103" s="243" t="s">
        <v>414</v>
      </c>
      <c r="CQ103" s="244">
        <v>7.3999999999999999E-4</v>
      </c>
      <c r="CR103" s="244">
        <v>1.9899999999999999E-5</v>
      </c>
      <c r="CS103" s="243">
        <v>37.25</v>
      </c>
      <c r="CT103" s="243" t="s">
        <v>420</v>
      </c>
      <c r="CU103" s="244">
        <v>2E-16</v>
      </c>
      <c r="CV103" s="81" t="s">
        <v>385</v>
      </c>
    </row>
    <row r="104" spans="93:100" thickTop="1" thickBot="1" x14ac:dyDescent="0.3">
      <c r="CO104" s="243" t="s">
        <v>373</v>
      </c>
      <c r="CP104" s="243" t="s">
        <v>415</v>
      </c>
      <c r="CQ104" s="244">
        <v>109</v>
      </c>
      <c r="CR104" s="244">
        <v>1.21</v>
      </c>
      <c r="CS104" s="243">
        <v>89.77</v>
      </c>
      <c r="CT104" s="243" t="s">
        <v>420</v>
      </c>
      <c r="CU104" s="244">
        <v>2E-16</v>
      </c>
      <c r="CV104" s="81" t="s">
        <v>385</v>
      </c>
    </row>
    <row r="105" spans="93:100" thickTop="1" thickBot="1" x14ac:dyDescent="0.3">
      <c r="CO105" s="243" t="s">
        <v>373</v>
      </c>
      <c r="CP105" s="243" t="s">
        <v>416</v>
      </c>
      <c r="CQ105" s="244">
        <v>345</v>
      </c>
      <c r="CR105" s="244">
        <v>29.6</v>
      </c>
      <c r="CS105" s="243">
        <v>11.63</v>
      </c>
      <c r="CT105" s="244" t="s">
        <v>420</v>
      </c>
      <c r="CU105" s="244">
        <v>2E-16</v>
      </c>
      <c r="CV105" s="81" t="s">
        <v>385</v>
      </c>
    </row>
    <row r="108" spans="93:100" thickTop="1" thickBot="1" x14ac:dyDescent="0.3">
      <c r="CO108" s="243" t="s">
        <v>373</v>
      </c>
      <c r="CP108" s="243" t="s">
        <v>422</v>
      </c>
      <c r="CQ108" s="244">
        <v>291</v>
      </c>
      <c r="CR108" s="244">
        <v>0.17299999999999999</v>
      </c>
      <c r="CS108" s="243">
        <v>1682.23</v>
      </c>
      <c r="CT108" s="243" t="s">
        <v>384</v>
      </c>
      <c r="CU108" s="244" t="s">
        <v>385</v>
      </c>
      <c r="CV108" s="243" t="s">
        <v>385</v>
      </c>
    </row>
    <row r="109" spans="93:100" thickTop="1" thickBot="1" x14ac:dyDescent="0.3">
      <c r="CO109" s="243" t="s">
        <v>373</v>
      </c>
      <c r="CP109" s="243" t="s">
        <v>423</v>
      </c>
      <c r="CQ109" s="244">
        <v>295</v>
      </c>
      <c r="CR109" s="244">
        <v>0.15</v>
      </c>
      <c r="CS109" s="243">
        <v>1970.49</v>
      </c>
      <c r="CT109" s="243" t="s">
        <v>384</v>
      </c>
      <c r="CU109" s="244" t="s">
        <v>385</v>
      </c>
      <c r="CV109" s="81" t="s">
        <v>385</v>
      </c>
    </row>
    <row r="110" spans="93:100" thickTop="1" thickBot="1" x14ac:dyDescent="0.3">
      <c r="CO110" s="243" t="s">
        <v>373</v>
      </c>
      <c r="CP110" s="243" t="s">
        <v>353</v>
      </c>
      <c r="CQ110" s="244">
        <v>6.1699999999999998E-2</v>
      </c>
      <c r="CR110" s="244">
        <v>1.6000000000000001E-3</v>
      </c>
      <c r="CS110" s="243">
        <v>38.56</v>
      </c>
      <c r="CT110" s="244" t="s">
        <v>384</v>
      </c>
      <c r="CU110" s="244" t="s">
        <v>385</v>
      </c>
      <c r="CV110" s="81" t="s">
        <v>385</v>
      </c>
    </row>
    <row r="111" spans="93:100" thickTop="1" thickBot="1" x14ac:dyDescent="0.3">
      <c r="CO111" s="243" t="s">
        <v>373</v>
      </c>
      <c r="CP111" s="243" t="s">
        <v>355</v>
      </c>
      <c r="CQ111" s="244">
        <v>5.4899999999999997E-2</v>
      </c>
      <c r="CR111" s="244">
        <v>3.0599999999999998E-3</v>
      </c>
      <c r="CS111" s="243">
        <v>17.91</v>
      </c>
      <c r="CT111" s="244" t="s">
        <v>384</v>
      </c>
      <c r="CU111" s="244" t="s">
        <v>385</v>
      </c>
      <c r="CV111" s="81" t="s">
        <v>385</v>
      </c>
    </row>
    <row r="112" spans="93:100" thickTop="1" thickBot="1" x14ac:dyDescent="0.3">
      <c r="CO112" s="243" t="s">
        <v>373</v>
      </c>
      <c r="CP112" s="243" t="s">
        <v>424</v>
      </c>
      <c r="CQ112" s="244">
        <v>995000000</v>
      </c>
      <c r="CR112" s="244">
        <v>26500000</v>
      </c>
      <c r="CS112" s="243">
        <v>37.58</v>
      </c>
      <c r="CT112" s="244" t="s">
        <v>384</v>
      </c>
      <c r="CU112" s="243" t="s">
        <v>385</v>
      </c>
      <c r="CV112" s="81"/>
    </row>
    <row r="113" spans="93:100" thickTop="1" thickBot="1" x14ac:dyDescent="0.3">
      <c r="CO113" s="243" t="s">
        <v>373</v>
      </c>
      <c r="CP113" s="243" t="s">
        <v>359</v>
      </c>
      <c r="CQ113" s="244">
        <v>253000000</v>
      </c>
      <c r="CR113" s="244">
        <v>123000000</v>
      </c>
      <c r="CS113" s="243">
        <v>2.06</v>
      </c>
      <c r="CT113" s="244">
        <v>3.9E-2</v>
      </c>
      <c r="CU113" s="243" t="s">
        <v>418</v>
      </c>
      <c r="CV113" s="81"/>
    </row>
    <row r="114" spans="93:100" thickTop="1" thickBot="1" x14ac:dyDescent="0.3">
      <c r="CO114" s="243" t="s">
        <v>373</v>
      </c>
      <c r="CP114" s="243" t="s">
        <v>401</v>
      </c>
      <c r="CQ114" s="244">
        <v>-16.100000000000001</v>
      </c>
      <c r="CR114" s="244">
        <v>241</v>
      </c>
      <c r="CS114" s="243">
        <v>-7.0000000000000007E-2</v>
      </c>
      <c r="CT114" s="243">
        <v>0.94699999999999995</v>
      </c>
      <c r="CU114" s="244"/>
      <c r="CV114" s="81"/>
    </row>
    <row r="115" spans="93:100" thickTop="1" thickBot="1" x14ac:dyDescent="0.3">
      <c r="CO115" s="243" t="s">
        <v>373</v>
      </c>
      <c r="CP115" s="243" t="s">
        <v>425</v>
      </c>
      <c r="CQ115" s="244">
        <v>-15.6</v>
      </c>
      <c r="CR115" s="244">
        <v>175</v>
      </c>
      <c r="CS115" s="243">
        <v>-0.09</v>
      </c>
      <c r="CT115" s="243">
        <v>0.92900000000000005</v>
      </c>
      <c r="CU115" s="244"/>
      <c r="CV115" s="81"/>
    </row>
    <row r="116" spans="93:100" thickTop="1" thickBot="1" x14ac:dyDescent="0.3">
      <c r="CO116" s="243" t="s">
        <v>373</v>
      </c>
      <c r="CP116" s="243" t="s">
        <v>430</v>
      </c>
      <c r="CQ116" s="244">
        <v>2.86E-2</v>
      </c>
      <c r="CR116" s="244">
        <v>1.8699999999999999E-4</v>
      </c>
      <c r="CS116" s="243">
        <v>152.78</v>
      </c>
      <c r="CT116" s="243" t="s">
        <v>384</v>
      </c>
      <c r="CU116" s="244" t="s">
        <v>385</v>
      </c>
      <c r="CV116" s="81" t="s">
        <v>385</v>
      </c>
    </row>
    <row r="117" spans="93:100" thickTop="1" thickBot="1" x14ac:dyDescent="0.3">
      <c r="CO117" s="243" t="s">
        <v>373</v>
      </c>
      <c r="CP117" s="243" t="s">
        <v>431</v>
      </c>
      <c r="CQ117" s="244">
        <v>3.0099999999999998E-2</v>
      </c>
      <c r="CR117" s="244">
        <v>2.1000000000000001E-4</v>
      </c>
      <c r="CS117" s="243">
        <v>143.59</v>
      </c>
      <c r="CT117" s="243" t="s">
        <v>384</v>
      </c>
      <c r="CU117" s="244" t="s">
        <v>385</v>
      </c>
      <c r="CV117" s="81" t="s">
        <v>385</v>
      </c>
    </row>
    <row r="118" spans="93:100" thickTop="1" thickBot="1" x14ac:dyDescent="0.3">
      <c r="CO118" s="243" t="s">
        <v>373</v>
      </c>
      <c r="CP118" s="243" t="s">
        <v>413</v>
      </c>
      <c r="CQ118" s="244">
        <v>-5.3</v>
      </c>
      <c r="CR118" s="244">
        <v>1.9300000000000001E-2</v>
      </c>
      <c r="CS118" s="243">
        <v>-274.49</v>
      </c>
      <c r="CT118" s="243" t="s">
        <v>384</v>
      </c>
      <c r="CU118" s="244" t="s">
        <v>385</v>
      </c>
      <c r="CV118" s="81" t="s">
        <v>385</v>
      </c>
    </row>
    <row r="119" spans="93:100" thickTop="1" thickBot="1" x14ac:dyDescent="0.3">
      <c r="CO119" s="243" t="s">
        <v>373</v>
      </c>
      <c r="CP119" s="243" t="s">
        <v>426</v>
      </c>
      <c r="CQ119" s="244">
        <v>-5.17</v>
      </c>
      <c r="CR119" s="244">
        <v>1.83E-2</v>
      </c>
      <c r="CS119" s="243">
        <v>-282.29000000000002</v>
      </c>
      <c r="CT119" s="243" t="s">
        <v>384</v>
      </c>
      <c r="CU119" s="244" t="s">
        <v>385</v>
      </c>
      <c r="CV119" s="81" t="s">
        <v>385</v>
      </c>
    </row>
    <row r="120" spans="93:100" thickTop="1" thickBot="1" x14ac:dyDescent="0.3">
      <c r="CO120" s="243" t="s">
        <v>373</v>
      </c>
      <c r="CP120" s="243" t="s">
        <v>365</v>
      </c>
      <c r="CQ120" s="244">
        <v>46.3</v>
      </c>
      <c r="CR120" s="244">
        <v>0.49199999999999999</v>
      </c>
      <c r="CS120" s="243">
        <v>94.12</v>
      </c>
      <c r="CT120" s="243" t="s">
        <v>384</v>
      </c>
      <c r="CU120" s="244" t="s">
        <v>385</v>
      </c>
      <c r="CV120" s="81" t="s">
        <v>385</v>
      </c>
    </row>
    <row r="121" spans="93:100" thickTop="1" thickBot="1" x14ac:dyDescent="0.3">
      <c r="CO121" s="243" t="s">
        <v>373</v>
      </c>
      <c r="CP121" s="243" t="s">
        <v>367</v>
      </c>
      <c r="CQ121" s="244">
        <v>699</v>
      </c>
      <c r="CR121" s="244">
        <v>361</v>
      </c>
      <c r="CS121" s="243">
        <v>1.94</v>
      </c>
      <c r="CT121" s="243">
        <v>5.2999999999999999E-2</v>
      </c>
      <c r="CU121" s="243" t="s">
        <v>428</v>
      </c>
      <c r="CV121" s="81"/>
    </row>
    <row r="122" spans="93:100" thickTop="1" thickBot="1" x14ac:dyDescent="0.3">
      <c r="CO122" s="243" t="s">
        <v>373</v>
      </c>
      <c r="CP122" s="243" t="s">
        <v>369</v>
      </c>
      <c r="CQ122" s="244">
        <v>98.2</v>
      </c>
      <c r="CR122" s="244">
        <v>1.1599999999999999</v>
      </c>
      <c r="CS122" s="243">
        <v>84.84</v>
      </c>
      <c r="CT122" s="243" t="s">
        <v>384</v>
      </c>
      <c r="CU122" s="244" t="s">
        <v>385</v>
      </c>
      <c r="CV122" s="81" t="s">
        <v>385</v>
      </c>
    </row>
  </sheetData>
  <mergeCells count="8">
    <mergeCell ref="W3:AH3"/>
    <mergeCell ref="F33:G33"/>
    <mergeCell ref="F34:G34"/>
    <mergeCell ref="F36:G36"/>
    <mergeCell ref="B1:H1"/>
    <mergeCell ref="B3:I3"/>
    <mergeCell ref="K3:U3"/>
    <mergeCell ref="L4:P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DA122"/>
  <sheetViews>
    <sheetView topLeftCell="O1" zoomScale="70" zoomScaleNormal="70" workbookViewId="0">
      <selection activeCell="CV29" sqref="CV29"/>
    </sheetView>
  </sheetViews>
  <sheetFormatPr defaultRowHeight="16.5" thickTop="1" thickBottom="1" x14ac:dyDescent="0.3"/>
  <cols>
    <col min="1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2"/>
    <col min="19" max="21" width="9.140625" style="81"/>
    <col min="22" max="22" width="9.140625" style="1"/>
    <col min="23" max="34" width="9.140625" style="172"/>
    <col min="35" max="35" width="9.140625" style="81"/>
    <col min="36" max="37" width="9.140625" style="157"/>
    <col min="38" max="38" width="9.140625" style="158"/>
    <col min="39" max="39" width="10.28515625" style="158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0"/>
    <col min="52" max="52" width="14.7109375" style="161" bestFit="1" customWidth="1"/>
    <col min="53" max="53" width="9.140625" style="160"/>
    <col min="54" max="54" width="9.140625" style="170"/>
    <col min="55" max="67" width="9.140625" style="81"/>
    <col min="68" max="68" width="15.42578125" style="81" customWidth="1"/>
    <col min="69" max="69" width="9.140625" style="81"/>
    <col min="70" max="70" width="9.140625" style="170"/>
    <col min="71" max="82" width="9.140625" style="81"/>
    <col min="83" max="83" width="15" style="81" bestFit="1" customWidth="1"/>
    <col min="84" max="85" width="9.140625" style="81"/>
    <col min="86" max="86" width="9.140625" style="238"/>
    <col min="87" max="92" width="9.140625" style="81"/>
    <col min="93" max="99" width="9.140625" style="243"/>
    <col min="100" max="100" width="9.140625" style="81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6" max="16384" width="9.140625" style="81"/>
  </cols>
  <sheetData>
    <row r="1" spans="2:105" ht="20.25" customHeight="1" thickTop="1" thickBot="1" x14ac:dyDescent="0.35">
      <c r="B1" s="292" t="s">
        <v>307</v>
      </c>
      <c r="C1" s="292"/>
      <c r="D1" s="292"/>
      <c r="E1" s="292"/>
      <c r="F1" s="292"/>
      <c r="G1" s="292"/>
      <c r="H1" s="292"/>
      <c r="AO1" s="159" t="s">
        <v>309</v>
      </c>
      <c r="BS1" s="81" t="s">
        <v>427</v>
      </c>
    </row>
    <row r="2" spans="2:105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</row>
    <row r="3" spans="2:105" thickTop="1" thickBot="1" x14ac:dyDescent="0.3">
      <c r="B3" s="296" t="s">
        <v>1</v>
      </c>
      <c r="C3" s="297"/>
      <c r="D3" s="297"/>
      <c r="E3" s="297"/>
      <c r="F3" s="297"/>
      <c r="G3" s="297"/>
      <c r="H3" s="297"/>
      <c r="I3" s="298"/>
      <c r="K3" s="289" t="s">
        <v>2</v>
      </c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4"/>
      <c r="W3" s="295" t="s">
        <v>3</v>
      </c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0.22</v>
      </c>
      <c r="CF3" s="167" t="s">
        <v>317</v>
      </c>
      <c r="CI3" s="81" t="s">
        <v>316</v>
      </c>
      <c r="CJ3" s="239">
        <f>AZ4</f>
        <v>0.14182479311295912</v>
      </c>
      <c r="CK3" s="239">
        <f>BP4</f>
        <v>0.18</v>
      </c>
      <c r="CL3" s="239">
        <f>CE3</f>
        <v>0.22</v>
      </c>
      <c r="CO3" s="243" t="s">
        <v>513</v>
      </c>
      <c r="CP3" s="243" t="s">
        <v>374</v>
      </c>
      <c r="CQ3" s="243" t="s">
        <v>441</v>
      </c>
      <c r="CW3" s="245" t="s">
        <v>459</v>
      </c>
    </row>
    <row r="4" spans="2:105" ht="15.75" customHeight="1" thickTop="1" thickBot="1" x14ac:dyDescent="0.3">
      <c r="B4" s="234" t="s">
        <v>6</v>
      </c>
      <c r="C4" s="235">
        <f>'Tabula data'!B5</f>
        <v>621.29999999999995</v>
      </c>
      <c r="D4" s="235" t="s">
        <v>7</v>
      </c>
      <c r="E4" s="234" t="s">
        <v>8</v>
      </c>
      <c r="F4" s="235"/>
      <c r="G4" s="235"/>
      <c r="H4" s="236">
        <f>SUM(I6:I13)</f>
        <v>31.5</v>
      </c>
      <c r="I4" s="237" t="s">
        <v>9</v>
      </c>
      <c r="L4" s="299" t="s">
        <v>432</v>
      </c>
      <c r="M4" s="300"/>
      <c r="N4" s="300"/>
      <c r="O4" s="300"/>
      <c r="P4" s="301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SUM(O6:O9)/SUM($O$6:$O$14,$O$26:$O$27)</f>
        <v>0.14182479311295912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0.14182479311295912</v>
      </c>
      <c r="BA4" s="167" t="s">
        <v>317</v>
      </c>
      <c r="BC4" s="81" t="s">
        <v>373</v>
      </c>
      <c r="BD4" s="81" t="s">
        <v>376</v>
      </c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0.45400000000000001</v>
      </c>
      <c r="CF4" s="167" t="s">
        <v>317</v>
      </c>
      <c r="CI4" s="81" t="s">
        <v>319</v>
      </c>
      <c r="CJ4" s="239">
        <f t="shared" ref="CJ4:CJ49" si="1">AZ5</f>
        <v>0.24990131486191219</v>
      </c>
      <c r="CK4" s="239">
        <f t="shared" ref="CK4:CK49" si="2">BP5</f>
        <v>0.33600000000000002</v>
      </c>
      <c r="CL4" s="239">
        <f t="shared" ref="CL4:CL49" si="3">CE4</f>
        <v>0.45400000000000001</v>
      </c>
      <c r="CO4" s="243" t="s">
        <v>373</v>
      </c>
      <c r="CP4" s="243" t="s">
        <v>376</v>
      </c>
    </row>
    <row r="5" spans="2:105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s="81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1/(1/10+SUM(AD7:AD11)+1/23)</f>
        <v>0.27481053799679722</v>
      </c>
      <c r="AB5" s="217" t="s">
        <v>5</v>
      </c>
      <c r="AC5" s="217"/>
      <c r="AD5" s="217" t="s">
        <v>22</v>
      </c>
      <c r="AE5" s="220">
        <f>SUM(AE7:AE11)</f>
        <v>85322</v>
      </c>
      <c r="AF5" s="222" t="s">
        <v>23</v>
      </c>
      <c r="AG5" s="222">
        <f>SUM(AE10:AE11)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SUM(O27)/SUM($O$6:$O$14,$O$26:$O$27)</f>
        <v>0.24990131486191219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0.24990131486191219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5.8500000000000003E-2</v>
      </c>
      <c r="CF5" s="167" t="s">
        <v>317</v>
      </c>
      <c r="CI5" s="81" t="s">
        <v>320</v>
      </c>
      <c r="CJ5" s="239">
        <f t="shared" si="1"/>
        <v>5.7315667361027681E-2</v>
      </c>
      <c r="CK5" s="239">
        <f t="shared" si="2"/>
        <v>0.33700000000000002</v>
      </c>
      <c r="CL5" s="239">
        <f t="shared" si="3"/>
        <v>5.8500000000000003E-2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W5" s="245" t="s">
        <v>460</v>
      </c>
      <c r="CX5" s="246" t="s">
        <v>461</v>
      </c>
      <c r="CY5" s="246" t="s">
        <v>318</v>
      </c>
      <c r="CZ5" s="247">
        <f>CQ11</f>
        <v>0.113</v>
      </c>
      <c r="DA5" s="245" t="s">
        <v>317</v>
      </c>
    </row>
    <row r="6" spans="2:105" ht="15" customHeight="1" thickTop="1" thickBot="1" x14ac:dyDescent="0.3">
      <c r="B6" s="193" t="s">
        <v>34</v>
      </c>
      <c r="C6" s="195">
        <f>'Tabula data'!B4</f>
        <v>225.9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0.13333333333333333</v>
      </c>
      <c r="H6" s="176"/>
      <c r="I6" s="180">
        <f>'Tabula data'!B21*'Tabula Ref1'!D45</f>
        <v>4.2</v>
      </c>
      <c r="K6" s="81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19.486299247454621</v>
      </c>
      <c r="P6" s="207" t="s">
        <v>26</v>
      </c>
      <c r="Q6" s="30">
        <f t="shared" ref="Q6:Q27" si="7">VLOOKUP(N6,$X$5:$AA$392,4,0)</f>
        <v>0.29666979362101314</v>
      </c>
      <c r="R6" s="30">
        <f t="shared" ref="R6:R27" si="8">Q6*O6</f>
        <v>5.7809963761796661</v>
      </c>
      <c r="S6" s="30">
        <f t="shared" ref="S6:S14" si="9">VLOOKUP(N6,$X$5:$AE$392,8,0)*O6</f>
        <v>8818629.9504515249</v>
      </c>
      <c r="T6" s="30">
        <f t="shared" ref="T6:T14" si="10">S6/O6</f>
        <v>452555.4</v>
      </c>
      <c r="U6" s="30">
        <f t="shared" ref="U6:U14" si="11">VLOOKUP(N6,$X$5:$AG$391,10,0)*O6</f>
        <v>7889612.839309427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SUM(O10:O13)/SUM($O$6:$O$14,$O$26:$O$27)</f>
        <v>5.7315667361027681E-2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5.7315667361027681E-2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290</v>
      </c>
      <c r="BV6" s="166">
        <v>0.105</v>
      </c>
      <c r="BW6" s="81">
        <v>2755.29</v>
      </c>
      <c r="BX6" s="81" t="s">
        <v>384</v>
      </c>
      <c r="BY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0.152</v>
      </c>
      <c r="CF6" s="167" t="s">
        <v>317</v>
      </c>
      <c r="CI6" s="81" t="s">
        <v>321</v>
      </c>
      <c r="CJ6" s="239">
        <f t="shared" si="1"/>
        <v>0.27547911233205047</v>
      </c>
      <c r="CK6" s="239">
        <f t="shared" si="2"/>
        <v>0.10299999999999999</v>
      </c>
      <c r="CL6" s="239">
        <f t="shared" si="3"/>
        <v>0.152</v>
      </c>
      <c r="CO6" s="243" t="s">
        <v>373</v>
      </c>
      <c r="CP6" s="243" t="s">
        <v>383</v>
      </c>
      <c r="CQ6" s="244">
        <v>293</v>
      </c>
      <c r="CR6" s="244">
        <v>4.0599999999999997E-2</v>
      </c>
      <c r="CS6" s="243">
        <v>7216.92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0.156</v>
      </c>
      <c r="DA6" s="245" t="s">
        <v>317</v>
      </c>
    </row>
    <row r="7" spans="2:105" ht="15" customHeight="1" thickTop="1" thickBot="1" x14ac:dyDescent="0.3">
      <c r="B7" s="178" t="s">
        <v>42</v>
      </c>
      <c r="C7" s="183">
        <f>'Tabula data'!B14</f>
        <v>75.699999999999989</v>
      </c>
      <c r="D7" s="189" t="s">
        <v>9</v>
      </c>
      <c r="E7" s="178" t="s">
        <v>43</v>
      </c>
      <c r="F7" s="176" t="s">
        <v>36</v>
      </c>
      <c r="G7" s="179">
        <f t="shared" si="6"/>
        <v>0.1253968253968254</v>
      </c>
      <c r="H7" s="176"/>
      <c r="I7" s="180">
        <f>'Tabula data'!B22*'Tabula Ref1'!D45</f>
        <v>3.95</v>
      </c>
      <c r="K7" s="81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0</v>
      </c>
      <c r="P7" s="211" t="s">
        <v>39</v>
      </c>
      <c r="Q7" s="30">
        <f t="shared" si="7"/>
        <v>0.29666979362101314</v>
      </c>
      <c r="R7" s="30">
        <f t="shared" si="8"/>
        <v>0</v>
      </c>
      <c r="S7" s="30">
        <f t="shared" si="9"/>
        <v>0</v>
      </c>
      <c r="T7" s="30" t="e">
        <f t="shared" si="10"/>
        <v>#DIV/0!</v>
      </c>
      <c r="U7" s="30">
        <f t="shared" si="11"/>
        <v>0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SUM(O14)/SUM(O6:O14,O27,O26)</f>
        <v>0.27547911233205047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0.27547911233205047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286</v>
      </c>
      <c r="BV7" s="166">
        <v>5.2200000000000003E-2</v>
      </c>
      <c r="BW7" s="81">
        <v>5486.87</v>
      </c>
      <c r="BX7" s="81" t="s">
        <v>384</v>
      </c>
      <c r="BY7" s="81" t="s">
        <v>385</v>
      </c>
      <c r="CA7" s="167"/>
      <c r="CB7" s="167"/>
      <c r="CC7" s="167"/>
      <c r="CD7" s="168"/>
      <c r="CE7" s="161"/>
      <c r="CF7" s="167"/>
      <c r="CJ7" s="240"/>
      <c r="CK7" s="240"/>
      <c r="CL7" s="240"/>
      <c r="CO7" s="243" t="s">
        <v>373</v>
      </c>
      <c r="CP7" s="243" t="s">
        <v>386</v>
      </c>
      <c r="CQ7" s="244">
        <v>292</v>
      </c>
      <c r="CR7" s="244">
        <v>2.6800000000000001E-2</v>
      </c>
      <c r="CS7" s="243">
        <v>10906.5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47">
        <f t="shared" si="12"/>
        <v>0.11799999999999999</v>
      </c>
      <c r="DA7" s="245" t="s">
        <v>317</v>
      </c>
    </row>
    <row r="8" spans="2:105" ht="15" customHeight="1" thickTop="1" thickBot="1" x14ac:dyDescent="0.3">
      <c r="B8" s="178" t="s">
        <v>47</v>
      </c>
      <c r="C8" s="183">
        <f>C6-C7</f>
        <v>150.20000000000002</v>
      </c>
      <c r="D8" s="176" t="s">
        <v>9</v>
      </c>
      <c r="E8" s="178" t="s">
        <v>48</v>
      </c>
      <c r="F8" s="176" t="s">
        <v>36</v>
      </c>
      <c r="G8" s="179">
        <f t="shared" si="6"/>
        <v>0.12857142857142856</v>
      </c>
      <c r="H8" s="176"/>
      <c r="I8" s="180">
        <f>'Tabula data'!B23*D45</f>
        <v>4.05</v>
      </c>
      <c r="K8" s="81" t="s">
        <v>44</v>
      </c>
      <c r="L8" s="208">
        <v>0</v>
      </c>
      <c r="M8" s="209">
        <v>1</v>
      </c>
      <c r="N8" s="209" t="s">
        <v>25</v>
      </c>
      <c r="O8" s="210">
        <f>O6</f>
        <v>19.486299247454621</v>
      </c>
      <c r="P8" s="211" t="s">
        <v>45</v>
      </c>
      <c r="Q8" s="30">
        <f t="shared" si="7"/>
        <v>0.29666979362101314</v>
      </c>
      <c r="R8" s="30">
        <f t="shared" si="8"/>
        <v>5.7809963761796661</v>
      </c>
      <c r="S8" s="30">
        <f t="shared" si="9"/>
        <v>8818629.9504515249</v>
      </c>
      <c r="T8" s="30">
        <f t="shared" si="10"/>
        <v>452555.4</v>
      </c>
      <c r="U8" s="30">
        <f t="shared" si="11"/>
        <v>7889612.839309427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295</v>
      </c>
      <c r="BV8" s="166">
        <v>8.5800000000000001E-2</v>
      </c>
      <c r="BW8" s="81">
        <v>3431.93</v>
      </c>
      <c r="BX8" s="81" t="s">
        <v>384</v>
      </c>
      <c r="BY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161">
        <f>BU19</f>
        <v>2910000</v>
      </c>
      <c r="CF8" s="167" t="s">
        <v>317</v>
      </c>
      <c r="CI8" s="81" t="s">
        <v>322</v>
      </c>
      <c r="CJ8" s="241">
        <f t="shared" si="1"/>
        <v>1095632.3788579016</v>
      </c>
      <c r="CK8" s="241">
        <f t="shared" si="2"/>
        <v>2900000</v>
      </c>
      <c r="CL8" s="241">
        <f t="shared" si="3"/>
        <v>2910000</v>
      </c>
      <c r="CO8" s="243" t="s">
        <v>373</v>
      </c>
      <c r="CP8" s="243" t="s">
        <v>387</v>
      </c>
      <c r="CQ8" s="244">
        <v>295</v>
      </c>
      <c r="CR8" s="244">
        <v>2.4799999999999999E-2</v>
      </c>
      <c r="CS8" s="243">
        <v>11897.02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47">
        <f t="shared" si="12"/>
        <v>7.7799999999999994E-2</v>
      </c>
      <c r="DA8" s="245" t="s">
        <v>317</v>
      </c>
    </row>
    <row r="9" spans="2:105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0.11269841269841269</v>
      </c>
      <c r="H9" s="176"/>
      <c r="I9" s="180">
        <f>'Tabula data'!B24*'Tabula Ref1'!D45</f>
        <v>3.55</v>
      </c>
      <c r="K9" s="81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0</v>
      </c>
      <c r="P9" s="211" t="s">
        <v>50</v>
      </c>
      <c r="Q9" s="30">
        <f t="shared" si="7"/>
        <v>0.29666979362101314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223"/>
      <c r="X9" s="175"/>
      <c r="Y9" s="176" t="s">
        <v>508</v>
      </c>
      <c r="Z9" s="272">
        <v>0.11</v>
      </c>
      <c r="AA9" s="176">
        <v>3.5999999999999997E-2</v>
      </c>
      <c r="AB9" s="176">
        <v>80</v>
      </c>
      <c r="AC9" s="176">
        <v>840</v>
      </c>
      <c r="AD9" s="227">
        <f>Z9/AA9</f>
        <v>3.0555555555555558</v>
      </c>
      <c r="AE9" s="177">
        <f>Z9*AB9*AC9</f>
        <v>7392.0000000000009</v>
      </c>
      <c r="AF9" s="222"/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1095632.3788579016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1095632.3788579016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288</v>
      </c>
      <c r="BV9" s="166">
        <v>0.16300000000000001</v>
      </c>
      <c r="BW9" s="81">
        <v>1771.76</v>
      </c>
      <c r="BX9" s="81" t="s">
        <v>384</v>
      </c>
      <c r="BY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161">
        <f t="shared" ref="CE9:CE10" si="13">BU20</f>
        <v>95200000</v>
      </c>
      <c r="CF9" s="167" t="s">
        <v>317</v>
      </c>
      <c r="CI9" s="81" t="s">
        <v>323</v>
      </c>
      <c r="CJ9" s="241">
        <f t="shared" si="1"/>
        <v>15779225.678618854</v>
      </c>
      <c r="CK9" s="241">
        <f t="shared" si="2"/>
        <v>50500000</v>
      </c>
      <c r="CL9" s="241">
        <f t="shared" si="3"/>
        <v>95200000</v>
      </c>
      <c r="CO9" s="243" t="s">
        <v>373</v>
      </c>
      <c r="CP9" s="243" t="s">
        <v>388</v>
      </c>
      <c r="CQ9" s="244">
        <v>289</v>
      </c>
      <c r="CR9" s="244">
        <v>6.9000000000000006E-2</v>
      </c>
      <c r="CS9" s="243">
        <v>4185.18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47">
        <f t="shared" si="12"/>
        <v>0.57799999999999996</v>
      </c>
      <c r="DA9" s="245" t="s">
        <v>317</v>
      </c>
    </row>
    <row r="10" spans="2:105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0.13333333333333333</v>
      </c>
      <c r="H10" s="176"/>
      <c r="I10" s="185">
        <f>'Tabula data'!B21*(1-D45)</f>
        <v>4.2</v>
      </c>
      <c r="K10" s="81" t="s">
        <v>53</v>
      </c>
      <c r="L10" s="208">
        <v>0</v>
      </c>
      <c r="M10" s="209">
        <v>1</v>
      </c>
      <c r="N10" s="209" t="s">
        <v>54</v>
      </c>
      <c r="O10" s="210">
        <f>I6</f>
        <v>4.2</v>
      </c>
      <c r="P10" s="211" t="s">
        <v>26</v>
      </c>
      <c r="Q10" s="30">
        <f t="shared" si="7"/>
        <v>2</v>
      </c>
      <c r="R10" s="30">
        <f t="shared" si="8"/>
        <v>8.4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75"/>
      <c r="Y10" s="184" t="s">
        <v>55</v>
      </c>
      <c r="Z10" s="176">
        <v>2.5000000000000001E-2</v>
      </c>
      <c r="AA10" s="176">
        <v>0.11</v>
      </c>
      <c r="AB10" s="176">
        <v>550</v>
      </c>
      <c r="AC10" s="176">
        <v>1880</v>
      </c>
      <c r="AD10" s="227">
        <f>Z10/AA10</f>
        <v>0.22727272727272729</v>
      </c>
      <c r="AE10" s="177">
        <f>Z10*AB10*AC10</f>
        <v>25850</v>
      </c>
      <c r="AF10" s="228" t="s">
        <v>270</v>
      </c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15779225.678618854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4">AP10</f>
        <v>15779225.678618854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5">BE19</f>
        <v>50500000</v>
      </c>
      <c r="BQ10" s="167" t="s">
        <v>317</v>
      </c>
      <c r="BS10" s="81" t="s">
        <v>373</v>
      </c>
      <c r="BT10" s="81" t="s">
        <v>389</v>
      </c>
      <c r="BU10" s="166">
        <v>288</v>
      </c>
      <c r="BV10" s="166">
        <v>6.7900000000000002E-2</v>
      </c>
      <c r="BW10" s="81">
        <v>4246.6099999999997</v>
      </c>
      <c r="BX10" s="81" t="s">
        <v>384</v>
      </c>
      <c r="BY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161">
        <f t="shared" si="13"/>
        <v>22100000</v>
      </c>
      <c r="CF10" s="167" t="s">
        <v>317</v>
      </c>
      <c r="CI10" s="81" t="s">
        <v>324</v>
      </c>
      <c r="CJ10" s="241">
        <f t="shared" si="1"/>
        <v>10325428.003634144</v>
      </c>
      <c r="CK10" s="241">
        <f t="shared" si="2"/>
        <v>32700000</v>
      </c>
      <c r="CL10" s="241">
        <f t="shared" si="3"/>
        <v>22100000</v>
      </c>
      <c r="CO10" s="243" t="s">
        <v>373</v>
      </c>
      <c r="CP10" s="243" t="s">
        <v>389</v>
      </c>
      <c r="CQ10" s="244">
        <v>294</v>
      </c>
      <c r="CR10" s="244">
        <v>2.41E-2</v>
      </c>
      <c r="CS10" s="243">
        <v>12179.93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0.84</v>
      </c>
      <c r="DA10" s="245" t="s">
        <v>317</v>
      </c>
    </row>
    <row r="11" spans="2:105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0.1253968253968254</v>
      </c>
      <c r="H11" s="176"/>
      <c r="I11" s="185">
        <f>'Tabula data'!B22*(1-'Tabula Ref1'!D45)</f>
        <v>3.95</v>
      </c>
      <c r="K11" s="81" t="s">
        <v>57</v>
      </c>
      <c r="L11" s="208">
        <v>0</v>
      </c>
      <c r="M11" s="209">
        <v>1</v>
      </c>
      <c r="N11" s="209" t="s">
        <v>54</v>
      </c>
      <c r="O11" s="210">
        <f>I7</f>
        <v>3.95</v>
      </c>
      <c r="P11" s="211" t="s">
        <v>39</v>
      </c>
      <c r="Q11" s="30">
        <f t="shared" si="7"/>
        <v>2</v>
      </c>
      <c r="R11" s="30">
        <f t="shared" si="8"/>
        <v>7.9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87"/>
      <c r="Y11" s="174" t="s">
        <v>433</v>
      </c>
      <c r="Z11" s="174">
        <v>0.02</v>
      </c>
      <c r="AA11" s="174">
        <v>0.6</v>
      </c>
      <c r="AB11" s="174">
        <v>975</v>
      </c>
      <c r="AC11" s="174">
        <v>840</v>
      </c>
      <c r="AD11" s="229">
        <f>Z11/AA11</f>
        <v>3.3333333333333333E-2</v>
      </c>
      <c r="AE11" s="192">
        <f>Z11*AB11*AC11</f>
        <v>16380</v>
      </c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SUM(U27)</f>
        <v>10325428.003634144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4"/>
        <v>10325428.003634144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5"/>
        <v>32700000</v>
      </c>
      <c r="BQ11" s="167" t="s">
        <v>317</v>
      </c>
      <c r="BS11" s="81" t="s">
        <v>373</v>
      </c>
      <c r="BT11" s="81" t="s">
        <v>390</v>
      </c>
      <c r="BU11" s="166">
        <v>0.22</v>
      </c>
      <c r="BV11" s="166">
        <v>7.8100000000000001E-4</v>
      </c>
      <c r="BW11" s="81">
        <v>281.52</v>
      </c>
      <c r="BX11" s="81" t="s">
        <v>384</v>
      </c>
      <c r="BY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161">
        <f>BU17</f>
        <v>995000000</v>
      </c>
      <c r="CF11" s="167" t="s">
        <v>317</v>
      </c>
      <c r="CI11" s="81" t="s">
        <v>325</v>
      </c>
      <c r="CJ11" s="241">
        <f t="shared" si="1"/>
        <v>8399671.9999999981</v>
      </c>
      <c r="CK11" s="241">
        <f t="shared" si="2"/>
        <v>14000000</v>
      </c>
      <c r="CL11" s="241">
        <f t="shared" si="3"/>
        <v>995000000</v>
      </c>
      <c r="CO11" s="243" t="s">
        <v>373</v>
      </c>
      <c r="CP11" s="243" t="s">
        <v>442</v>
      </c>
      <c r="CQ11" s="244">
        <v>0.113</v>
      </c>
      <c r="CR11" s="244">
        <v>3.5999999999999999E-3</v>
      </c>
      <c r="CS11" s="243">
        <v>31.32</v>
      </c>
      <c r="CT11" s="243" t="s">
        <v>420</v>
      </c>
      <c r="CU11" s="244">
        <v>2E-16</v>
      </c>
      <c r="CV11" s="81" t="s">
        <v>385</v>
      </c>
      <c r="CW11" s="245" t="s">
        <v>460</v>
      </c>
      <c r="CX11" s="249" t="s">
        <v>467</v>
      </c>
      <c r="CY11" s="246" t="s">
        <v>318</v>
      </c>
      <c r="CZ11" s="247">
        <f t="shared" si="12"/>
        <v>0.57299999999999995</v>
      </c>
      <c r="DA11" s="245" t="s">
        <v>317</v>
      </c>
    </row>
    <row r="12" spans="2:105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0.12857142857142856</v>
      </c>
      <c r="H12" s="176"/>
      <c r="I12" s="185">
        <f>'Tabula data'!B23*(1-'Tabula Ref1'!D45)</f>
        <v>4.05</v>
      </c>
      <c r="K12" s="81" t="s">
        <v>59</v>
      </c>
      <c r="L12" s="208">
        <v>0</v>
      </c>
      <c r="M12" s="209">
        <v>1</v>
      </c>
      <c r="N12" s="209" t="s">
        <v>54</v>
      </c>
      <c r="O12" s="210">
        <f>I8</f>
        <v>4.05</v>
      </c>
      <c r="P12" s="211" t="s">
        <v>45</v>
      </c>
      <c r="Q12" s="30">
        <f t="shared" si="7"/>
        <v>2</v>
      </c>
      <c r="R12" s="30">
        <f t="shared" si="8"/>
        <v>8.1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X12" s="176"/>
      <c r="Y12" s="176"/>
      <c r="Z12" s="230"/>
      <c r="AA12" s="230"/>
      <c r="AB12" s="230"/>
      <c r="AC12" s="176"/>
      <c r="AD12" s="227"/>
      <c r="AE12" s="176"/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8399671.9999999981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4"/>
        <v>8399671.9999999981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0.45400000000000001</v>
      </c>
      <c r="BV12" s="166">
        <v>1.67E-3</v>
      </c>
      <c r="BW12" s="81">
        <v>272.11</v>
      </c>
      <c r="BX12" s="81" t="s">
        <v>384</v>
      </c>
      <c r="BY12" s="81" t="s">
        <v>385</v>
      </c>
      <c r="CA12" s="167"/>
      <c r="CB12" s="167"/>
      <c r="CC12" s="167"/>
      <c r="CD12" s="168"/>
      <c r="CE12" s="161"/>
      <c r="CF12" s="167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0.156</v>
      </c>
      <c r="CR12" s="244">
        <v>8.3400000000000002E-3</v>
      </c>
      <c r="CS12" s="243">
        <v>18.73</v>
      </c>
      <c r="CT12" s="243" t="s">
        <v>420</v>
      </c>
      <c r="CU12" s="244">
        <v>2E-16</v>
      </c>
      <c r="CV12" s="81" t="s">
        <v>385</v>
      </c>
      <c r="CW12" s="245" t="s">
        <v>460</v>
      </c>
      <c r="CX12" s="248" t="s">
        <v>468</v>
      </c>
      <c r="CY12" s="246" t="s">
        <v>318</v>
      </c>
      <c r="CZ12" s="247">
        <f t="shared" si="12"/>
        <v>0.46800000000000003</v>
      </c>
      <c r="DA12" s="245" t="s">
        <v>317</v>
      </c>
    </row>
    <row r="13" spans="2:105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0.11269841269841269</v>
      </c>
      <c r="H13" s="176"/>
      <c r="I13" s="185">
        <f>'Tabula data'!B24*(1-'Tabula Ref1'!D45)</f>
        <v>3.55</v>
      </c>
      <c r="K13" s="81" t="s">
        <v>60</v>
      </c>
      <c r="L13" s="208">
        <v>0</v>
      </c>
      <c r="M13" s="209">
        <v>1</v>
      </c>
      <c r="N13" s="209" t="s">
        <v>54</v>
      </c>
      <c r="O13" s="210">
        <f>I9</f>
        <v>3.55</v>
      </c>
      <c r="P13" s="211" t="s">
        <v>50</v>
      </c>
      <c r="Q13" s="30">
        <f t="shared" si="7"/>
        <v>2</v>
      </c>
      <c r="R13" s="30">
        <f t="shared" si="8"/>
        <v>7.1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Z13" s="221" t="s">
        <v>4</v>
      </c>
      <c r="AA13" s="221">
        <v>2.2000000000000002</v>
      </c>
      <c r="AB13" s="221" t="s">
        <v>5</v>
      </c>
      <c r="AF13" s="222"/>
      <c r="AG13" s="222"/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5.8500000000000003E-2</v>
      </c>
      <c r="BV13" s="166">
        <v>7.0000000000000001E-3</v>
      </c>
      <c r="BW13" s="81">
        <v>8.35</v>
      </c>
      <c r="BX13" s="81" t="s">
        <v>384</v>
      </c>
      <c r="BY13" s="81" t="s">
        <v>385</v>
      </c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BU27</f>
        <v>8.2900000000000001E-2</v>
      </c>
      <c r="CF13" s="167" t="s">
        <v>317</v>
      </c>
      <c r="CI13" s="81" t="s">
        <v>326</v>
      </c>
      <c r="CJ13" s="239">
        <f t="shared" si="1"/>
        <v>4.2547437933887731E-2</v>
      </c>
      <c r="CK13" s="239">
        <f t="shared" si="2"/>
        <v>0.128</v>
      </c>
      <c r="CL13" s="239">
        <f t="shared" si="3"/>
        <v>8.2900000000000001E-2</v>
      </c>
      <c r="CO13" s="243" t="s">
        <v>373</v>
      </c>
      <c r="CP13" s="243" t="s">
        <v>443</v>
      </c>
      <c r="CQ13" s="244">
        <v>0.11799999999999999</v>
      </c>
      <c r="CR13" s="244">
        <v>1.7600000000000001E-3</v>
      </c>
      <c r="CS13" s="243">
        <v>67.19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0.22800000000000001</v>
      </c>
      <c r="DA13" s="245" t="s">
        <v>317</v>
      </c>
    </row>
    <row r="14" spans="2:105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s="81" t="s">
        <v>61</v>
      </c>
      <c r="L14" s="208" t="s">
        <v>62</v>
      </c>
      <c r="M14" s="209">
        <v>1</v>
      </c>
      <c r="N14" s="209" t="s">
        <v>63</v>
      </c>
      <c r="O14" s="210">
        <f>C7</f>
        <v>75.699999999999989</v>
      </c>
      <c r="P14" s="211"/>
      <c r="Q14" s="30">
        <f t="shared" si="7"/>
        <v>0.25127131319174395</v>
      </c>
      <c r="R14" s="30">
        <f t="shared" si="8"/>
        <v>19.021238408615016</v>
      </c>
      <c r="S14" s="30">
        <f t="shared" si="9"/>
        <v>28720330.189999998</v>
      </c>
      <c r="T14" s="30">
        <f t="shared" si="10"/>
        <v>379396.7</v>
      </c>
      <c r="U14" s="30">
        <f t="shared" si="11"/>
        <v>8399671.9999999981</v>
      </c>
      <c r="V14" s="31"/>
      <c r="W14" s="223"/>
      <c r="X14" s="216" t="s">
        <v>64</v>
      </c>
      <c r="Y14" s="217"/>
      <c r="Z14" s="218" t="s">
        <v>21</v>
      </c>
      <c r="AA14" s="219">
        <f>1/(1/8+SUM(AD16:AD20)+1/23)</f>
        <v>0.29666979362101314</v>
      </c>
      <c r="AB14" s="217" t="s">
        <v>5</v>
      </c>
      <c r="AC14" s="217"/>
      <c r="AD14" s="217" t="s">
        <v>22</v>
      </c>
      <c r="AE14" s="220">
        <f>SUM(AE16:AE21)</f>
        <v>452555.4</v>
      </c>
      <c r="AF14" s="222" t="s">
        <v>23</v>
      </c>
      <c r="AG14" s="222">
        <f>SUM(AE19:AE20)</f>
        <v>404880</v>
      </c>
      <c r="AH14" s="222"/>
      <c r="AM14" s="158" t="s">
        <v>314</v>
      </c>
      <c r="AN14" s="81" t="s">
        <v>315</v>
      </c>
      <c r="AO14" s="81" t="s">
        <v>326</v>
      </c>
      <c r="AP14" s="81">
        <f>AP4*0.3</f>
        <v>4.2547437933887731E-2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4.2547437933887731E-2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0.152</v>
      </c>
      <c r="BV14" s="166">
        <v>3.9300000000000001E-4</v>
      </c>
      <c r="BW14" s="81">
        <v>386.97</v>
      </c>
      <c r="BX14" s="81" t="s">
        <v>384</v>
      </c>
      <c r="BY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 t="shared" ref="CE14:CE16" si="16">BU28</f>
        <v>0.16500000000000001</v>
      </c>
      <c r="CF14" s="167" t="s">
        <v>317</v>
      </c>
      <c r="CI14" s="81" t="s">
        <v>327</v>
      </c>
      <c r="CJ14" s="239">
        <f t="shared" si="1"/>
        <v>7.4970394458573661E-2</v>
      </c>
      <c r="CK14" s="239">
        <f t="shared" si="2"/>
        <v>0.23499999999999999</v>
      </c>
      <c r="CL14" s="239">
        <f t="shared" si="3"/>
        <v>0.16500000000000001</v>
      </c>
      <c r="CO14" s="243" t="s">
        <v>373</v>
      </c>
      <c r="CP14" s="243" t="s">
        <v>444</v>
      </c>
      <c r="CQ14" s="244">
        <v>7.7799999999999994E-2</v>
      </c>
      <c r="CR14" s="244">
        <v>1.8400000000000001E-3</v>
      </c>
      <c r="CS14" s="243">
        <v>42.2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0.34200000000000003</v>
      </c>
      <c r="DA14" s="245" t="s">
        <v>317</v>
      </c>
    </row>
    <row r="15" spans="2:105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s="81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0.27481053799679722</v>
      </c>
      <c r="R15" s="30">
        <f t="shared" si="8"/>
        <v>0</v>
      </c>
      <c r="S15" s="30">
        <f>VLOOKUP(N15,$X$5:$AE$392,8,0)*O25</f>
        <v>7678980</v>
      </c>
      <c r="T15" s="30">
        <f>S15/O25</f>
        <v>85322</v>
      </c>
      <c r="U15" s="30">
        <f>VLOOKUP(N15,$X$5:$AG$391,10,0)*O25</f>
        <v>3800700</v>
      </c>
      <c r="V15" s="31"/>
      <c r="W15" s="223"/>
      <c r="X15" s="224"/>
      <c r="Y15" s="225" t="s">
        <v>27</v>
      </c>
      <c r="Z15" s="225" t="s">
        <v>28</v>
      </c>
      <c r="AA15" s="225" t="s">
        <v>29</v>
      </c>
      <c r="AB15" s="225" t="s">
        <v>30</v>
      </c>
      <c r="AC15" s="225" t="s">
        <v>31</v>
      </c>
      <c r="AD15" s="225" t="s">
        <v>32</v>
      </c>
      <c r="AE15" s="226" t="s">
        <v>33</v>
      </c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AP5*0.3</f>
        <v>7.4970394458573661E-2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7.4970394458573661E-2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7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7.9000000000000001E-2</v>
      </c>
      <c r="BV15" s="166">
        <v>5.5000000000000003E-4</v>
      </c>
      <c r="BW15" s="81">
        <v>143.72</v>
      </c>
      <c r="BX15" s="81" t="s">
        <v>384</v>
      </c>
      <c r="BY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 t="shared" si="16"/>
        <v>0.71599999999999997</v>
      </c>
      <c r="CF15" s="167" t="s">
        <v>317</v>
      </c>
      <c r="CI15" s="81" t="s">
        <v>328</v>
      </c>
      <c r="CJ15" s="239">
        <f t="shared" si="1"/>
        <v>0.71719470020830822</v>
      </c>
      <c r="CK15" s="239">
        <f t="shared" si="2"/>
        <v>0.53700000000000003</v>
      </c>
      <c r="CL15" s="239">
        <f t="shared" si="3"/>
        <v>0.71599999999999997</v>
      </c>
      <c r="CO15" s="243" t="s">
        <v>373</v>
      </c>
      <c r="CP15" s="243" t="s">
        <v>445</v>
      </c>
      <c r="CQ15" s="244">
        <v>0.57799999999999996</v>
      </c>
      <c r="CR15" s="244">
        <v>1.43E-2</v>
      </c>
      <c r="CS15" s="243">
        <v>40.51</v>
      </c>
      <c r="CT15" s="243" t="s">
        <v>420</v>
      </c>
      <c r="CU15" s="244">
        <v>2E-16</v>
      </c>
      <c r="CV15" s="81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0.111</v>
      </c>
      <c r="DA15" s="245" t="s">
        <v>317</v>
      </c>
    </row>
    <row r="16" spans="2:105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1.9235294117647057</v>
      </c>
      <c r="H16" s="184" t="s">
        <v>70</v>
      </c>
      <c r="I16" s="177"/>
      <c r="K16" s="81" t="s">
        <v>67</v>
      </c>
      <c r="L16" s="208">
        <v>0</v>
      </c>
      <c r="M16" s="209">
        <v>1</v>
      </c>
      <c r="N16" s="209" t="s">
        <v>68</v>
      </c>
      <c r="O16" s="210">
        <f>'Tabula data'!B20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7" si="18">VLOOKUP(N16,$X$5:$AE$392,8,0)*O16</f>
        <v>346940</v>
      </c>
      <c r="T16" s="30">
        <f t="shared" ref="T16:T27" si="19">S16/O16</f>
        <v>36520</v>
      </c>
      <c r="U16" s="30">
        <f t="shared" ref="U16:U27" si="20">VLOOKUP(N16,$X$5:$AG$391,10,0)*O16</f>
        <v>1631910</v>
      </c>
      <c r="V16" s="31"/>
      <c r="W16" s="223"/>
      <c r="X16" s="175"/>
      <c r="Y16" s="176"/>
      <c r="Z16" s="176"/>
      <c r="AA16" s="176"/>
      <c r="AB16" s="176"/>
      <c r="AC16" s="184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AP6*0.3+0.7</f>
        <v>0.71719470020830822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0.71719470020830822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7"/>
        <v>0.53700000000000003</v>
      </c>
      <c r="BQ16" s="167" t="s">
        <v>317</v>
      </c>
      <c r="BS16" s="81" t="s">
        <v>373</v>
      </c>
      <c r="BT16" s="81" t="s">
        <v>303</v>
      </c>
      <c r="BU16" s="166">
        <v>537000000</v>
      </c>
      <c r="BV16" s="166">
        <v>49100000</v>
      </c>
      <c r="BW16" s="81">
        <v>10.92</v>
      </c>
      <c r="BX16" s="81" t="s">
        <v>384</v>
      </c>
      <c r="BY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 t="shared" si="16"/>
        <v>5.5E-2</v>
      </c>
      <c r="CF16" s="167" t="s">
        <v>317</v>
      </c>
      <c r="CI16" s="81" t="s">
        <v>329</v>
      </c>
      <c r="CJ16" s="239">
        <f t="shared" si="1"/>
        <v>8.2643733699615141E-2</v>
      </c>
      <c r="CK16" s="239">
        <f t="shared" si="2"/>
        <v>7.7399999999999997E-2</v>
      </c>
      <c r="CL16" s="239">
        <f t="shared" si="3"/>
        <v>5.5E-2</v>
      </c>
      <c r="CO16" s="243" t="s">
        <v>373</v>
      </c>
      <c r="CP16" s="243" t="s">
        <v>337</v>
      </c>
      <c r="CQ16" s="244">
        <v>0.84</v>
      </c>
      <c r="CR16" s="244">
        <v>3.3300000000000003E-2</v>
      </c>
      <c r="CS16" s="243">
        <v>25.2</v>
      </c>
      <c r="CT16" s="244" t="s">
        <v>420</v>
      </c>
      <c r="CU16" s="244">
        <v>2E-16</v>
      </c>
      <c r="CV16" s="81" t="s">
        <v>385</v>
      </c>
      <c r="CW16" s="245" t="s">
        <v>460</v>
      </c>
      <c r="CX16" s="250" t="s">
        <v>472</v>
      </c>
      <c r="CY16" s="246" t="s">
        <v>318</v>
      </c>
      <c r="CZ16" s="247">
        <f t="shared" si="12"/>
        <v>0.23699999999999999</v>
      </c>
      <c r="DA16" s="245" t="s">
        <v>317</v>
      </c>
    </row>
    <row r="17" spans="2:105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1.4298362107127047</v>
      </c>
      <c r="H17" s="184"/>
      <c r="I17" s="177"/>
      <c r="K17" s="81" t="s">
        <v>71</v>
      </c>
      <c r="L17" s="208">
        <v>0</v>
      </c>
      <c r="M17" s="209">
        <v>2</v>
      </c>
      <c r="N17" s="209" t="s">
        <v>25</v>
      </c>
      <c r="O17" s="210">
        <f>'Tabula data'!B10*'Tabula Ref1'!D42/2*(1-'Tabula Ref1'!D43)</f>
        <v>38.663700752545374</v>
      </c>
      <c r="P17" s="211" t="s">
        <v>26</v>
      </c>
      <c r="Q17" s="30">
        <f t="shared" si="7"/>
        <v>0.29666979362101314</v>
      </c>
      <c r="R17" s="30">
        <f t="shared" si="8"/>
        <v>11.470352122882247</v>
      </c>
      <c r="S17" s="30">
        <f t="shared" si="18"/>
        <v>17497466.559548475</v>
      </c>
      <c r="T17" s="30">
        <f t="shared" si="19"/>
        <v>452555.40000000008</v>
      </c>
      <c r="U17" s="30">
        <f t="shared" si="20"/>
        <v>15654159.16069057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2"/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AP7*0.3</f>
        <v>8.2643733699615141E-2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8.2643733699615141E-2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7"/>
        <v>7.7399999999999997E-2</v>
      </c>
      <c r="BQ17" s="167" t="s">
        <v>317</v>
      </c>
      <c r="BS17" s="81" t="s">
        <v>373</v>
      </c>
      <c r="BT17" s="81" t="s">
        <v>299</v>
      </c>
      <c r="BU17" s="166">
        <v>995000000</v>
      </c>
      <c r="BV17" s="166">
        <v>18600000</v>
      </c>
      <c r="BW17" s="81">
        <v>53.42</v>
      </c>
      <c r="BX17" s="81" t="s">
        <v>384</v>
      </c>
      <c r="BY17" s="81" t="s">
        <v>385</v>
      </c>
      <c r="CA17" s="167"/>
      <c r="CB17" s="167"/>
      <c r="CC17" s="167"/>
      <c r="CD17" s="168"/>
      <c r="CE17" s="161"/>
      <c r="CF17" s="167"/>
      <c r="CJ17" s="240"/>
      <c r="CK17" s="240"/>
      <c r="CL17" s="240"/>
      <c r="CO17" s="243" t="s">
        <v>373</v>
      </c>
      <c r="CP17" s="243" t="s">
        <v>446</v>
      </c>
      <c r="CQ17" s="244">
        <v>0.57299999999999995</v>
      </c>
      <c r="CR17" s="244">
        <v>7.1300000000000001E-3</v>
      </c>
      <c r="CS17" s="243">
        <v>80.31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0.248</v>
      </c>
      <c r="DA17" s="245" t="s">
        <v>317</v>
      </c>
    </row>
    <row r="18" spans="2:105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1.4298362107127047</v>
      </c>
      <c r="H18" s="184"/>
      <c r="I18" s="177"/>
      <c r="K18" s="81" t="s">
        <v>75</v>
      </c>
      <c r="L18" s="208">
        <v>0</v>
      </c>
      <c r="M18" s="209">
        <v>2</v>
      </c>
      <c r="N18" s="209" t="s">
        <v>25</v>
      </c>
      <c r="O18" s="210">
        <f>'Tabula data'!B10*(1-'Tabula Ref1'!D42)/2*(1-'Tabula Ref1'!D44)</f>
        <v>0</v>
      </c>
      <c r="P18" s="211" t="s">
        <v>39</v>
      </c>
      <c r="Q18" s="30">
        <f t="shared" si="7"/>
        <v>0.29666979362101314</v>
      </c>
      <c r="R18" s="30">
        <f t="shared" si="8"/>
        <v>0</v>
      </c>
      <c r="S18" s="30">
        <f t="shared" si="18"/>
        <v>0</v>
      </c>
      <c r="T18" s="30" t="e">
        <f t="shared" si="19"/>
        <v>#DIV/0!</v>
      </c>
      <c r="U18" s="30">
        <f t="shared" si="20"/>
        <v>0</v>
      </c>
      <c r="V18" s="31"/>
      <c r="W18" s="223"/>
      <c r="X18" s="175"/>
      <c r="Y18" s="172" t="s">
        <v>280</v>
      </c>
      <c r="Z18" s="243">
        <v>7.0000000000000007E-2</v>
      </c>
      <c r="AA18" s="172">
        <v>2.4E-2</v>
      </c>
      <c r="AB18" s="172">
        <v>26</v>
      </c>
      <c r="AC18" s="172">
        <v>1470</v>
      </c>
      <c r="AD18" s="227">
        <f>Z18/AA18</f>
        <v>2.916666666666667</v>
      </c>
      <c r="AE18" s="177">
        <f>Z18*AB18*AC18</f>
        <v>2675.4000000000005</v>
      </c>
      <c r="AF18" s="228" t="s">
        <v>271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>
        <v>21</v>
      </c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BU32</f>
        <v>505</v>
      </c>
      <c r="CF18" s="167" t="s">
        <v>317</v>
      </c>
      <c r="CI18" s="81" t="s">
        <v>330</v>
      </c>
      <c r="CJ18" s="242">
        <f t="shared" si="1"/>
        <v>22.965995541642947</v>
      </c>
      <c r="CK18" s="242">
        <f t="shared" si="2"/>
        <v>958</v>
      </c>
      <c r="CL18" s="242">
        <f t="shared" si="3"/>
        <v>505</v>
      </c>
      <c r="CO18" s="243" t="s">
        <v>373</v>
      </c>
      <c r="CP18" s="243" t="s">
        <v>447</v>
      </c>
      <c r="CQ18" s="244">
        <v>0.46800000000000003</v>
      </c>
      <c r="CR18" s="244">
        <v>7.8300000000000002E-3</v>
      </c>
      <c r="CS18" s="243">
        <v>59.69</v>
      </c>
      <c r="CT18" s="243" t="s">
        <v>420</v>
      </c>
      <c r="CU18" s="244">
        <v>2E-16</v>
      </c>
      <c r="CV18" s="81" t="s">
        <v>385</v>
      </c>
      <c r="CW18" s="245" t="s">
        <v>460</v>
      </c>
      <c r="CX18" s="250" t="s">
        <v>474</v>
      </c>
      <c r="CY18" s="246" t="s">
        <v>318</v>
      </c>
      <c r="CZ18" s="247">
        <f t="shared" si="12"/>
        <v>0.42099999999999999</v>
      </c>
      <c r="DA18" s="245" t="s">
        <v>317</v>
      </c>
    </row>
    <row r="19" spans="2:105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s="81" t="s">
        <v>79</v>
      </c>
      <c r="L19" s="208">
        <v>0</v>
      </c>
      <c r="M19" s="209">
        <v>2</v>
      </c>
      <c r="N19" s="209" t="s">
        <v>25</v>
      </c>
      <c r="O19" s="210">
        <f>'Tabula data'!B10*'Tabula Ref1'!D42/2*(1-'Tabula Ref1'!D43)</f>
        <v>38.663700752545374</v>
      </c>
      <c r="P19" s="211" t="s">
        <v>45</v>
      </c>
      <c r="Q19" s="30">
        <f t="shared" si="7"/>
        <v>0.29666979362101314</v>
      </c>
      <c r="R19" s="30">
        <f t="shared" si="8"/>
        <v>11.470352122882247</v>
      </c>
      <c r="S19" s="30">
        <f t="shared" si="18"/>
        <v>17497466.559548475</v>
      </c>
      <c r="T19" s="30">
        <f t="shared" si="19"/>
        <v>452555.40000000008</v>
      </c>
      <c r="U19" s="30">
        <f t="shared" si="20"/>
        <v>15654159.16069057</v>
      </c>
      <c r="V19" s="31"/>
      <c r="W19" s="223"/>
      <c r="X19" s="175"/>
      <c r="Y19" s="184" t="s">
        <v>76</v>
      </c>
      <c r="Z19" s="176">
        <v>0.25</v>
      </c>
      <c r="AA19" s="176">
        <v>1.1000000000000001</v>
      </c>
      <c r="AB19" s="176">
        <v>1850</v>
      </c>
      <c r="AC19" s="184">
        <v>840</v>
      </c>
      <c r="AD19" s="227">
        <f>Z19/AA19</f>
        <v>0.22727272727272727</v>
      </c>
      <c r="AE19" s="177">
        <f>Z19*AB19*AC19</f>
        <v>388500</v>
      </c>
      <c r="AF19" s="222" t="s">
        <v>272</v>
      </c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SUM(O6:O9)*(1/(SUM(AD18:AD19)*0.5+1/8))</f>
        <v>22.965995541642947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22.965995541642947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395</v>
      </c>
      <c r="BU19" s="166">
        <v>2910000</v>
      </c>
      <c r="BV19" s="166">
        <v>32100</v>
      </c>
      <c r="BW19" s="81">
        <v>90.66</v>
      </c>
      <c r="BX19" s="81" t="s">
        <v>384</v>
      </c>
      <c r="BY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 t="shared" ref="CE19:CE21" si="21">BU33</f>
        <v>194</v>
      </c>
      <c r="CF19" s="167" t="s">
        <v>317</v>
      </c>
      <c r="CI19" s="81" t="s">
        <v>331</v>
      </c>
      <c r="CJ19" s="242">
        <f t="shared" si="1"/>
        <v>435.53424657534242</v>
      </c>
      <c r="CK19" s="242">
        <f t="shared" si="2"/>
        <v>737</v>
      </c>
      <c r="CL19" s="242">
        <f t="shared" si="3"/>
        <v>194</v>
      </c>
      <c r="CO19" s="243" t="s">
        <v>373</v>
      </c>
      <c r="CP19" s="243" t="s">
        <v>448</v>
      </c>
      <c r="CQ19" s="244">
        <v>0.22800000000000001</v>
      </c>
      <c r="CR19" s="244">
        <v>4.6800000000000001E-2</v>
      </c>
      <c r="CS19" s="243">
        <v>4.87</v>
      </c>
      <c r="CT19" s="244">
        <v>1.1000000000000001E-6</v>
      </c>
      <c r="CU19" s="243" t="s">
        <v>385</v>
      </c>
      <c r="CW19" s="245" t="s">
        <v>460</v>
      </c>
      <c r="CX19" s="248" t="s">
        <v>475</v>
      </c>
      <c r="CY19" s="246" t="s">
        <v>318</v>
      </c>
      <c r="CZ19" s="247">
        <f t="shared" si="12"/>
        <v>0.26500000000000001</v>
      </c>
      <c r="DA19" s="245" t="s">
        <v>317</v>
      </c>
    </row>
    <row r="20" spans="2:105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0.1394422310756972</v>
      </c>
      <c r="H20" s="184"/>
      <c r="I20" s="177"/>
      <c r="K20" s="81" t="s">
        <v>82</v>
      </c>
      <c r="L20" s="208">
        <v>0</v>
      </c>
      <c r="M20" s="209">
        <v>2</v>
      </c>
      <c r="N20" s="209" t="s">
        <v>25</v>
      </c>
      <c r="O20" s="210">
        <f>'Tabula data'!B10*(1-'Tabula Ref1'!D42)/2*(1-'Tabula Ref1'!D44)</f>
        <v>0</v>
      </c>
      <c r="P20" s="211" t="s">
        <v>50</v>
      </c>
      <c r="Q20" s="30">
        <f t="shared" si="7"/>
        <v>0.29666979362101314</v>
      </c>
      <c r="R20" s="30">
        <f t="shared" si="8"/>
        <v>0</v>
      </c>
      <c r="S20" s="30">
        <f t="shared" si="18"/>
        <v>0</v>
      </c>
      <c r="T20" s="30" t="e">
        <f t="shared" si="19"/>
        <v>#DIV/0!</v>
      </c>
      <c r="U20" s="30">
        <f t="shared" si="20"/>
        <v>0</v>
      </c>
      <c r="V20" s="31"/>
      <c r="W20" s="223"/>
      <c r="X20" s="187"/>
      <c r="Y20" s="174" t="s">
        <v>273</v>
      </c>
      <c r="Z20" s="174">
        <v>0.02</v>
      </c>
      <c r="AA20" s="174">
        <v>0.6</v>
      </c>
      <c r="AB20" s="174">
        <v>975</v>
      </c>
      <c r="AC20" s="174">
        <v>840</v>
      </c>
      <c r="AD20" s="229">
        <f>Z20/AA20</f>
        <v>3.3333333333333333E-2</v>
      </c>
      <c r="AE20" s="192">
        <f>Z20*AB20*AC20</f>
        <v>16380</v>
      </c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SUM(O14)*1/(0.5*SUM(AD42:AD43)+1/6)</f>
        <v>435.53424657534242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22">AP20</f>
        <v>435.53424657534242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3">BE32</f>
        <v>737</v>
      </c>
      <c r="BQ20" s="167" t="s">
        <v>317</v>
      </c>
      <c r="BS20" s="81" t="s">
        <v>373</v>
      </c>
      <c r="BT20" s="81" t="s">
        <v>296</v>
      </c>
      <c r="BU20" s="166">
        <v>95200000</v>
      </c>
      <c r="BV20" s="166">
        <v>2180000</v>
      </c>
      <c r="BW20" s="81">
        <v>43.68</v>
      </c>
      <c r="BX20" s="81" t="s">
        <v>384</v>
      </c>
      <c r="BY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 t="shared" si="21"/>
        <v>644</v>
      </c>
      <c r="CF20" s="167" t="s">
        <v>317</v>
      </c>
      <c r="CI20" s="81" t="s">
        <v>332</v>
      </c>
      <c r="CJ20" s="242">
        <f t="shared" si="1"/>
        <v>0</v>
      </c>
      <c r="CK20" s="242">
        <f t="shared" si="2"/>
        <v>2190</v>
      </c>
      <c r="CL20" s="242">
        <f t="shared" si="3"/>
        <v>644</v>
      </c>
      <c r="CO20" s="243" t="s">
        <v>373</v>
      </c>
      <c r="CP20" s="243" t="s">
        <v>338</v>
      </c>
      <c r="CQ20" s="244">
        <v>0.34200000000000003</v>
      </c>
      <c r="CR20" s="244">
        <v>7.6899999999999996E-2</v>
      </c>
      <c r="CS20" s="243">
        <v>4.45</v>
      </c>
      <c r="CT20" s="244">
        <v>8.8000000000000004E-6</v>
      </c>
      <c r="CU20" s="243" t="s">
        <v>385</v>
      </c>
      <c r="CW20" s="245" t="s">
        <v>460</v>
      </c>
      <c r="CX20" s="249" t="s">
        <v>476</v>
      </c>
      <c r="CY20" s="246" t="s">
        <v>318</v>
      </c>
      <c r="CZ20" s="247">
        <f t="shared" si="12"/>
        <v>0.19</v>
      </c>
      <c r="DA20" s="245" t="s">
        <v>317</v>
      </c>
    </row>
    <row r="21" spans="2:105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0.1394422310756972</v>
      </c>
      <c r="H21" s="184"/>
      <c r="I21" s="177"/>
      <c r="K21" s="81" t="s">
        <v>84</v>
      </c>
      <c r="L21" s="208">
        <v>0</v>
      </c>
      <c r="M21" s="209">
        <v>2</v>
      </c>
      <c r="N21" s="209" t="s">
        <v>54</v>
      </c>
      <c r="O21" s="210">
        <f>I10</f>
        <v>4.2</v>
      </c>
      <c r="P21" s="211" t="s">
        <v>26</v>
      </c>
      <c r="Q21" s="30">
        <f t="shared" si="7"/>
        <v>2</v>
      </c>
      <c r="R21" s="30">
        <f t="shared" si="8"/>
        <v>8.4</v>
      </c>
      <c r="S21" s="30">
        <f t="shared" si="18"/>
        <v>0</v>
      </c>
      <c r="T21" s="30">
        <f t="shared" si="19"/>
        <v>0</v>
      </c>
      <c r="U21" s="30">
        <f t="shared" si="20"/>
        <v>0</v>
      </c>
      <c r="V21" s="31"/>
      <c r="W21" s="223"/>
      <c r="AF21" s="222"/>
      <c r="AG21" s="222"/>
      <c r="AH21" s="222"/>
      <c r="AM21" s="158" t="s">
        <v>314</v>
      </c>
      <c r="AN21" s="81" t="s">
        <v>315</v>
      </c>
      <c r="AO21" s="81" t="s">
        <v>332</v>
      </c>
      <c r="AP21" s="81">
        <f>4*AA21*O27</f>
        <v>0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22"/>
        <v>0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3"/>
        <v>2190</v>
      </c>
      <c r="BQ21" s="167" t="s">
        <v>317</v>
      </c>
      <c r="BS21" s="81" t="s">
        <v>373</v>
      </c>
      <c r="BT21" s="81" t="s">
        <v>298</v>
      </c>
      <c r="BU21" s="166">
        <v>22100000</v>
      </c>
      <c r="BV21" s="166">
        <v>378000</v>
      </c>
      <c r="BW21" s="81">
        <v>58.53</v>
      </c>
      <c r="BX21" s="81" t="s">
        <v>384</v>
      </c>
      <c r="BY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 t="shared" si="21"/>
        <v>260</v>
      </c>
      <c r="CF21" s="167" t="s">
        <v>317</v>
      </c>
      <c r="CI21" s="81" t="s">
        <v>333</v>
      </c>
      <c r="CJ21" s="242">
        <f t="shared" si="1"/>
        <v>58.916837671536072</v>
      </c>
      <c r="CK21" s="242">
        <f t="shared" si="2"/>
        <v>251</v>
      </c>
      <c r="CL21" s="242">
        <f t="shared" si="3"/>
        <v>260</v>
      </c>
      <c r="CO21" s="243" t="s">
        <v>373</v>
      </c>
      <c r="CP21" s="243" t="s">
        <v>449</v>
      </c>
      <c r="CQ21" s="244">
        <v>0.111</v>
      </c>
      <c r="CR21" s="244">
        <v>1.66E-2</v>
      </c>
      <c r="CS21" s="243">
        <v>6.71</v>
      </c>
      <c r="CT21" s="244">
        <v>1.9999999999999999E-11</v>
      </c>
      <c r="CU21" s="243" t="s">
        <v>385</v>
      </c>
      <c r="CW21" s="245" t="s">
        <v>460</v>
      </c>
      <c r="CX21" s="249" t="s">
        <v>477</v>
      </c>
      <c r="CY21" s="246" t="s">
        <v>318</v>
      </c>
      <c r="CZ21" s="247">
        <f t="shared" si="12"/>
        <v>0.10299999999999999</v>
      </c>
      <c r="DA21" s="245" t="s">
        <v>317</v>
      </c>
    </row>
    <row r="22" spans="2:105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9.7523219814241488E-2</v>
      </c>
      <c r="H22" s="176"/>
      <c r="I22" s="177"/>
      <c r="K22" s="81" t="s">
        <v>87</v>
      </c>
      <c r="L22" s="208">
        <v>0</v>
      </c>
      <c r="M22" s="209">
        <v>2</v>
      </c>
      <c r="N22" s="209" t="s">
        <v>54</v>
      </c>
      <c r="O22" s="210">
        <f>I11</f>
        <v>3.95</v>
      </c>
      <c r="P22" s="211" t="s">
        <v>39</v>
      </c>
      <c r="Q22" s="30">
        <f t="shared" si="7"/>
        <v>2</v>
      </c>
      <c r="R22" s="30">
        <f t="shared" si="8"/>
        <v>7.9</v>
      </c>
      <c r="S22" s="30">
        <f t="shared" si="18"/>
        <v>0</v>
      </c>
      <c r="T22" s="30">
        <f t="shared" si="19"/>
        <v>0</v>
      </c>
      <c r="U22" s="30">
        <f t="shared" si="20"/>
        <v>0</v>
      </c>
      <c r="V22" s="31"/>
      <c r="W22" s="223"/>
      <c r="X22" s="216" t="s">
        <v>85</v>
      </c>
      <c r="Y22" s="217"/>
      <c r="Z22" s="218" t="s">
        <v>21</v>
      </c>
      <c r="AA22" s="219">
        <f>(1/(1/8+SUM(AD24:AD26)+1/8))</f>
        <v>1.9926199261992623</v>
      </c>
      <c r="AB22" s="217" t="s">
        <v>5</v>
      </c>
      <c r="AC22" s="217"/>
      <c r="AD22" s="217" t="s">
        <v>22</v>
      </c>
      <c r="AE22" s="220">
        <f>SUM(AE24:AE27)</f>
        <v>150360</v>
      </c>
      <c r="AF22" s="222" t="s">
        <v>23</v>
      </c>
      <c r="AG22" s="222">
        <f>SUM(AE24:AE26)</f>
        <v>150360</v>
      </c>
      <c r="AH22" s="222"/>
      <c r="AM22" s="158" t="s">
        <v>314</v>
      </c>
      <c r="AN22" s="81" t="s">
        <v>315</v>
      </c>
      <c r="AO22" s="81" t="s">
        <v>333</v>
      </c>
      <c r="AP22" s="152">
        <f>'Verwarming Tabula 2zone'!B60+SUM(R10:R13)</f>
        <v>58.916837671536072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22"/>
        <v>58.916837671536072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3"/>
        <v>251</v>
      </c>
      <c r="BQ22" s="167" t="s">
        <v>317</v>
      </c>
      <c r="BS22" s="81" t="s">
        <v>373</v>
      </c>
      <c r="BT22" s="81" t="s">
        <v>396</v>
      </c>
      <c r="BU22" s="166">
        <v>-8.51</v>
      </c>
      <c r="BV22" s="166">
        <v>0.16800000000000001</v>
      </c>
      <c r="BW22" s="81">
        <v>-50.8</v>
      </c>
      <c r="BX22" s="81" t="s">
        <v>384</v>
      </c>
      <c r="BY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1/BU41</f>
        <v>1992.0318725099603</v>
      </c>
      <c r="CF22" s="167" t="s">
        <v>317</v>
      </c>
      <c r="CI22" s="81" t="s">
        <v>334</v>
      </c>
      <c r="CJ22" s="242">
        <f t="shared" si="1"/>
        <v>23.757290384415803</v>
      </c>
      <c r="CK22" s="242">
        <f t="shared" si="2"/>
        <v>884.95575221238948</v>
      </c>
      <c r="CL22" s="242">
        <f t="shared" si="3"/>
        <v>1992.0318725099603</v>
      </c>
      <c r="CO22" s="243" t="s">
        <v>373</v>
      </c>
      <c r="CP22" s="243" t="s">
        <v>450</v>
      </c>
      <c r="CQ22" s="244">
        <v>0.23699999999999999</v>
      </c>
      <c r="CR22" s="244">
        <v>2.2200000000000001E-2</v>
      </c>
      <c r="CS22" s="243">
        <v>10.68</v>
      </c>
      <c r="CT22" s="243" t="s">
        <v>420</v>
      </c>
      <c r="CU22" s="244">
        <v>2E-16</v>
      </c>
      <c r="CV22" s="81" t="s">
        <v>385</v>
      </c>
      <c r="CW22" s="245" t="s">
        <v>460</v>
      </c>
      <c r="CX22" s="249" t="s">
        <v>478</v>
      </c>
      <c r="CY22" s="246" t="s">
        <v>318</v>
      </c>
      <c r="CZ22" s="247">
        <f t="shared" si="12"/>
        <v>1.1999999999999999E-14</v>
      </c>
      <c r="DA22" s="245" t="s">
        <v>317</v>
      </c>
    </row>
    <row r="23" spans="2:105" ht="15" customHeight="1" thickTop="1" thickBot="1" x14ac:dyDescent="0.3">
      <c r="B23" s="193" t="s">
        <v>91</v>
      </c>
      <c r="C23" s="195">
        <f>C17+C6</f>
        <v>225.9</v>
      </c>
      <c r="D23" s="194" t="s">
        <v>9</v>
      </c>
      <c r="E23" s="175"/>
      <c r="F23" s="176"/>
      <c r="G23" s="176"/>
      <c r="H23" s="176"/>
      <c r="I23" s="177"/>
      <c r="K23" s="81" t="s">
        <v>89</v>
      </c>
      <c r="L23" s="208">
        <v>0</v>
      </c>
      <c r="M23" s="209">
        <v>2</v>
      </c>
      <c r="N23" s="209" t="s">
        <v>54</v>
      </c>
      <c r="O23" s="210">
        <f>I12</f>
        <v>4.05</v>
      </c>
      <c r="P23" s="211" t="s">
        <v>45</v>
      </c>
      <c r="Q23" s="30">
        <f t="shared" si="7"/>
        <v>2</v>
      </c>
      <c r="R23" s="30">
        <f t="shared" si="8"/>
        <v>8.1</v>
      </c>
      <c r="S23" s="30">
        <f t="shared" si="18"/>
        <v>0</v>
      </c>
      <c r="T23" s="30">
        <f t="shared" si="19"/>
        <v>0</v>
      </c>
      <c r="U23" s="30">
        <f t="shared" si="20"/>
        <v>0</v>
      </c>
      <c r="V23" s="31"/>
      <c r="W23" s="223"/>
      <c r="X23" s="224"/>
      <c r="Y23" s="225" t="s">
        <v>27</v>
      </c>
      <c r="Z23" s="225" t="s">
        <v>28</v>
      </c>
      <c r="AA23" s="225" t="s">
        <v>29</v>
      </c>
      <c r="AB23" s="225" t="s">
        <v>30</v>
      </c>
      <c r="AC23" s="225" t="s">
        <v>31</v>
      </c>
      <c r="AD23" s="225" t="s">
        <v>32</v>
      </c>
      <c r="AE23" s="226" t="s">
        <v>33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SUM(O6:O9)*1/(SUM(AD15:AD17)+0.5*SUM(AD18:AD19)+1/23)</f>
        <v>23.757290384415803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22"/>
        <v>23.757290384415803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397</v>
      </c>
      <c r="BU23" s="166">
        <v>-16.7</v>
      </c>
      <c r="BV23" s="166">
        <v>5.94</v>
      </c>
      <c r="BW23" s="81">
        <v>-2.81</v>
      </c>
      <c r="BX23" s="81">
        <v>4.8999999999999998E-3</v>
      </c>
      <c r="BY23" s="81" t="s">
        <v>398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BU44</f>
        <v>530</v>
      </c>
      <c r="CF23" s="167" t="s">
        <v>317</v>
      </c>
      <c r="CI23" s="81" t="s">
        <v>335</v>
      </c>
      <c r="CJ23" s="242">
        <f t="shared" si="1"/>
        <v>19.547494620350445</v>
      </c>
      <c r="CK23" s="242">
        <f t="shared" si="2"/>
        <v>301</v>
      </c>
      <c r="CL23" s="242">
        <f t="shared" si="3"/>
        <v>530</v>
      </c>
      <c r="CO23" s="243" t="s">
        <v>373</v>
      </c>
      <c r="CP23" s="243" t="s">
        <v>451</v>
      </c>
      <c r="CQ23" s="244">
        <v>0.248</v>
      </c>
      <c r="CR23" s="244">
        <v>5.1700000000000001E-3</v>
      </c>
      <c r="CS23" s="243">
        <v>47.93</v>
      </c>
      <c r="CT23" s="243" t="s">
        <v>420</v>
      </c>
      <c r="CU23" s="244">
        <v>2E-16</v>
      </c>
      <c r="CV23" s="81" t="s">
        <v>385</v>
      </c>
      <c r="CW23" s="245" t="s">
        <v>460</v>
      </c>
      <c r="CX23" s="248" t="s">
        <v>479</v>
      </c>
      <c r="CY23" s="246" t="s">
        <v>318</v>
      </c>
      <c r="CZ23" s="247">
        <f t="shared" si="12"/>
        <v>8.7300000000000003E-2</v>
      </c>
      <c r="DA23" s="245" t="s">
        <v>317</v>
      </c>
    </row>
    <row r="24" spans="2:105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0.66489597166888015</v>
      </c>
      <c r="H24" s="176"/>
      <c r="I24" s="177"/>
      <c r="K24" s="81" t="s">
        <v>92</v>
      </c>
      <c r="L24" s="208">
        <v>0</v>
      </c>
      <c r="M24" s="209">
        <v>2</v>
      </c>
      <c r="N24" s="209" t="s">
        <v>54</v>
      </c>
      <c r="O24" s="210">
        <f>I13</f>
        <v>3.55</v>
      </c>
      <c r="P24" s="211" t="s">
        <v>50</v>
      </c>
      <c r="Q24" s="30">
        <f t="shared" si="7"/>
        <v>2</v>
      </c>
      <c r="R24" s="30">
        <f t="shared" si="8"/>
        <v>7.1</v>
      </c>
      <c r="S24" s="30">
        <f t="shared" si="18"/>
        <v>0</v>
      </c>
      <c r="T24" s="30">
        <f t="shared" si="19"/>
        <v>0</v>
      </c>
      <c r="U24" s="30">
        <f t="shared" si="20"/>
        <v>0</v>
      </c>
      <c r="V24" s="31"/>
      <c r="W24" s="223"/>
      <c r="X24" s="175"/>
      <c r="Y24" s="176" t="s">
        <v>433</v>
      </c>
      <c r="Z24" s="176">
        <v>0.02</v>
      </c>
      <c r="AA24" s="176">
        <v>0.6</v>
      </c>
      <c r="AB24" s="176">
        <v>975</v>
      </c>
      <c r="AC24" s="176">
        <v>840</v>
      </c>
      <c r="AD24" s="227">
        <f>Z24/AA24</f>
        <v>3.3333333333333333E-2</v>
      </c>
      <c r="AE24" s="177">
        <f>Z24*AB24*AC24</f>
        <v>16380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SUM(O14)*1/(SUM(AD44:AD46)+0.5*SUM(AD42:AD43))</f>
        <v>19.547494620350445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22"/>
        <v>19.547494620350445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399</v>
      </c>
      <c r="BU24" s="166">
        <v>-12.4</v>
      </c>
      <c r="BV24" s="166">
        <v>4.4400000000000004</v>
      </c>
      <c r="BW24" s="81">
        <v>-2.8</v>
      </c>
      <c r="BX24" s="81">
        <v>5.1000000000000004E-3</v>
      </c>
      <c r="BY24" s="81" t="s">
        <v>398</v>
      </c>
      <c r="CA24" s="167"/>
      <c r="CB24" s="167"/>
      <c r="CC24" s="167"/>
      <c r="CD24" s="168"/>
      <c r="CE24" s="161"/>
      <c r="CF24" s="167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0.42099999999999999</v>
      </c>
      <c r="CR24" s="244">
        <v>1.21E-2</v>
      </c>
      <c r="CS24" s="243">
        <v>34.82</v>
      </c>
      <c r="CT24" s="243" t="s">
        <v>420</v>
      </c>
      <c r="CU24" s="244">
        <v>2E-16</v>
      </c>
      <c r="CV24" s="81" t="s">
        <v>385</v>
      </c>
      <c r="CW24" s="245" t="s">
        <v>460</v>
      </c>
      <c r="CX24" s="246" t="s">
        <v>480</v>
      </c>
      <c r="CY24" s="246" t="s">
        <v>318</v>
      </c>
      <c r="CZ24" s="247">
        <f t="shared" si="12"/>
        <v>6.3600000000000004E-2</v>
      </c>
      <c r="DA24" s="245" t="s">
        <v>317</v>
      </c>
    </row>
    <row r="25" spans="2:105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s="81" t="s">
        <v>96</v>
      </c>
      <c r="L25" s="208">
        <v>0</v>
      </c>
      <c r="M25" s="209">
        <v>2</v>
      </c>
      <c r="N25" s="209" t="s">
        <v>20</v>
      </c>
      <c r="O25" s="210">
        <f>'Tabula data'!B7</f>
        <v>90</v>
      </c>
      <c r="P25" s="211" t="s">
        <v>97</v>
      </c>
      <c r="Q25" s="30">
        <f t="shared" si="7"/>
        <v>0.27481053799679722</v>
      </c>
      <c r="R25" s="30">
        <f t="shared" si="8"/>
        <v>24.73294841971175</v>
      </c>
      <c r="S25" s="30">
        <f t="shared" si="18"/>
        <v>7678980</v>
      </c>
      <c r="T25" s="30">
        <f t="shared" si="19"/>
        <v>85322</v>
      </c>
      <c r="U25" s="30">
        <f t="shared" si="20"/>
        <v>3800700</v>
      </c>
      <c r="V25" s="31"/>
      <c r="W25" s="223"/>
      <c r="X25" s="175"/>
      <c r="Y25" s="176" t="s">
        <v>434</v>
      </c>
      <c r="Z25" s="176">
        <v>0.1</v>
      </c>
      <c r="AA25" s="176">
        <v>0.54</v>
      </c>
      <c r="AB25" s="176">
        <v>1400</v>
      </c>
      <c r="AC25" s="176">
        <v>840</v>
      </c>
      <c r="AD25" s="227">
        <f>Z25/AA25</f>
        <v>0.18518518518518517</v>
      </c>
      <c r="AE25" s="177">
        <f>Z25*AB25*AC25</f>
        <v>117600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L25" s="167"/>
      <c r="BM25" s="167"/>
      <c r="BN25" s="167"/>
      <c r="BO25" s="168"/>
      <c r="BP25" s="161"/>
      <c r="BQ25" s="167"/>
      <c r="BS25" s="81" t="s">
        <v>373</v>
      </c>
      <c r="BT25" s="81" t="s">
        <v>400</v>
      </c>
      <c r="BU25" s="166">
        <v>-17.8</v>
      </c>
      <c r="BV25" s="166">
        <v>5.5</v>
      </c>
      <c r="BW25" s="81">
        <v>-3.24</v>
      </c>
      <c r="BX25" s="81">
        <v>1.1999999999999999E-3</v>
      </c>
      <c r="BY25" s="81" t="s">
        <v>398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BU53</f>
        <v>0.42799999999999999</v>
      </c>
      <c r="CF25" s="167" t="s">
        <v>317</v>
      </c>
      <c r="CI25" s="81" t="s">
        <v>336</v>
      </c>
      <c r="CJ25" s="239">
        <f t="shared" si="1"/>
        <v>0.42357982007761802</v>
      </c>
      <c r="CK25" s="239">
        <f t="shared" si="2"/>
        <v>0.01</v>
      </c>
      <c r="CL25" s="239">
        <f t="shared" si="3"/>
        <v>0.42799999999999999</v>
      </c>
      <c r="CO25" s="243" t="s">
        <v>373</v>
      </c>
      <c r="CP25" s="243" t="s">
        <v>453</v>
      </c>
      <c r="CQ25" s="244">
        <v>0.26500000000000001</v>
      </c>
      <c r="CR25" s="244">
        <v>2.65E-3</v>
      </c>
      <c r="CS25" s="243">
        <v>100.2</v>
      </c>
      <c r="CT25" s="243" t="s">
        <v>420</v>
      </c>
      <c r="CU25" s="244">
        <v>2E-16</v>
      </c>
      <c r="CV25" s="81" t="s">
        <v>385</v>
      </c>
      <c r="CY25" s="246"/>
    </row>
    <row r="26" spans="2:105" ht="15" customHeight="1" thickTop="1" thickBot="1" x14ac:dyDescent="0.3">
      <c r="B26" s="193" t="s">
        <v>100</v>
      </c>
      <c r="C26" s="199">
        <f>'Tabula data'!B6</f>
        <v>323</v>
      </c>
      <c r="D26" s="198" t="s">
        <v>9</v>
      </c>
      <c r="E26" s="175"/>
      <c r="F26" s="176"/>
      <c r="G26" s="176"/>
      <c r="H26" s="176"/>
      <c r="I26" s="177"/>
      <c r="K26" s="81" t="s">
        <v>98</v>
      </c>
      <c r="L26" s="208">
        <v>1</v>
      </c>
      <c r="M26" s="209">
        <v>2</v>
      </c>
      <c r="N26" s="209" t="s">
        <v>99</v>
      </c>
      <c r="O26" s="210">
        <f>O14</f>
        <v>75.699999999999989</v>
      </c>
      <c r="P26" s="211"/>
      <c r="Q26" s="30">
        <f t="shared" si="7"/>
        <v>1.2141280353200883</v>
      </c>
      <c r="R26" s="30">
        <f t="shared" si="8"/>
        <v>91.909492273730663</v>
      </c>
      <c r="S26" s="30">
        <f t="shared" si="18"/>
        <v>4370917.9999999991</v>
      </c>
      <c r="T26" s="30">
        <f t="shared" si="19"/>
        <v>57740</v>
      </c>
      <c r="U26" s="30">
        <f t="shared" si="20"/>
        <v>4370917.9999999991</v>
      </c>
      <c r="V26" s="31"/>
      <c r="W26" s="223"/>
      <c r="X26" s="187"/>
      <c r="Y26" s="174" t="s">
        <v>433</v>
      </c>
      <c r="Z26" s="174">
        <v>0.02</v>
      </c>
      <c r="AA26" s="174">
        <v>0.6</v>
      </c>
      <c r="AB26" s="174">
        <v>975</v>
      </c>
      <c r="AC26" s="174">
        <v>840</v>
      </c>
      <c r="AD26" s="229">
        <f>Z26/AA26</f>
        <v>3.3333333333333333E-2</v>
      </c>
      <c r="AE26" s="192">
        <f>Z26*AB26*AC26</f>
        <v>16380</v>
      </c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SUM(O17:O20,O25)/SUM(O$17:O$25,O$28,O$26)</f>
        <v>0.42357982007761802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0.42357982007761802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401</v>
      </c>
      <c r="BU26" s="166">
        <v>-18.8</v>
      </c>
      <c r="BV26" s="166">
        <v>6.12</v>
      </c>
      <c r="BW26" s="81">
        <v>-3.06</v>
      </c>
      <c r="BX26" s="81">
        <v>2.2000000000000001E-3</v>
      </c>
      <c r="BY26" s="81" t="s">
        <v>398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 t="shared" ref="CE26:CE27" si="24">BU54</f>
        <v>0.161</v>
      </c>
      <c r="CF26" s="167" t="s">
        <v>317</v>
      </c>
      <c r="CI26" s="81" t="s">
        <v>337</v>
      </c>
      <c r="CJ26" s="239">
        <f t="shared" si="1"/>
        <v>0.34491969525777277</v>
      </c>
      <c r="CK26" s="239">
        <f t="shared" si="2"/>
        <v>1.0200000000000001E-2</v>
      </c>
      <c r="CL26" s="239">
        <f t="shared" si="3"/>
        <v>0.161</v>
      </c>
      <c r="CO26" s="243" t="s">
        <v>373</v>
      </c>
      <c r="CP26" s="243" t="s">
        <v>454</v>
      </c>
      <c r="CQ26" s="244">
        <v>0.19</v>
      </c>
      <c r="CR26" s="244">
        <v>2.7499999999999998E-3</v>
      </c>
      <c r="CS26" s="243">
        <v>69.16</v>
      </c>
      <c r="CT26" s="243" t="s">
        <v>420</v>
      </c>
      <c r="CU26" s="244">
        <v>2E-16</v>
      </c>
      <c r="CV26" s="81" t="s">
        <v>385</v>
      </c>
      <c r="CX26" s="246"/>
      <c r="CY26" s="246"/>
      <c r="CZ26" s="247"/>
    </row>
    <row r="27" spans="2:105" ht="15" customHeight="1" thickTop="1" thickBot="1" x14ac:dyDescent="0.3">
      <c r="B27" s="175"/>
      <c r="C27" s="191">
        <f>SUM(O6:O25)</f>
        <v>323</v>
      </c>
      <c r="D27" s="177" t="s">
        <v>70</v>
      </c>
      <c r="E27" s="175"/>
      <c r="F27" s="176"/>
      <c r="G27" s="176"/>
      <c r="H27" s="176"/>
      <c r="I27" s="177"/>
      <c r="K27" s="81" t="s">
        <v>101</v>
      </c>
      <c r="L27" s="208">
        <v>1</v>
      </c>
      <c r="M27" s="209">
        <v>1</v>
      </c>
      <c r="N27" s="209" t="s">
        <v>85</v>
      </c>
      <c r="O27" s="210">
        <f>SUM(O6:O9)+O30/2</f>
        <v>68.671375389958385</v>
      </c>
      <c r="P27" s="211"/>
      <c r="Q27" s="30">
        <f t="shared" si="7"/>
        <v>1.9926199261992623</v>
      </c>
      <c r="R27" s="30">
        <f t="shared" si="8"/>
        <v>136.8359509615407</v>
      </c>
      <c r="S27" s="30">
        <f t="shared" si="18"/>
        <v>10325428.003634144</v>
      </c>
      <c r="T27" s="30">
        <f t="shared" si="19"/>
        <v>150360</v>
      </c>
      <c r="U27" s="30">
        <f t="shared" si="20"/>
        <v>10325428.003634144</v>
      </c>
      <c r="V27" s="31"/>
      <c r="W27" s="223"/>
      <c r="AF27" s="222"/>
      <c r="AG27" s="222"/>
      <c r="AH27" s="222"/>
      <c r="AM27" s="158" t="s">
        <v>314</v>
      </c>
      <c r="AN27" s="81" t="s">
        <v>315</v>
      </c>
      <c r="AO27" s="81" t="s">
        <v>337</v>
      </c>
      <c r="AP27" s="81">
        <f>SUM(O28)/SUM(O$17:O$25,O$28,O$26)</f>
        <v>0.34491969525777277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5">AP27</f>
        <v>0.34491969525777277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6">BE53</f>
        <v>1.0200000000000001E-2</v>
      </c>
      <c r="BQ27" s="167" t="s">
        <v>317</v>
      </c>
      <c r="BS27" s="81" t="s">
        <v>373</v>
      </c>
      <c r="BT27" s="81" t="s">
        <v>402</v>
      </c>
      <c r="BU27" s="166">
        <v>8.2900000000000001E-2</v>
      </c>
      <c r="BV27" s="166">
        <v>2.0799999999999999E-4</v>
      </c>
      <c r="BW27" s="81">
        <v>398.4</v>
      </c>
      <c r="BX27" s="81" t="s">
        <v>384</v>
      </c>
      <c r="BY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 t="shared" si="24"/>
        <v>8.0100000000000005E-2</v>
      </c>
      <c r="CF27" s="167" t="s">
        <v>317</v>
      </c>
      <c r="CI27" s="81" t="s">
        <v>338</v>
      </c>
      <c r="CJ27" s="239">
        <f t="shared" si="1"/>
        <v>3.987023109313937E-2</v>
      </c>
      <c r="CK27" s="239">
        <f t="shared" si="2"/>
        <v>0.69799999999999995</v>
      </c>
      <c r="CL27" s="239">
        <f t="shared" si="3"/>
        <v>8.0100000000000005E-2</v>
      </c>
      <c r="CO27" s="243" t="s">
        <v>373</v>
      </c>
      <c r="CP27" s="243" t="s">
        <v>455</v>
      </c>
      <c r="CQ27" s="244">
        <v>0.10299999999999999</v>
      </c>
      <c r="CR27" s="244">
        <v>5.3299999999999997E-3</v>
      </c>
      <c r="CS27" s="243">
        <v>19.350000000000001</v>
      </c>
      <c r="CT27" s="243" t="s">
        <v>420</v>
      </c>
      <c r="CU27" s="244">
        <v>2E-16</v>
      </c>
      <c r="CV27" s="81" t="s">
        <v>385</v>
      </c>
      <c r="CW27" s="245" t="s">
        <v>460</v>
      </c>
      <c r="CX27" s="246" t="s">
        <v>325</v>
      </c>
      <c r="CY27" s="246" t="s">
        <v>318</v>
      </c>
      <c r="CZ27" s="247">
        <f>CQ32</f>
        <v>7060000</v>
      </c>
      <c r="DA27" s="245" t="s">
        <v>317</v>
      </c>
    </row>
    <row r="28" spans="2:105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s="81" t="s">
        <v>102</v>
      </c>
      <c r="L28" s="208">
        <v>2</v>
      </c>
      <c r="M28" s="209">
        <v>2</v>
      </c>
      <c r="N28" s="209" t="s">
        <v>85</v>
      </c>
      <c r="O28" s="210">
        <f>SUM(O17:O20)+O31/2</f>
        <v>136.25416887148947</v>
      </c>
      <c r="P28" s="211"/>
      <c r="Q28" s="30">
        <f>VLOOKUP(N28,$X$5:$AA$392,4,0)</f>
        <v>1.9926199261992623</v>
      </c>
      <c r="R28" s="30">
        <f>Q28*O28</f>
        <v>271.50277192104915</v>
      </c>
      <c r="S28" s="30">
        <f>VLOOKUP(N28,$X$5:$AE$392,8,0)*O28</f>
        <v>20487176.831517156</v>
      </c>
      <c r="T28" s="30">
        <f>S28/O28</f>
        <v>150360</v>
      </c>
      <c r="U28" s="30">
        <f>VLOOKUP(N28,$X$5:$AG$391,10,0)*O28</f>
        <v>20487176.831517156</v>
      </c>
      <c r="V28" s="31"/>
      <c r="W28" s="223"/>
      <c r="X28" s="216" t="s">
        <v>99</v>
      </c>
      <c r="Y28" s="217"/>
      <c r="Z28" s="218" t="s">
        <v>21</v>
      </c>
      <c r="AA28" s="219">
        <f>1/(1/10+SUM(AD30:AD33)+1/6)</f>
        <v>1.2141280353200883</v>
      </c>
      <c r="AB28" s="217" t="s">
        <v>5</v>
      </c>
      <c r="AC28" s="217"/>
      <c r="AD28" s="217" t="s">
        <v>22</v>
      </c>
      <c r="AE28" s="220">
        <f>SUM(AE30:AE34)</f>
        <v>57740</v>
      </c>
      <c r="AF28" s="222" t="s">
        <v>23</v>
      </c>
      <c r="AG28" s="222">
        <f>SUM(AE30:AE33)</f>
        <v>57740</v>
      </c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SUM(O21:O24)/SUM(O$17:O$25,O$28,O$26)</f>
        <v>3.987023109313937E-2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5"/>
        <v>3.987023109313937E-2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6"/>
        <v>0.69799999999999995</v>
      </c>
      <c r="BQ28" s="167" t="s">
        <v>317</v>
      </c>
      <c r="BS28" s="81" t="s">
        <v>373</v>
      </c>
      <c r="BT28" s="81" t="s">
        <v>403</v>
      </c>
      <c r="BU28" s="166">
        <v>0.16500000000000001</v>
      </c>
      <c r="BV28" s="166">
        <v>4.26E-4</v>
      </c>
      <c r="BW28" s="81">
        <v>388.6</v>
      </c>
      <c r="BX28" s="81" t="s">
        <v>384</v>
      </c>
      <c r="BY28" s="81" t="s">
        <v>385</v>
      </c>
      <c r="CA28" s="167"/>
      <c r="CB28" s="167"/>
      <c r="CC28" s="167"/>
      <c r="CD28" s="168"/>
      <c r="CE28" s="161"/>
      <c r="CF28" s="167"/>
      <c r="CJ28" s="240"/>
      <c r="CK28" s="240"/>
      <c r="CL28" s="240"/>
      <c r="CO28" s="243" t="s">
        <v>373</v>
      </c>
      <c r="CP28" s="243" t="s">
        <v>355</v>
      </c>
      <c r="CQ28" s="244">
        <v>1.1999999999999999E-14</v>
      </c>
      <c r="CR28" s="244">
        <v>3.2E-13</v>
      </c>
      <c r="CS28" s="243">
        <v>0.04</v>
      </c>
      <c r="CT28" s="243">
        <v>0.96992</v>
      </c>
      <c r="CW28" s="245" t="s">
        <v>460</v>
      </c>
      <c r="CX28" s="249" t="s">
        <v>322</v>
      </c>
      <c r="CY28" s="246" t="s">
        <v>318</v>
      </c>
      <c r="CZ28" s="247">
        <f t="shared" ref="CZ28:CZ30" si="27">CQ33</f>
        <v>1310000</v>
      </c>
      <c r="DA28" s="245" t="s">
        <v>317</v>
      </c>
    </row>
    <row r="29" spans="2:105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08">
        <v>2</v>
      </c>
      <c r="M29" s="209">
        <v>2</v>
      </c>
      <c r="N29" s="209" t="s">
        <v>99</v>
      </c>
      <c r="O29" s="210">
        <f>C8-C7</f>
        <v>74.500000000000028</v>
      </c>
      <c r="P29" s="211"/>
      <c r="Q29" s="30">
        <f t="shared" ref="Q29:Q31" si="28">VLOOKUP(N29,$X$5:$AA$392,4,0)</f>
        <v>1.2141280353200883</v>
      </c>
      <c r="R29" s="30">
        <f t="shared" ref="R29:R31" si="29">Q29*O29</f>
        <v>90.452538631346613</v>
      </c>
      <c r="S29" s="30">
        <f t="shared" ref="S29:S31" si="30">VLOOKUP(N29,$X$5:$AE$392,8,0)*O29</f>
        <v>4301630.0000000019</v>
      </c>
      <c r="T29" s="30">
        <f t="shared" ref="T29:T31" si="31">S29/O29</f>
        <v>57740</v>
      </c>
      <c r="U29" s="30">
        <f t="shared" ref="U29:U31" si="32">VLOOKUP(N29,$X$5:$AG$391,10,0)*O29</f>
        <v>4301630.0000000019</v>
      </c>
      <c r="X29" s="224"/>
      <c r="Y29" s="225" t="s">
        <v>27</v>
      </c>
      <c r="Z29" s="225" t="s">
        <v>28</v>
      </c>
      <c r="AA29" s="225" t="s">
        <v>29</v>
      </c>
      <c r="AB29" s="225" t="s">
        <v>30</v>
      </c>
      <c r="AC29" s="225" t="s">
        <v>31</v>
      </c>
      <c r="AD29" s="225" t="s">
        <v>32</v>
      </c>
      <c r="AE29" s="226" t="s">
        <v>33</v>
      </c>
      <c r="AF29" s="222"/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404</v>
      </c>
      <c r="BU29" s="166">
        <v>0.71599999999999997</v>
      </c>
      <c r="BV29" s="166">
        <v>3.2699999999999999E-3</v>
      </c>
      <c r="BW29" s="81">
        <v>219.17</v>
      </c>
      <c r="BX29" s="81" t="s">
        <v>384</v>
      </c>
      <c r="BY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BU58</f>
        <v>1470000</v>
      </c>
      <c r="CF29" s="167" t="s">
        <v>317</v>
      </c>
      <c r="CI29" s="81" t="s">
        <v>339</v>
      </c>
      <c r="CJ29" s="241">
        <f t="shared" si="1"/>
        <v>2173896.7411420983</v>
      </c>
      <c r="CK29" s="241">
        <f t="shared" si="2"/>
        <v>3800000</v>
      </c>
      <c r="CL29" s="241">
        <f t="shared" si="3"/>
        <v>1470000</v>
      </c>
      <c r="CO29" s="243" t="s">
        <v>373</v>
      </c>
      <c r="CP29" s="243" t="s">
        <v>456</v>
      </c>
      <c r="CQ29" s="244">
        <v>8.7300000000000003E-2</v>
      </c>
      <c r="CR29" s="244">
        <v>3.0000000000000001E-3</v>
      </c>
      <c r="CS29" s="243">
        <v>29.11</v>
      </c>
      <c r="CT29" s="243" t="s">
        <v>420</v>
      </c>
      <c r="CU29" s="244">
        <v>2E-16</v>
      </c>
      <c r="CV29" s="81" t="s">
        <v>385</v>
      </c>
      <c r="CW29" s="245" t="s">
        <v>460</v>
      </c>
      <c r="CX29" s="249" t="s">
        <v>323</v>
      </c>
      <c r="CY29" s="246" t="s">
        <v>318</v>
      </c>
      <c r="CZ29" s="247">
        <f t="shared" si="27"/>
        <v>169000000</v>
      </c>
      <c r="DA29" s="245" t="s">
        <v>317</v>
      </c>
    </row>
    <row r="30" spans="2:105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 s="208" t="s">
        <v>504</v>
      </c>
      <c r="M30" s="209">
        <v>1</v>
      </c>
      <c r="N30" s="209" t="s">
        <v>505</v>
      </c>
      <c r="O30" s="210">
        <f>'Tabula data'!B19*D43</f>
        <v>59.397553790098286</v>
      </c>
      <c r="P30" s="211"/>
      <c r="Q30" s="30">
        <f t="shared" si="28"/>
        <v>2.5352112676056335</v>
      </c>
      <c r="R30" s="30">
        <f t="shared" si="29"/>
        <v>150.58534763686887</v>
      </c>
      <c r="S30" s="30">
        <f t="shared" si="30"/>
        <v>10203311.790063083</v>
      </c>
      <c r="T30" s="30">
        <f t="shared" si="31"/>
        <v>171780</v>
      </c>
      <c r="U30" s="30">
        <f t="shared" si="32"/>
        <v>0</v>
      </c>
      <c r="X30" s="181"/>
      <c r="Y30" s="182" t="s">
        <v>103</v>
      </c>
      <c r="Z30" s="182">
        <v>0.02</v>
      </c>
      <c r="AA30" s="182">
        <v>0.11</v>
      </c>
      <c r="AB30" s="182">
        <v>550</v>
      </c>
      <c r="AC30" s="182">
        <v>1880</v>
      </c>
      <c r="AD30" s="231">
        <f>Z30/AA30</f>
        <v>0.18181818181818182</v>
      </c>
      <c r="AE30" s="232">
        <f>Z30*AB30*AC30</f>
        <v>20680</v>
      </c>
      <c r="AF30" s="222" t="s">
        <v>104</v>
      </c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2173896.7411420983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2173896.7411420983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405</v>
      </c>
      <c r="BU30" s="166">
        <v>5.5E-2</v>
      </c>
      <c r="BV30" s="166">
        <v>1.06E-4</v>
      </c>
      <c r="BW30" s="81">
        <v>518.19000000000005</v>
      </c>
      <c r="BX30" s="81" t="s">
        <v>384</v>
      </c>
      <c r="BY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 t="shared" ref="CE30:CE31" si="33">BU59</f>
        <v>219000000</v>
      </c>
      <c r="CF30" s="167" t="s">
        <v>317</v>
      </c>
      <c r="CI30" s="81" t="s">
        <v>340</v>
      </c>
      <c r="CJ30" s="241">
        <f t="shared" si="1"/>
        <v>35109018.321381137</v>
      </c>
      <c r="CK30" s="241">
        <f t="shared" si="2"/>
        <v>78400000</v>
      </c>
      <c r="CL30" s="241">
        <f t="shared" si="3"/>
        <v>219000000</v>
      </c>
      <c r="CO30" s="243" t="s">
        <v>373</v>
      </c>
      <c r="CP30" s="243" t="s">
        <v>457</v>
      </c>
      <c r="CQ30" s="244">
        <v>6.3600000000000004E-2</v>
      </c>
      <c r="CR30" s="244">
        <v>2.82E-3</v>
      </c>
      <c r="CS30" s="243">
        <v>22.5</v>
      </c>
      <c r="CT30" s="243" t="s">
        <v>420</v>
      </c>
      <c r="CU30" s="244">
        <v>2E-16</v>
      </c>
      <c r="CV30" s="81" t="s">
        <v>385</v>
      </c>
      <c r="CW30" s="245" t="s">
        <v>460</v>
      </c>
      <c r="CX30" s="249" t="s">
        <v>324</v>
      </c>
      <c r="CY30" s="246" t="s">
        <v>318</v>
      </c>
      <c r="CZ30" s="247">
        <f t="shared" si="27"/>
        <v>12900000</v>
      </c>
      <c r="DA30" s="245" t="s">
        <v>317</v>
      </c>
    </row>
    <row r="31" spans="2:105" ht="15" customHeight="1" thickTop="1" thickBot="1" x14ac:dyDescent="0.3">
      <c r="L31" s="213" t="s">
        <v>504</v>
      </c>
      <c r="M31" s="214">
        <v>2</v>
      </c>
      <c r="N31" s="214" t="s">
        <v>505</v>
      </c>
      <c r="O31" s="210">
        <f>'Tabula data'!B19*(1-D43)</f>
        <v>117.85353473279741</v>
      </c>
      <c r="P31" s="211"/>
      <c r="Q31" s="30">
        <f t="shared" si="28"/>
        <v>2.5352112676056335</v>
      </c>
      <c r="R31" s="30">
        <f t="shared" si="29"/>
        <v>298.78360918173991</v>
      </c>
      <c r="S31" s="30">
        <f t="shared" si="30"/>
        <v>20244880.196399938</v>
      </c>
      <c r="T31" s="30">
        <f t="shared" si="31"/>
        <v>171780</v>
      </c>
      <c r="U31" s="30">
        <f t="shared" si="32"/>
        <v>0</v>
      </c>
      <c r="X31" s="175"/>
      <c r="Y31" s="176" t="s">
        <v>105</v>
      </c>
      <c r="Z31" s="176">
        <v>0.1</v>
      </c>
      <c r="AA31" s="176"/>
      <c r="AB31" s="176"/>
      <c r="AC31" s="176"/>
      <c r="AD31" s="227">
        <v>0.16</v>
      </c>
      <c r="AE31" s="177">
        <f>Z31*AB31*AC31</f>
        <v>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35109018.321381137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34">AP31</f>
        <v>35109018.321381137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35">BE58</f>
        <v>78400000</v>
      </c>
      <c r="BQ31" s="167" t="s">
        <v>317</v>
      </c>
      <c r="BS31" s="81" t="s">
        <v>373</v>
      </c>
      <c r="BT31" s="81" t="s">
        <v>406</v>
      </c>
      <c r="BU31" s="166">
        <v>2.8899999999999999E-2</v>
      </c>
      <c r="BV31" s="166">
        <v>1.4300000000000001E-4</v>
      </c>
      <c r="BW31" s="81">
        <v>201.71</v>
      </c>
      <c r="BX31" s="81" t="s">
        <v>384</v>
      </c>
      <c r="BY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 t="shared" si="33"/>
        <v>40000000</v>
      </c>
      <c r="CF31" s="167" t="s">
        <v>317</v>
      </c>
      <c r="CI31" s="81" t="s">
        <v>341</v>
      </c>
      <c r="CJ31" s="241">
        <f t="shared" si="1"/>
        <v>20487176.831517156</v>
      </c>
      <c r="CK31" s="241">
        <f t="shared" si="2"/>
        <v>12500000</v>
      </c>
      <c r="CL31" s="241">
        <f t="shared" si="3"/>
        <v>40000000</v>
      </c>
      <c r="CO31" s="243" t="s">
        <v>373</v>
      </c>
      <c r="CP31" s="243" t="s">
        <v>303</v>
      </c>
      <c r="CQ31" s="244">
        <v>1580000000</v>
      </c>
      <c r="CR31" s="244">
        <v>193000000</v>
      </c>
      <c r="CS31" s="243">
        <v>8.19</v>
      </c>
      <c r="CT31" s="244">
        <v>2.2E-16</v>
      </c>
      <c r="CU31" s="243" t="s">
        <v>385</v>
      </c>
      <c r="CY31" s="246"/>
    </row>
    <row r="32" spans="2:105" ht="15" customHeight="1" thickTop="1" thickBot="1" x14ac:dyDescent="0.3">
      <c r="L32" s="213"/>
      <c r="M32" s="214"/>
      <c r="N32" s="214"/>
      <c r="O32" s="214"/>
      <c r="P32" s="215"/>
      <c r="Q32" s="81"/>
      <c r="R32" s="81"/>
      <c r="X32" s="175"/>
      <c r="Y32" s="176" t="s">
        <v>108</v>
      </c>
      <c r="Z32" s="176">
        <v>0.02</v>
      </c>
      <c r="AA32" s="176">
        <v>0.11</v>
      </c>
      <c r="AB32" s="176">
        <v>550</v>
      </c>
      <c r="AC32" s="176">
        <v>1880</v>
      </c>
      <c r="AD32" s="227">
        <f>Z32/AA32</f>
        <v>0.18181818181818182</v>
      </c>
      <c r="AE32" s="177">
        <f>Z32*AB32*AC32</f>
        <v>20680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SUM(U28)</f>
        <v>20487176.831517156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34"/>
        <v>20487176.831517156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35"/>
        <v>12500000</v>
      </c>
      <c r="BQ32" s="167" t="s">
        <v>317</v>
      </c>
      <c r="BS32" s="81" t="s">
        <v>373</v>
      </c>
      <c r="BT32" s="81" t="s">
        <v>407</v>
      </c>
      <c r="BU32" s="166">
        <v>505</v>
      </c>
      <c r="BV32" s="166">
        <v>1.79</v>
      </c>
      <c r="BW32" s="81">
        <v>282.55</v>
      </c>
      <c r="BX32" s="81" t="s">
        <v>384</v>
      </c>
      <c r="BY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BU65</f>
        <v>0.16500000000000001</v>
      </c>
      <c r="CF32" s="167" t="s">
        <v>317</v>
      </c>
      <c r="CI32" s="81" t="s">
        <v>342</v>
      </c>
      <c r="CJ32" s="239">
        <f t="shared" si="1"/>
        <v>0.12707394602328539</v>
      </c>
      <c r="CK32" s="239">
        <f t="shared" si="2"/>
        <v>1.6E-2</v>
      </c>
      <c r="CL32" s="239">
        <f t="shared" si="3"/>
        <v>0.16500000000000001</v>
      </c>
      <c r="CO32" s="243" t="s">
        <v>373</v>
      </c>
      <c r="CP32" s="243" t="s">
        <v>299</v>
      </c>
      <c r="CQ32" s="244">
        <v>7060000</v>
      </c>
      <c r="CR32" s="244">
        <v>64400</v>
      </c>
      <c r="CS32" s="243">
        <v>109.55</v>
      </c>
      <c r="CT32" s="244" t="s">
        <v>420</v>
      </c>
      <c r="CU32" s="244">
        <v>2E-16</v>
      </c>
      <c r="CV32" s="81" t="s">
        <v>385</v>
      </c>
      <c r="CW32" s="245" t="s">
        <v>460</v>
      </c>
      <c r="CX32" s="249" t="s">
        <v>481</v>
      </c>
      <c r="CY32" s="246" t="s">
        <v>318</v>
      </c>
      <c r="CZ32" s="247">
        <f>CQ46</f>
        <v>65.400000000000006</v>
      </c>
      <c r="DA32" s="245" t="s">
        <v>317</v>
      </c>
    </row>
    <row r="33" spans="2:105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89" t="s">
        <v>112</v>
      </c>
      <c r="G33" s="289"/>
      <c r="H33" s="72" t="s">
        <v>113</v>
      </c>
      <c r="L33" s="81"/>
      <c r="M33" s="81"/>
      <c r="N33" s="81"/>
      <c r="Q33" s="81"/>
      <c r="R33" s="81"/>
      <c r="X33" s="187"/>
      <c r="Y33" s="174" t="s">
        <v>80</v>
      </c>
      <c r="Z33" s="174">
        <v>0.02</v>
      </c>
      <c r="AA33" s="174">
        <v>0.6</v>
      </c>
      <c r="AB33" s="174">
        <v>975</v>
      </c>
      <c r="AC33" s="174">
        <v>840</v>
      </c>
      <c r="AD33" s="229">
        <f>Z33/AA33</f>
        <v>3.3333333333333333E-2</v>
      </c>
      <c r="AE33" s="192">
        <f>Z33*AB33*AC33</f>
        <v>16380</v>
      </c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AP26*0.3</f>
        <v>0.12707394602328539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34"/>
        <v>0.12707394602328539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408</v>
      </c>
      <c r="BU33" s="166">
        <v>194</v>
      </c>
      <c r="BV33" s="166">
        <v>0.9</v>
      </c>
      <c r="BW33" s="81">
        <v>216.08</v>
      </c>
      <c r="BX33" s="81" t="s">
        <v>384</v>
      </c>
      <c r="BY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 t="shared" ref="CE33:CE34" si="36">BU66</f>
        <v>5.8500000000000003E-2</v>
      </c>
      <c r="CF33" s="167" t="s">
        <v>317</v>
      </c>
      <c r="CI33" s="81" t="s">
        <v>343</v>
      </c>
      <c r="CJ33" s="239">
        <f t="shared" si="1"/>
        <v>0.10347590857733183</v>
      </c>
      <c r="CK33" s="239">
        <f t="shared" si="2"/>
        <v>4.2999999999999997E-2</v>
      </c>
      <c r="CL33" s="239">
        <f t="shared" si="3"/>
        <v>5.8500000000000003E-2</v>
      </c>
      <c r="CO33" s="243" t="s">
        <v>373</v>
      </c>
      <c r="CP33" s="243" t="s">
        <v>395</v>
      </c>
      <c r="CQ33" s="244">
        <v>1310000</v>
      </c>
      <c r="CR33" s="244">
        <v>9300</v>
      </c>
      <c r="CS33" s="243">
        <v>140.65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37">CQ47</f>
        <v>109</v>
      </c>
      <c r="DA33" s="245" t="s">
        <v>317</v>
      </c>
    </row>
    <row r="34" spans="2:105" ht="15" customHeight="1" thickTop="1" thickBot="1" x14ac:dyDescent="0.3">
      <c r="B34" s="73">
        <v>1</v>
      </c>
      <c r="C34" s="74">
        <f>C7*'Tabula data'!E5</f>
        <v>208.20013280212478</v>
      </c>
      <c r="D34" s="73"/>
      <c r="E34" s="73" t="s">
        <v>42</v>
      </c>
      <c r="F34" s="290">
        <v>21</v>
      </c>
      <c r="G34" s="290"/>
      <c r="H34" s="76">
        <f>VLOOKUP(E34,B6:C22,2,0)</f>
        <v>75.699999999999989</v>
      </c>
      <c r="L34" s="81"/>
      <c r="M34" s="81"/>
      <c r="N34" s="81"/>
      <c r="Q34" s="69" t="s">
        <v>106</v>
      </c>
      <c r="R34" s="70">
        <f>SUM(R4:R13)+R14*0.5+SUM(R17:R25)+R16</f>
        <v>169.74626462214309</v>
      </c>
      <c r="S34" s="69" t="s">
        <v>107</v>
      </c>
      <c r="X34" s="176"/>
      <c r="Y34" s="176"/>
      <c r="Z34" s="176"/>
      <c r="AA34" s="176"/>
      <c r="AB34" s="176"/>
      <c r="AC34" s="176"/>
      <c r="AD34" s="227"/>
      <c r="AE34" s="176"/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AP27*0.3</f>
        <v>0.10347590857733183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34"/>
        <v>0.10347590857733183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38">BE65</f>
        <v>4.2999999999999997E-2</v>
      </c>
      <c r="BQ34" s="167" t="s">
        <v>317</v>
      </c>
      <c r="BS34" s="81" t="s">
        <v>373</v>
      </c>
      <c r="BT34" s="81" t="s">
        <v>290</v>
      </c>
      <c r="BU34" s="166">
        <v>644</v>
      </c>
      <c r="BV34" s="166">
        <v>4.09</v>
      </c>
      <c r="BW34" s="81">
        <v>157.52000000000001</v>
      </c>
      <c r="BX34" s="81" t="s">
        <v>384</v>
      </c>
      <c r="BY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 t="shared" si="36"/>
        <v>0.61199999999999999</v>
      </c>
      <c r="CF34" s="167" t="s">
        <v>317</v>
      </c>
      <c r="CI34" s="81" t="s">
        <v>345</v>
      </c>
      <c r="CJ34" s="239">
        <f t="shared" si="1"/>
        <v>0.71196106932794179</v>
      </c>
      <c r="CK34" s="239">
        <f t="shared" si="2"/>
        <v>0.73</v>
      </c>
      <c r="CL34" s="239">
        <f t="shared" si="3"/>
        <v>0.61199999999999999</v>
      </c>
      <c r="CO34" s="243" t="s">
        <v>373</v>
      </c>
      <c r="CP34" s="243" t="s">
        <v>296</v>
      </c>
      <c r="CQ34" s="244">
        <v>169000000</v>
      </c>
      <c r="CR34" s="244">
        <v>69600000</v>
      </c>
      <c r="CS34" s="243">
        <v>2.4300000000000002</v>
      </c>
      <c r="CT34" s="243">
        <v>1.504E-2</v>
      </c>
      <c r="CU34" s="244" t="s">
        <v>418</v>
      </c>
      <c r="CW34" s="245" t="s">
        <v>460</v>
      </c>
      <c r="CX34" s="250" t="s">
        <v>332</v>
      </c>
      <c r="CY34" s="246" t="s">
        <v>318</v>
      </c>
      <c r="CZ34" s="247">
        <f t="shared" si="37"/>
        <v>305</v>
      </c>
      <c r="DA34" s="245" t="s">
        <v>317</v>
      </c>
    </row>
    <row r="35" spans="2:105" ht="15" customHeight="1" thickTop="1" thickBot="1" x14ac:dyDescent="0.3">
      <c r="B35" s="73">
        <v>2</v>
      </c>
      <c r="C35" s="74">
        <f>C4-C34</f>
        <v>413.09986719787514</v>
      </c>
      <c r="D35" s="73"/>
      <c r="E35" s="73" t="s">
        <v>116</v>
      </c>
      <c r="F35" s="77">
        <v>18</v>
      </c>
      <c r="G35" s="77"/>
      <c r="H35" s="76">
        <f>VLOOKUP(E35,B7:C23,2,0)</f>
        <v>150.20000000000002</v>
      </c>
      <c r="L35" s="81"/>
      <c r="M35" s="81"/>
      <c r="N35" s="81"/>
      <c r="Q35" s="81"/>
      <c r="R35" s="81">
        <f>H4*Z37</f>
        <v>42.871499999999997</v>
      </c>
      <c r="Z35" s="221" t="s">
        <v>4</v>
      </c>
      <c r="AA35" s="221">
        <v>5</v>
      </c>
      <c r="AB35" s="221" t="s">
        <v>5</v>
      </c>
      <c r="AF35" s="222"/>
      <c r="AG35" s="222"/>
      <c r="AH35" s="222"/>
      <c r="AM35" s="158" t="s">
        <v>314</v>
      </c>
      <c r="AN35" s="81" t="s">
        <v>315</v>
      </c>
      <c r="AO35" s="81" t="s">
        <v>345</v>
      </c>
      <c r="AP35" s="81">
        <f>AP28*0.3+0.7</f>
        <v>0.71196106932794179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34"/>
        <v>0.71196106932794179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38"/>
        <v>0.73</v>
      </c>
      <c r="BQ35" s="167" t="s">
        <v>317</v>
      </c>
      <c r="BS35" s="81" t="s">
        <v>373</v>
      </c>
      <c r="BT35" s="81" t="s">
        <v>120</v>
      </c>
      <c r="BU35" s="166">
        <v>260</v>
      </c>
      <c r="BV35" s="166">
        <v>2.52</v>
      </c>
      <c r="BW35" s="81">
        <v>103.2</v>
      </c>
      <c r="BX35" s="81" t="s">
        <v>384</v>
      </c>
      <c r="BY35" s="81" t="s">
        <v>385</v>
      </c>
      <c r="CA35" s="167"/>
      <c r="CB35" s="167"/>
      <c r="CC35" s="167"/>
      <c r="CD35" s="168"/>
      <c r="CE35" s="161"/>
      <c r="CF35" s="167"/>
      <c r="CJ35" s="240"/>
      <c r="CK35" s="240"/>
      <c r="CL35" s="240"/>
      <c r="CO35" s="243" t="s">
        <v>373</v>
      </c>
      <c r="CP35" s="243" t="s">
        <v>298</v>
      </c>
      <c r="CQ35" s="244">
        <v>12900000</v>
      </c>
      <c r="CR35" s="244">
        <v>87300</v>
      </c>
      <c r="CS35" s="243">
        <v>147.72999999999999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37"/>
        <v>69.8</v>
      </c>
      <c r="DA35" s="245" t="s">
        <v>317</v>
      </c>
    </row>
    <row r="36" spans="2:105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91" t="s">
        <v>119</v>
      </c>
      <c r="G36" s="291"/>
      <c r="H36" s="76">
        <f>C17</f>
        <v>0</v>
      </c>
      <c r="L36" s="81"/>
      <c r="M36" s="81"/>
      <c r="N36" s="81"/>
      <c r="Q36" s="81"/>
      <c r="R36" s="81"/>
      <c r="X36" s="216" t="s">
        <v>115</v>
      </c>
      <c r="Y36" s="217"/>
      <c r="Z36" s="218" t="s">
        <v>21</v>
      </c>
      <c r="AA36" s="200">
        <v>2</v>
      </c>
      <c r="AB36" s="217" t="s">
        <v>5</v>
      </c>
      <c r="AC36" s="217"/>
      <c r="AD36" s="217" t="s">
        <v>22</v>
      </c>
      <c r="AE36" s="220">
        <f>SUM(AE37:AE38)</f>
        <v>0</v>
      </c>
      <c r="AF36" s="222" t="s">
        <v>23</v>
      </c>
      <c r="AG36" s="222">
        <f>SUM(AE38:AE39)</f>
        <v>0</v>
      </c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409</v>
      </c>
      <c r="BU36" s="166">
        <v>-5.4</v>
      </c>
      <c r="BV36" s="166">
        <v>1.5699999999999999E-2</v>
      </c>
      <c r="BW36" s="81">
        <v>-344.27</v>
      </c>
      <c r="BX36" s="81" t="s">
        <v>384</v>
      </c>
      <c r="BY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BU69</f>
        <v>298</v>
      </c>
      <c r="CF36" s="167" t="s">
        <v>317</v>
      </c>
      <c r="CI36" s="81" t="s">
        <v>347</v>
      </c>
      <c r="CJ36" s="242">
        <f t="shared" si="1"/>
        <v>96.518612086254535</v>
      </c>
      <c r="CK36" s="242">
        <f t="shared" si="2"/>
        <v>1350</v>
      </c>
      <c r="CL36" s="242">
        <f t="shared" si="3"/>
        <v>298</v>
      </c>
      <c r="CO36" s="243" t="s">
        <v>373</v>
      </c>
      <c r="CP36" s="243" t="s">
        <v>396</v>
      </c>
      <c r="CQ36" s="244">
        <v>-6.45</v>
      </c>
      <c r="CR36" s="244">
        <v>5.6000000000000001E-2</v>
      </c>
      <c r="CS36" s="243">
        <v>-115.17</v>
      </c>
      <c r="CT36" s="243" t="s">
        <v>420</v>
      </c>
      <c r="CU36" s="244">
        <v>2E-16</v>
      </c>
      <c r="CV36" s="81" t="s">
        <v>385</v>
      </c>
      <c r="CW36" s="245" t="s">
        <v>460</v>
      </c>
      <c r="CX36" s="251" t="s">
        <v>335</v>
      </c>
      <c r="CY36" s="246" t="s">
        <v>318</v>
      </c>
      <c r="CZ36" s="247">
        <f>CQ58</f>
        <v>22.7</v>
      </c>
      <c r="DA36" s="245" t="s">
        <v>317</v>
      </c>
    </row>
    <row r="37" spans="2:105" ht="15" customHeight="1" thickTop="1" thickBot="1" x14ac:dyDescent="0.3">
      <c r="L37" s="81"/>
      <c r="M37" s="81"/>
      <c r="N37" s="81"/>
      <c r="Q37" s="81"/>
      <c r="R37" s="81"/>
      <c r="X37" s="181"/>
      <c r="Y37" s="182" t="s">
        <v>435</v>
      </c>
      <c r="Z37" s="182">
        <v>1.361</v>
      </c>
      <c r="AA37" s="182" t="s">
        <v>5</v>
      </c>
      <c r="AB37" s="182"/>
      <c r="AC37" s="182"/>
      <c r="AD37" s="182">
        <f>(AA36-(1-AD38)*Z37)/AD38</f>
        <v>3.9169999999999998</v>
      </c>
      <c r="AE37" s="233"/>
      <c r="AF37" s="222"/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SUM(O17:O20)*(1/(SUM(AD18:AD19)*0.5+1/8))+O25*(1/(SUM(AD9:AD10)*0.5+1/8))</f>
        <v>96.518612086254535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96.518612086254535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410</v>
      </c>
      <c r="BU37" s="166">
        <v>-6.41</v>
      </c>
      <c r="BV37" s="166">
        <v>1.4999999999999999E-2</v>
      </c>
      <c r="BW37" s="81">
        <v>-427.68</v>
      </c>
      <c r="BX37" s="81" t="s">
        <v>384</v>
      </c>
      <c r="BY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 t="shared" ref="CE37:CE38" si="39">BU70</f>
        <v>120</v>
      </c>
      <c r="CF37" s="167" t="s">
        <v>317</v>
      </c>
      <c r="CI37" s="81" t="s">
        <v>349</v>
      </c>
      <c r="CJ37" s="242">
        <f t="shared" si="1"/>
        <v>0</v>
      </c>
      <c r="CK37" s="242">
        <f t="shared" si="2"/>
        <v>372</v>
      </c>
      <c r="CL37" s="242">
        <f t="shared" si="3"/>
        <v>120</v>
      </c>
      <c r="CO37" s="243" t="s">
        <v>373</v>
      </c>
      <c r="CP37" s="243" t="s">
        <v>397</v>
      </c>
      <c r="CQ37" s="244">
        <v>-18.100000000000001</v>
      </c>
      <c r="CR37" s="244">
        <v>51.6</v>
      </c>
      <c r="CS37" s="243">
        <v>-0.35</v>
      </c>
      <c r="CT37" s="243">
        <v>0.72514000000000001</v>
      </c>
      <c r="CW37" s="245" t="s">
        <v>460</v>
      </c>
      <c r="CX37" s="251" t="s">
        <v>334</v>
      </c>
      <c r="CY37" s="246" t="s">
        <v>318</v>
      </c>
      <c r="CZ37" s="247">
        <f>1/CQ55</f>
        <v>51.546391752577321</v>
      </c>
      <c r="DA37" s="245" t="s">
        <v>317</v>
      </c>
    </row>
    <row r="38" spans="2:105" ht="15" customHeight="1" thickTop="1" thickBot="1" x14ac:dyDescent="0.3">
      <c r="C38" s="152"/>
      <c r="L38" s="81"/>
      <c r="M38" s="81"/>
      <c r="N38" s="81" t="s">
        <v>114</v>
      </c>
      <c r="O38" s="152">
        <f>SUM(R6:R9,R15,R17:R20,R25)</f>
        <v>59.23564541783557</v>
      </c>
      <c r="P38" s="152"/>
      <c r="Q38" s="81"/>
      <c r="R38" s="81"/>
      <c r="X38" s="187"/>
      <c r="Y38" s="174" t="s">
        <v>436</v>
      </c>
      <c r="Z38" s="174">
        <v>0.47</v>
      </c>
      <c r="AA38" s="174"/>
      <c r="AB38" s="174"/>
      <c r="AC38" s="174"/>
      <c r="AD38" s="174">
        <v>0.25</v>
      </c>
      <c r="AE38" s="192"/>
      <c r="AF38" s="228" t="s">
        <v>274</v>
      </c>
      <c r="AG38" s="222"/>
      <c r="AH38" s="222"/>
      <c r="AM38" s="158" t="s">
        <v>314</v>
      </c>
      <c r="AN38" s="81" t="s">
        <v>315</v>
      </c>
      <c r="AO38" s="81" t="s">
        <v>349</v>
      </c>
      <c r="AP38" s="81">
        <f>4*AA21*O28</f>
        <v>0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40">AP38</f>
        <v>0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41">BE69</f>
        <v>372</v>
      </c>
      <c r="BQ38" s="167" t="s">
        <v>317</v>
      </c>
      <c r="BS38" s="81" t="s">
        <v>373</v>
      </c>
      <c r="BT38" s="81" t="s">
        <v>411</v>
      </c>
      <c r="BU38" s="166">
        <v>-5.92</v>
      </c>
      <c r="BV38" s="166">
        <v>1.8499999999999999E-2</v>
      </c>
      <c r="BW38" s="81">
        <v>-319.37</v>
      </c>
      <c r="BX38" s="81" t="s">
        <v>384</v>
      </c>
      <c r="BY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 t="shared" si="39"/>
        <v>69.5</v>
      </c>
      <c r="CF38" s="167" t="s">
        <v>317</v>
      </c>
      <c r="CI38" s="81" t="s">
        <v>350</v>
      </c>
      <c r="CJ38" s="242">
        <f t="shared" si="1"/>
        <v>96.778874794156707</v>
      </c>
      <c r="CK38" s="242">
        <f t="shared" si="2"/>
        <v>31.9</v>
      </c>
      <c r="CL38" s="242">
        <f t="shared" si="3"/>
        <v>69.5</v>
      </c>
      <c r="CO38" s="243" t="s">
        <v>373</v>
      </c>
      <c r="CP38" s="243" t="s">
        <v>399</v>
      </c>
      <c r="CQ38" s="244">
        <v>-16.5</v>
      </c>
      <c r="CR38" s="244">
        <v>5.69</v>
      </c>
      <c r="CS38" s="243">
        <v>-2.89</v>
      </c>
      <c r="CT38" s="243">
        <v>3.81E-3</v>
      </c>
      <c r="CU38" s="243" t="s">
        <v>398</v>
      </c>
      <c r="CW38" s="245" t="s">
        <v>460</v>
      </c>
      <c r="CX38" s="248" t="s">
        <v>326</v>
      </c>
      <c r="CY38" s="246" t="s">
        <v>318</v>
      </c>
      <c r="CZ38" s="247">
        <f>CQ41</f>
        <v>3.1399999999999997E-2</v>
      </c>
      <c r="DA38" s="245" t="s">
        <v>317</v>
      </c>
    </row>
    <row r="39" spans="2:105" ht="15" customHeight="1" thickTop="1" thickBot="1" x14ac:dyDescent="0.3">
      <c r="L39" s="81"/>
      <c r="M39" s="81"/>
      <c r="N39" s="81" t="s">
        <v>117</v>
      </c>
      <c r="O39" s="152">
        <f>SUM(R10:R13,R21:R24)</f>
        <v>63</v>
      </c>
      <c r="R39" s="81"/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2zone'!B139+SUM(R21:R24)</f>
        <v>96.778874794156707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40"/>
        <v>96.778874794156707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41"/>
        <v>31.9</v>
      </c>
      <c r="BQ39" s="167" t="s">
        <v>317</v>
      </c>
      <c r="BS39" s="81" t="s">
        <v>373</v>
      </c>
      <c r="BT39" s="81" t="s">
        <v>412</v>
      </c>
      <c r="BU39" s="166">
        <v>-5.28</v>
      </c>
      <c r="BV39" s="166">
        <v>1.7000000000000001E-2</v>
      </c>
      <c r="BW39" s="81">
        <v>-310.54000000000002</v>
      </c>
      <c r="BX39" s="81" t="s">
        <v>384</v>
      </c>
      <c r="BY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1/BU76</f>
        <v>9900.9900990099013</v>
      </c>
      <c r="CF39" s="167" t="s">
        <v>317</v>
      </c>
      <c r="CI39" s="81" t="s">
        <v>352</v>
      </c>
      <c r="CJ39" s="242">
        <f t="shared" si="1"/>
        <v>73.671772760250178</v>
      </c>
      <c r="CK39" s="242">
        <f t="shared" si="2"/>
        <v>110.74197120708749</v>
      </c>
      <c r="CL39" s="242">
        <f t="shared" si="3"/>
        <v>9900.9900990099013</v>
      </c>
      <c r="CO39" s="243" t="s">
        <v>373</v>
      </c>
      <c r="CP39" s="243" t="s">
        <v>400</v>
      </c>
      <c r="CQ39" s="244">
        <v>-42.3</v>
      </c>
      <c r="CR39" s="244">
        <v>8.0299999999999994</v>
      </c>
      <c r="CS39" s="243">
        <v>-5.27</v>
      </c>
      <c r="CT39" s="244">
        <v>1.4000000000000001E-7</v>
      </c>
      <c r="CU39" s="244" t="s">
        <v>385</v>
      </c>
      <c r="CW39" s="245" t="s">
        <v>460</v>
      </c>
      <c r="CX39" s="249" t="s">
        <v>327</v>
      </c>
      <c r="CY39" s="246" t="s">
        <v>318</v>
      </c>
      <c r="CZ39" s="247">
        <f t="shared" ref="CZ39:CZ42" si="42">CQ42</f>
        <v>0.16500000000000001</v>
      </c>
      <c r="DA39" s="245" t="s">
        <v>317</v>
      </c>
    </row>
    <row r="40" spans="2:105" ht="15" customHeight="1" thickTop="1" thickBot="1" x14ac:dyDescent="0.3">
      <c r="B40" s="81" t="s">
        <v>275</v>
      </c>
      <c r="L40" s="81"/>
      <c r="M40" s="81"/>
      <c r="N40" s="81" t="s">
        <v>120</v>
      </c>
      <c r="O40" s="152">
        <f>'Verwarming Tabula'!B60</f>
        <v>138.03320000000002</v>
      </c>
      <c r="Q40" s="152">
        <f>SUM(U6:U9,U15)/1000000</f>
        <v>19.579925678618856</v>
      </c>
      <c r="R40" s="81"/>
      <c r="Z40" s="221" t="s">
        <v>4</v>
      </c>
      <c r="AA40" s="221">
        <v>0.85</v>
      </c>
      <c r="AB40" s="221" t="s">
        <v>5</v>
      </c>
      <c r="AF40" s="222"/>
      <c r="AG40" s="222"/>
      <c r="AH40" s="222"/>
      <c r="AM40" s="158" t="s">
        <v>314</v>
      </c>
      <c r="AN40" s="81" t="s">
        <v>315</v>
      </c>
      <c r="AO40" s="81" t="s">
        <v>352</v>
      </c>
      <c r="AP40" s="81">
        <f>SUM(O17:O20)*1/(SUM(AD15:AD17)+0.5*SUM(AD18:AD19)+1/23)+O25*1/(SUM(AD7:AD9)+0.5*SUM(AD10)+1/23)</f>
        <v>73.671772760250178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40"/>
        <v>73.671772760250178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413</v>
      </c>
      <c r="BU40" s="166">
        <v>-6.14</v>
      </c>
      <c r="BV40" s="166">
        <v>1.67E-2</v>
      </c>
      <c r="BW40" s="81">
        <v>-367.45</v>
      </c>
      <c r="BX40" s="81" t="s">
        <v>384</v>
      </c>
      <c r="BY40" s="81" t="s">
        <v>385</v>
      </c>
      <c r="CA40" s="167"/>
      <c r="CB40" s="167"/>
      <c r="CC40" s="167"/>
      <c r="CD40" s="168"/>
      <c r="CE40" s="161"/>
      <c r="CF40" s="167"/>
      <c r="CJ40" s="240"/>
      <c r="CK40" s="240"/>
      <c r="CL40" s="240"/>
      <c r="CO40" s="243" t="s">
        <v>373</v>
      </c>
      <c r="CP40" s="243" t="s">
        <v>401</v>
      </c>
      <c r="CQ40" s="244">
        <v>-24.4</v>
      </c>
      <c r="CR40" s="244">
        <v>15.8</v>
      </c>
      <c r="CS40" s="243">
        <v>-1.54</v>
      </c>
      <c r="CT40" s="243">
        <v>0.12317</v>
      </c>
      <c r="CW40" s="245" t="s">
        <v>460</v>
      </c>
      <c r="CX40" s="249" t="s">
        <v>328</v>
      </c>
      <c r="CY40" s="246" t="s">
        <v>318</v>
      </c>
      <c r="CZ40" s="247">
        <f t="shared" si="42"/>
        <v>0.72399999999999998</v>
      </c>
      <c r="DA40" s="245" t="s">
        <v>317</v>
      </c>
    </row>
    <row r="41" spans="2:105" ht="15" customHeight="1" thickTop="1" thickBot="1" x14ac:dyDescent="0.3">
      <c r="B41" s="149" t="s">
        <v>276</v>
      </c>
      <c r="L41" s="81"/>
      <c r="M41" s="81"/>
      <c r="N41" s="81"/>
      <c r="O41" s="152"/>
      <c r="Q41" s="152">
        <f>SUM(U26:U27)/1000000</f>
        <v>14.696346003634144</v>
      </c>
      <c r="R41" s="81"/>
      <c r="X41" s="216" t="s">
        <v>63</v>
      </c>
      <c r="Y41" s="217"/>
      <c r="Z41" s="218" t="s">
        <v>21</v>
      </c>
      <c r="AA41" s="219">
        <f>1/(1/10+SUM(AD43:AD47))</f>
        <v>0.25127131319174395</v>
      </c>
      <c r="AB41" s="217" t="s">
        <v>5</v>
      </c>
      <c r="AC41" s="217"/>
      <c r="AD41" s="217" t="s">
        <v>22</v>
      </c>
      <c r="AE41" s="220">
        <f>SUM(AE43:AE47)</f>
        <v>379396.7</v>
      </c>
      <c r="AF41" s="222" t="s">
        <v>23</v>
      </c>
      <c r="AG41" s="222">
        <f>SUM(AE43:AE44)</f>
        <v>110960</v>
      </c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414</v>
      </c>
      <c r="BU41" s="166">
        <v>5.0199999999999995E-4</v>
      </c>
      <c r="BV41" s="166">
        <v>9.6099999999999995E-6</v>
      </c>
      <c r="BW41" s="81">
        <v>52.22</v>
      </c>
      <c r="BX41" s="81" t="s">
        <v>384</v>
      </c>
      <c r="BY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BU15</f>
        <v>7.9000000000000001E-2</v>
      </c>
      <c r="CF41" s="167" t="s">
        <v>317</v>
      </c>
      <c r="CI41" s="81" t="s">
        <v>353</v>
      </c>
      <c r="CJ41" s="239">
        <f t="shared" si="1"/>
        <v>0.27547911233205047</v>
      </c>
      <c r="CK41" s="239">
        <f t="shared" si="2"/>
        <v>2.8899999999999999E-2</v>
      </c>
      <c r="CL41" s="239">
        <f t="shared" si="3"/>
        <v>7.9000000000000001E-2</v>
      </c>
      <c r="CO41" s="243" t="s">
        <v>373</v>
      </c>
      <c r="CP41" s="243" t="s">
        <v>402</v>
      </c>
      <c r="CQ41" s="244">
        <v>3.1399999999999997E-2</v>
      </c>
      <c r="CR41" s="244">
        <v>1.5799999999999999E-4</v>
      </c>
      <c r="CS41" s="243">
        <v>198.54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42"/>
        <v>7.0000000000000007E-2</v>
      </c>
      <c r="DA41" s="245" t="s">
        <v>317</v>
      </c>
    </row>
    <row r="42" spans="2:105" ht="15" customHeight="1" thickTop="1" thickBot="1" x14ac:dyDescent="0.3">
      <c r="B42" s="81" t="s">
        <v>277</v>
      </c>
      <c r="D42" s="81">
        <v>1</v>
      </c>
      <c r="L42" s="81"/>
      <c r="M42" s="81"/>
      <c r="N42" s="81" t="s">
        <v>122</v>
      </c>
      <c r="O42" s="152">
        <f>C4*1.204*1012*5/1000000</f>
        <v>3.7851087119999995</v>
      </c>
      <c r="P42" s="81" t="s">
        <v>123</v>
      </c>
      <c r="Q42" s="152">
        <f>U14/1000000</f>
        <v>8.3996719999999989</v>
      </c>
      <c r="R42" s="81"/>
      <c r="X42" s="224"/>
      <c r="Y42" s="225" t="s">
        <v>27</v>
      </c>
      <c r="Z42" s="225" t="s">
        <v>28</v>
      </c>
      <c r="AA42" s="225" t="s">
        <v>29</v>
      </c>
      <c r="AB42" s="225" t="s">
        <v>30</v>
      </c>
      <c r="AC42" s="225" t="s">
        <v>31</v>
      </c>
      <c r="AD42" s="225" t="s">
        <v>32</v>
      </c>
      <c r="AE42" s="226" t="s">
        <v>33</v>
      </c>
      <c r="AF42" s="222"/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SUM(O26)/SUM(O6:O14,O26:O27)</f>
        <v>0.27547911233205047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0.27547911233205047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415</v>
      </c>
      <c r="BU42" s="166">
        <v>115</v>
      </c>
      <c r="BV42" s="166">
        <v>1.17</v>
      </c>
      <c r="BW42" s="81">
        <v>98.05</v>
      </c>
      <c r="BX42" s="81" t="s">
        <v>384</v>
      </c>
      <c r="BY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BU56</f>
        <v>0.33100000000000002</v>
      </c>
      <c r="CF42" s="167" t="s">
        <v>317</v>
      </c>
      <c r="CI42" s="81" t="s">
        <v>355</v>
      </c>
      <c r="CJ42" s="239">
        <f t="shared" si="1"/>
        <v>0.19163025357146982</v>
      </c>
      <c r="CK42" s="239">
        <f t="shared" si="2"/>
        <v>9.7500000000000003E-2</v>
      </c>
      <c r="CL42" s="239">
        <f t="shared" si="3"/>
        <v>0.33100000000000002</v>
      </c>
      <c r="CO42" s="243" t="s">
        <v>373</v>
      </c>
      <c r="CP42" s="243" t="s">
        <v>403</v>
      </c>
      <c r="CQ42" s="244">
        <v>0.16500000000000001</v>
      </c>
      <c r="CR42" s="244">
        <v>7.0699999999999995E-4</v>
      </c>
      <c r="CS42" s="243">
        <v>232.76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42"/>
        <v>2.9899999999999999E-2</v>
      </c>
      <c r="DA42" s="245" t="s">
        <v>317</v>
      </c>
    </row>
    <row r="43" spans="2:105" ht="15" customHeight="1" thickTop="1" thickBot="1" x14ac:dyDescent="0.3">
      <c r="B43" s="81" t="s">
        <v>278</v>
      </c>
      <c r="D43" s="81">
        <f>C7/C6</f>
        <v>0.33510402833111991</v>
      </c>
      <c r="E43" s="81" t="s">
        <v>279</v>
      </c>
      <c r="L43" s="81"/>
      <c r="M43" s="81"/>
      <c r="N43" s="81" t="s">
        <v>124</v>
      </c>
      <c r="O43" s="152">
        <f>SUM(S6:S9,S15)/1000000</f>
        <v>25.316239900903049</v>
      </c>
      <c r="P43" s="81" t="s">
        <v>125</v>
      </c>
      <c r="Q43" s="81"/>
      <c r="R43" s="81"/>
      <c r="X43" s="181"/>
      <c r="Y43" s="182" t="s">
        <v>128</v>
      </c>
      <c r="Z43" s="182">
        <v>0.02</v>
      </c>
      <c r="AA43" s="182">
        <v>1.4</v>
      </c>
      <c r="AB43" s="182">
        <v>2100</v>
      </c>
      <c r="AC43" s="182">
        <v>840</v>
      </c>
      <c r="AD43" s="231">
        <f>Z43/AA43</f>
        <v>1.4285714285714287E-2</v>
      </c>
      <c r="AE43" s="232">
        <f>Z43*AB43*AC43</f>
        <v>35280</v>
      </c>
      <c r="AF43" s="222" t="s">
        <v>104</v>
      </c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SUM(O26)/SUM(O$17:O$25,O$28,O$26)</f>
        <v>0.19163025357146982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43">AP43</f>
        <v>0.19163025357146982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416</v>
      </c>
      <c r="BU43" s="166">
        <v>9960</v>
      </c>
      <c r="BV43" s="166">
        <v>166</v>
      </c>
      <c r="BW43" s="81">
        <v>60.14</v>
      </c>
      <c r="BX43" s="81" t="s">
        <v>384</v>
      </c>
      <c r="BY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BU88</f>
        <v>139000000</v>
      </c>
      <c r="CF43" s="167" t="s">
        <v>317</v>
      </c>
      <c r="CI43" s="81" t="s">
        <v>357</v>
      </c>
      <c r="CJ43" s="241">
        <f t="shared" si="1"/>
        <v>2185458.9999999995</v>
      </c>
      <c r="CK43" s="241">
        <f t="shared" si="2"/>
        <v>248000</v>
      </c>
      <c r="CL43" s="241">
        <f t="shared" si="3"/>
        <v>139000000</v>
      </c>
      <c r="CO43" s="243" t="s">
        <v>373</v>
      </c>
      <c r="CP43" s="243" t="s">
        <v>404</v>
      </c>
      <c r="CQ43" s="244">
        <v>0.72399999999999998</v>
      </c>
      <c r="CR43" s="244">
        <v>1.8600000000000001E-3</v>
      </c>
      <c r="CS43" s="243">
        <v>389.72</v>
      </c>
      <c r="CT43" s="243" t="s">
        <v>420</v>
      </c>
      <c r="CU43" s="244">
        <v>2E-16</v>
      </c>
      <c r="CV43" s="81" t="s">
        <v>385</v>
      </c>
      <c r="CY43" s="246"/>
    </row>
    <row r="44" spans="2:105" ht="15" customHeight="1" thickTop="1" thickBot="1" x14ac:dyDescent="0.3">
      <c r="B44" s="81" t="s">
        <v>282</v>
      </c>
      <c r="D44" s="81">
        <v>0.7</v>
      </c>
      <c r="F44" s="79"/>
      <c r="L44" s="81"/>
      <c r="M44" s="81"/>
      <c r="N44" s="81" t="s">
        <v>126</v>
      </c>
      <c r="O44" s="152">
        <f>SUM(S26:S27)/1000000</f>
        <v>14.696346003634144</v>
      </c>
      <c r="P44" s="81" t="s">
        <v>125</v>
      </c>
      <c r="Q44" s="81"/>
      <c r="R44" s="81"/>
      <c r="X44" s="175"/>
      <c r="Y44" s="176" t="s">
        <v>129</v>
      </c>
      <c r="Z44" s="176">
        <v>0.08</v>
      </c>
      <c r="AA44" s="176">
        <v>0.6</v>
      </c>
      <c r="AB44" s="176">
        <v>1100</v>
      </c>
      <c r="AC44" s="176">
        <v>860</v>
      </c>
      <c r="AD44" s="227">
        <f>Z44/AA44</f>
        <v>0.13333333333333333</v>
      </c>
      <c r="AE44" s="177">
        <f>Z44*AB44*AC44</f>
        <v>75680</v>
      </c>
      <c r="AF44" s="222"/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2185458.9999999995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43"/>
        <v>2185458.9999999995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BS44" s="81" t="s">
        <v>373</v>
      </c>
      <c r="BT44" s="81" t="s">
        <v>417</v>
      </c>
      <c r="BU44" s="166">
        <v>530</v>
      </c>
      <c r="BV44" s="166">
        <v>250</v>
      </c>
      <c r="BW44" s="81">
        <v>2.12</v>
      </c>
      <c r="BX44" s="81">
        <v>3.3700000000000001E-2</v>
      </c>
      <c r="BY44" s="81" t="s">
        <v>418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BU89</f>
        <v>18800000</v>
      </c>
      <c r="CF44" s="167" t="s">
        <v>317</v>
      </c>
      <c r="CI44" s="81" t="s">
        <v>359</v>
      </c>
      <c r="CJ44" s="241">
        <f t="shared" si="1"/>
        <v>2185458.9999999995</v>
      </c>
      <c r="CK44" s="241">
        <f t="shared" si="2"/>
        <v>6990000</v>
      </c>
      <c r="CL44" s="241">
        <f t="shared" si="3"/>
        <v>18800000</v>
      </c>
      <c r="CO44" s="243" t="s">
        <v>373</v>
      </c>
      <c r="CP44" s="243" t="s">
        <v>405</v>
      </c>
      <c r="CQ44" s="244">
        <v>7.0000000000000007E-2</v>
      </c>
      <c r="CR44" s="244">
        <v>2.5900000000000001E-4</v>
      </c>
      <c r="CS44" s="243">
        <v>270.2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0.155</v>
      </c>
      <c r="DA44" s="245" t="s">
        <v>317</v>
      </c>
    </row>
    <row r="45" spans="2:105" ht="15" customHeight="1" thickTop="1" thickBot="1" x14ac:dyDescent="0.3">
      <c r="B45" s="81" t="s">
        <v>283</v>
      </c>
      <c r="D45" s="81">
        <v>0.5</v>
      </c>
      <c r="F45" s="79"/>
      <c r="L45" s="81"/>
      <c r="M45" s="81"/>
      <c r="N45" s="81" t="s">
        <v>127</v>
      </c>
      <c r="O45" s="152">
        <f>S14/1000000</f>
        <v>28.720330189999999</v>
      </c>
      <c r="Q45" s="81"/>
      <c r="R45" s="81"/>
      <c r="X45" s="175"/>
      <c r="Y45" s="176" t="s">
        <v>280</v>
      </c>
      <c r="Z45" s="272">
        <v>8.6999999999999994E-2</v>
      </c>
      <c r="AA45" s="176">
        <v>2.4E-2</v>
      </c>
      <c r="AB45" s="176">
        <v>30</v>
      </c>
      <c r="AC45" s="176">
        <v>1470</v>
      </c>
      <c r="AD45" s="227">
        <f>Z45/AA45</f>
        <v>3.6249999999999996</v>
      </c>
      <c r="AE45" s="177">
        <f>Z45*AB45*AC45</f>
        <v>3836.7</v>
      </c>
      <c r="AF45" s="228" t="s">
        <v>281</v>
      </c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2185458.9999999995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43"/>
        <v>2185458.9999999995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BU31</f>
        <v>2.8899999999999999E-2</v>
      </c>
      <c r="CF45" s="167" t="s">
        <v>317</v>
      </c>
      <c r="CI45" s="81" t="s">
        <v>361</v>
      </c>
      <c r="CJ45" s="239">
        <f t="shared" si="1"/>
        <v>8.2643733699615141E-2</v>
      </c>
      <c r="CK45" s="239">
        <f t="shared" si="2"/>
        <v>1.9E-2</v>
      </c>
      <c r="CL45" s="239">
        <f t="shared" si="3"/>
        <v>2.8899999999999999E-2</v>
      </c>
      <c r="CO45" s="243" t="s">
        <v>373</v>
      </c>
      <c r="CP45" s="243" t="s">
        <v>406</v>
      </c>
      <c r="CQ45" s="244">
        <v>2.9899999999999999E-2</v>
      </c>
      <c r="CR45" s="244">
        <v>1.6200000000000001E-4</v>
      </c>
      <c r="CS45" s="243">
        <v>184.83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44">CQ69</f>
        <v>0.64500000000000002</v>
      </c>
      <c r="DA45" s="245" t="s">
        <v>317</v>
      </c>
    </row>
    <row r="46" spans="2:105" ht="15" customHeight="1" thickTop="1" thickBot="1" x14ac:dyDescent="0.3">
      <c r="L46" s="81"/>
      <c r="M46" s="81"/>
      <c r="N46" s="81"/>
      <c r="Q46" s="81"/>
      <c r="R46" s="81"/>
      <c r="X46" s="175"/>
      <c r="Y46" s="176" t="s">
        <v>131</v>
      </c>
      <c r="Z46" s="176">
        <v>0.15</v>
      </c>
      <c r="AA46" s="176">
        <v>1.4</v>
      </c>
      <c r="AB46" s="176">
        <v>2100</v>
      </c>
      <c r="AC46" s="176">
        <v>840</v>
      </c>
      <c r="AD46" s="227">
        <f>Z46/AA46</f>
        <v>0.10714285714285715</v>
      </c>
      <c r="AE46" s="177">
        <f>Z46*AB46*AC46</f>
        <v>264600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AP42*0.3</f>
        <v>8.2643733699615141E-2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43"/>
        <v>8.2643733699615141E-2</v>
      </c>
      <c r="BA46" s="167" t="s">
        <v>317</v>
      </c>
      <c r="BC46" s="81" t="s">
        <v>373</v>
      </c>
      <c r="BD46" s="81" t="s">
        <v>376</v>
      </c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374</v>
      </c>
      <c r="BU46" s="81" t="s">
        <v>419</v>
      </c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BU68</f>
        <v>0.11700000000000001</v>
      </c>
      <c r="CF46" s="167" t="s">
        <v>317</v>
      </c>
      <c r="CI46" s="81" t="s">
        <v>363</v>
      </c>
      <c r="CJ46" s="239">
        <f t="shared" si="1"/>
        <v>5.7489076071440944E-2</v>
      </c>
      <c r="CK46" s="239">
        <f t="shared" si="2"/>
        <v>0.184</v>
      </c>
      <c r="CL46" s="239">
        <f t="shared" si="3"/>
        <v>0.11700000000000001</v>
      </c>
      <c r="CO46" s="243" t="s">
        <v>373</v>
      </c>
      <c r="CP46" s="243" t="s">
        <v>407</v>
      </c>
      <c r="CQ46" s="244">
        <v>65.400000000000006</v>
      </c>
      <c r="CR46" s="244">
        <v>0.20799999999999999</v>
      </c>
      <c r="CS46" s="243">
        <v>315.18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44"/>
        <v>0.311</v>
      </c>
      <c r="DA46" s="245" t="s">
        <v>317</v>
      </c>
    </row>
    <row r="47" spans="2:105" ht="15" customHeight="1" thickTop="1" thickBot="1" x14ac:dyDescent="0.3">
      <c r="C47" s="152"/>
      <c r="L47" s="81"/>
      <c r="M47" s="81"/>
      <c r="N47" s="81"/>
      <c r="Q47" s="81"/>
      <c r="R47" s="81"/>
      <c r="X47" s="187"/>
      <c r="Y47" s="174" t="s">
        <v>132</v>
      </c>
      <c r="Z47" s="174">
        <v>0</v>
      </c>
      <c r="AA47" s="174">
        <v>2.4E-2</v>
      </c>
      <c r="AB47" s="174">
        <v>26</v>
      </c>
      <c r="AC47" s="174">
        <v>1470</v>
      </c>
      <c r="AD47" s="229">
        <f>Z47/AA47</f>
        <v>0</v>
      </c>
      <c r="AE47" s="192">
        <f>Z47*AB47*AC47</f>
        <v>0</v>
      </c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AP43*0.3</f>
        <v>5.7489076071440944E-2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43"/>
        <v>5.7489076071440944E-2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376</v>
      </c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BU94</f>
        <v>192</v>
      </c>
      <c r="CF47" s="167" t="s">
        <v>317</v>
      </c>
      <c r="CI47" s="81" t="s">
        <v>365</v>
      </c>
      <c r="CJ47" s="242">
        <f t="shared" si="1"/>
        <v>0</v>
      </c>
      <c r="CK47" s="242">
        <f t="shared" si="2"/>
        <v>476</v>
      </c>
      <c r="CL47" s="242">
        <f t="shared" si="3"/>
        <v>192</v>
      </c>
      <c r="CO47" s="243" t="s">
        <v>373</v>
      </c>
      <c r="CP47" s="243" t="s">
        <v>408</v>
      </c>
      <c r="CQ47" s="244">
        <v>109</v>
      </c>
      <c r="CR47" s="244">
        <v>0.33200000000000002</v>
      </c>
      <c r="CS47" s="243">
        <v>327.18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44"/>
        <v>0.182</v>
      </c>
      <c r="DA47" s="245" t="s">
        <v>317</v>
      </c>
    </row>
    <row r="48" spans="2:105" ht="15" customHeight="1" thickTop="1" thickBot="1" x14ac:dyDescent="0.3">
      <c r="C48" s="152"/>
      <c r="L48" s="81"/>
      <c r="M48" s="81"/>
      <c r="N48" s="81"/>
      <c r="Q48" s="81"/>
      <c r="R48" s="81"/>
      <c r="X48" s="176"/>
      <c r="Y48" s="176"/>
      <c r="Z48" s="176"/>
      <c r="AA48" s="176"/>
      <c r="AB48" s="176"/>
      <c r="AC48" s="176"/>
      <c r="AD48" s="227"/>
      <c r="AE48" s="176"/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AA27*4*O26</f>
        <v>0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43"/>
        <v>0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377</v>
      </c>
      <c r="BU48" s="81" t="s">
        <v>378</v>
      </c>
      <c r="BV48" s="81" t="s">
        <v>379</v>
      </c>
      <c r="BW48" s="81" t="s">
        <v>380</v>
      </c>
      <c r="BX48" s="81" t="s">
        <v>381</v>
      </c>
      <c r="BY48" s="81" t="s">
        <v>382</v>
      </c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BU95</f>
        <v>2.63E-4</v>
      </c>
      <c r="CF48" s="167" t="s">
        <v>317</v>
      </c>
      <c r="CI48" s="81" t="s">
        <v>367</v>
      </c>
      <c r="CJ48" s="242">
        <f t="shared" si="1"/>
        <v>0</v>
      </c>
      <c r="CK48" s="242">
        <f t="shared" si="2"/>
        <v>3410</v>
      </c>
      <c r="CL48" s="242">
        <f t="shared" si="3"/>
        <v>2.63E-4</v>
      </c>
      <c r="CO48" s="243" t="s">
        <v>373</v>
      </c>
      <c r="CP48" s="243" t="s">
        <v>290</v>
      </c>
      <c r="CQ48" s="244">
        <v>305</v>
      </c>
      <c r="CR48" s="244">
        <v>0.95399999999999996</v>
      </c>
      <c r="CS48" s="243">
        <v>320.06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44"/>
        <v>0.78600000000000003</v>
      </c>
      <c r="DA48" s="245" t="s">
        <v>317</v>
      </c>
    </row>
    <row r="49" spans="3:105" ht="15" customHeight="1" thickTop="1" thickBot="1" x14ac:dyDescent="0.3">
      <c r="C49" s="152"/>
      <c r="L49" s="81"/>
      <c r="M49" s="81"/>
      <c r="N49" s="81"/>
      <c r="Q49" s="81"/>
      <c r="R49" s="81"/>
      <c r="Z49" s="221" t="s">
        <v>4</v>
      </c>
      <c r="AA49" s="221">
        <v>4</v>
      </c>
      <c r="AB49" s="221" t="s">
        <v>5</v>
      </c>
      <c r="AF49" s="222"/>
      <c r="AG49" s="222"/>
      <c r="AH49" s="222"/>
      <c r="AM49" s="158" t="s">
        <v>314</v>
      </c>
      <c r="AN49" s="81" t="s">
        <v>315</v>
      </c>
      <c r="AO49" s="81" t="s">
        <v>367</v>
      </c>
      <c r="AP49" s="81">
        <f>AP50/2</f>
        <v>0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43"/>
        <v>0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45">BE95</f>
        <v>3410</v>
      </c>
      <c r="BQ49" s="167" t="s">
        <v>317</v>
      </c>
      <c r="BS49" s="81" t="s">
        <v>373</v>
      </c>
      <c r="BT49" s="81" t="s">
        <v>383</v>
      </c>
      <c r="BU49" s="166">
        <v>289</v>
      </c>
      <c r="BV49" s="166">
        <v>0.14899999999999999</v>
      </c>
      <c r="BW49" s="81">
        <v>1944.91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BU96</f>
        <v>389</v>
      </c>
      <c r="CF49" s="167" t="s">
        <v>317</v>
      </c>
      <c r="CI49" s="81" t="s">
        <v>369</v>
      </c>
      <c r="CJ49" s="242">
        <f t="shared" si="1"/>
        <v>0</v>
      </c>
      <c r="CK49" s="242">
        <f t="shared" si="2"/>
        <v>989</v>
      </c>
      <c r="CL49" s="242">
        <f t="shared" si="3"/>
        <v>389</v>
      </c>
      <c r="CO49" s="243" t="s">
        <v>373</v>
      </c>
      <c r="CP49" s="243" t="s">
        <v>120</v>
      </c>
      <c r="CQ49" s="244">
        <v>69.8</v>
      </c>
      <c r="CR49" s="244">
        <v>0.154</v>
      </c>
      <c r="CS49" s="243">
        <v>454.06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44"/>
        <v>0.43099999999999999</v>
      </c>
      <c r="DA49" s="245" t="s">
        <v>317</v>
      </c>
    </row>
    <row r="50" spans="3:105" ht="15" customHeight="1" thickTop="1" thickBot="1" x14ac:dyDescent="0.3">
      <c r="L50" s="81"/>
      <c r="M50" s="81"/>
      <c r="N50" s="81"/>
      <c r="Q50" s="81"/>
      <c r="R50" s="81"/>
      <c r="X50" s="216" t="s">
        <v>68</v>
      </c>
      <c r="Y50" s="217"/>
      <c r="Z50" s="218" t="s">
        <v>21</v>
      </c>
      <c r="AA50" s="200">
        <v>4</v>
      </c>
      <c r="AB50" s="217" t="s">
        <v>5</v>
      </c>
      <c r="AC50" s="217"/>
      <c r="AD50" s="217" t="s">
        <v>22</v>
      </c>
      <c r="AE50" s="220">
        <f>0.04*550*1660</f>
        <v>36520</v>
      </c>
      <c r="AF50" s="222" t="s">
        <v>23</v>
      </c>
      <c r="AG50" s="222">
        <f>SUM(AE53:AE54)</f>
        <v>171780</v>
      </c>
      <c r="AH50" s="222"/>
      <c r="AM50" s="158" t="s">
        <v>314</v>
      </c>
      <c r="AN50" s="81" t="s">
        <v>315</v>
      </c>
      <c r="AO50" s="81" t="s">
        <v>369</v>
      </c>
      <c r="AP50" s="81">
        <f>AP48</f>
        <v>0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43"/>
        <v>0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45"/>
        <v>989</v>
      </c>
      <c r="BQ50" s="167" t="s">
        <v>317</v>
      </c>
      <c r="BS50" s="81" t="s">
        <v>373</v>
      </c>
      <c r="BT50" s="81" t="s">
        <v>386</v>
      </c>
      <c r="BU50" s="166">
        <v>282</v>
      </c>
      <c r="BV50" s="166">
        <v>0.17299999999999999</v>
      </c>
      <c r="BW50" s="81">
        <v>1635.35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-6.49</v>
      </c>
      <c r="CR50" s="244">
        <v>1.6500000000000001E-2</v>
      </c>
      <c r="CS50" s="243">
        <v>-392.39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44"/>
        <v>0.78800000000000003</v>
      </c>
      <c r="DA50" s="245" t="s">
        <v>317</v>
      </c>
    </row>
    <row r="51" spans="3:105" ht="15" customHeight="1" thickTop="1" thickBot="1" x14ac:dyDescent="0.3">
      <c r="L51" s="81"/>
      <c r="M51" s="81"/>
      <c r="N51" s="81"/>
      <c r="Q51" s="81"/>
      <c r="R51" s="81"/>
      <c r="X51" s="224"/>
      <c r="Y51" s="225" t="s">
        <v>27</v>
      </c>
      <c r="Z51" s="225" t="s">
        <v>28</v>
      </c>
      <c r="AA51" s="225" t="s">
        <v>29</v>
      </c>
      <c r="AB51" s="225" t="s">
        <v>30</v>
      </c>
      <c r="AC51" s="225" t="s">
        <v>31</v>
      </c>
      <c r="AD51" s="225" t="s">
        <v>32</v>
      </c>
      <c r="AE51" s="226" t="s">
        <v>33</v>
      </c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387</v>
      </c>
      <c r="BU51" s="166">
        <v>292</v>
      </c>
      <c r="BV51" s="166">
        <v>0.111</v>
      </c>
      <c r="BW51" s="81">
        <v>2622.7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-7.39</v>
      </c>
      <c r="CR51" s="244">
        <v>1.7500000000000002E-2</v>
      </c>
      <c r="CS51" s="243">
        <v>-422.16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44"/>
        <v>0.59899999999999998</v>
      </c>
      <c r="DA51" s="245" t="s">
        <v>317</v>
      </c>
    </row>
    <row r="52" spans="3:105" thickTop="1" thickBot="1" x14ac:dyDescent="0.3">
      <c r="L52" s="81"/>
      <c r="M52" s="81"/>
      <c r="N52" s="81"/>
      <c r="X52" s="181"/>
      <c r="Y52" s="182" t="s">
        <v>16</v>
      </c>
      <c r="Z52" s="182">
        <v>4</v>
      </c>
      <c r="AA52" s="182" t="s">
        <v>5</v>
      </c>
      <c r="AB52" s="182"/>
      <c r="AC52" s="182" t="s">
        <v>308</v>
      </c>
      <c r="AD52" s="182">
        <f>0.11*(1/AA50-1/23-1/8)</f>
        <v>8.9673913043478264E-3</v>
      </c>
      <c r="AE52" s="233"/>
      <c r="AF52" s="222"/>
      <c r="AG52" s="22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388</v>
      </c>
      <c r="BU52" s="166">
        <v>294</v>
      </c>
      <c r="BV52" s="166">
        <v>0.13300000000000001</v>
      </c>
      <c r="BW52" s="81">
        <v>2217.33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-7.57</v>
      </c>
      <c r="CR52" s="244">
        <v>2.1399999999999999E-2</v>
      </c>
      <c r="CS52" s="243">
        <v>-353.44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44"/>
        <v>0.114</v>
      </c>
      <c r="DA52" s="245" t="s">
        <v>317</v>
      </c>
    </row>
    <row r="53" spans="3:105" thickTop="1" thickBot="1" x14ac:dyDescent="0.3">
      <c r="L53" s="81"/>
      <c r="M53" s="81"/>
      <c r="N53" s="81"/>
      <c r="X53" s="187"/>
      <c r="Y53" s="174" t="s">
        <v>121</v>
      </c>
      <c r="Z53" s="174">
        <v>0</v>
      </c>
      <c r="AA53" s="174"/>
      <c r="AB53" s="174"/>
      <c r="AC53" s="174"/>
      <c r="AD53" s="174"/>
      <c r="AE53" s="192"/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390</v>
      </c>
      <c r="BU53" s="166">
        <v>0.42799999999999999</v>
      </c>
      <c r="BV53" s="166">
        <v>6.11E-3</v>
      </c>
      <c r="BW53" s="81">
        <v>69.94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-6.23</v>
      </c>
      <c r="CR53" s="244">
        <v>1.55E-2</v>
      </c>
      <c r="CS53" s="243">
        <v>-400.84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44"/>
        <v>2.1900000000000002E-12</v>
      </c>
      <c r="DA53" s="245" t="s">
        <v>317</v>
      </c>
    </row>
    <row r="54" spans="3:105" thickTop="1" thickBot="1" x14ac:dyDescent="0.3">
      <c r="L54" s="81"/>
      <c r="M54" s="81"/>
      <c r="N54" s="81"/>
      <c r="X54" s="256" t="s">
        <v>505</v>
      </c>
      <c r="Y54" s="257"/>
      <c r="Z54" s="258" t="s">
        <v>21</v>
      </c>
      <c r="AA54" s="259">
        <f>(1/(1/8+SUM(AD56:AD58)+1/8))</f>
        <v>2.5352112676056335</v>
      </c>
      <c r="AB54" s="257" t="s">
        <v>5</v>
      </c>
      <c r="AC54" s="257"/>
      <c r="AD54" s="257" t="s">
        <v>22</v>
      </c>
      <c r="AE54" s="260">
        <f>SUM(AE56:AE60)</f>
        <v>171780</v>
      </c>
      <c r="AO54" s="169" t="s">
        <v>371</v>
      </c>
      <c r="AP54" s="169">
        <f>SUM(AP42,AP4:AP7)</f>
        <v>1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S54" s="81" t="s">
        <v>373</v>
      </c>
      <c r="BT54" s="81" t="s">
        <v>391</v>
      </c>
      <c r="BU54" s="166">
        <v>0.161</v>
      </c>
      <c r="BV54" s="166">
        <v>1.7899999999999999E-3</v>
      </c>
      <c r="BW54" s="81">
        <v>89.98</v>
      </c>
      <c r="BX54" s="81" t="s">
        <v>420</v>
      </c>
      <c r="BY54" s="166">
        <v>2E-16</v>
      </c>
      <c r="BZ54" s="81" t="s">
        <v>385</v>
      </c>
      <c r="CO54" s="243" t="s">
        <v>373</v>
      </c>
      <c r="CP54" s="243" t="s">
        <v>413</v>
      </c>
      <c r="CQ54" s="244">
        <v>-7.57</v>
      </c>
      <c r="CR54" s="244">
        <v>2.0500000000000001E-2</v>
      </c>
      <c r="CS54" s="243">
        <v>-369.15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44"/>
        <v>0.11600000000000001</v>
      </c>
      <c r="DA54" s="245" t="s">
        <v>317</v>
      </c>
    </row>
    <row r="55" spans="3:105" thickTop="1" thickBot="1" x14ac:dyDescent="0.3">
      <c r="X55" s="261"/>
      <c r="Y55" s="225" t="s">
        <v>27</v>
      </c>
      <c r="Z55" s="225" t="s">
        <v>28</v>
      </c>
      <c r="AA55" s="225" t="s">
        <v>29</v>
      </c>
      <c r="AB55" s="225" t="s">
        <v>30</v>
      </c>
      <c r="AC55" s="225" t="s">
        <v>31</v>
      </c>
      <c r="AD55" s="225" t="s">
        <v>32</v>
      </c>
      <c r="AE55" s="262" t="s">
        <v>33</v>
      </c>
      <c r="AO55" s="169" t="s">
        <v>371</v>
      </c>
      <c r="AP55" s="169">
        <f>SUM(AP43,AP26:AP28)</f>
        <v>1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392</v>
      </c>
      <c r="BU55" s="166">
        <v>8.0100000000000005E-2</v>
      </c>
      <c r="BV55" s="166">
        <v>1.77E-2</v>
      </c>
      <c r="BW55" s="81">
        <v>4.53</v>
      </c>
      <c r="BX55" s="166">
        <v>6.1E-6</v>
      </c>
      <c r="BY55" s="81" t="s">
        <v>385</v>
      </c>
      <c r="CO55" s="243" t="s">
        <v>373</v>
      </c>
      <c r="CP55" s="243" t="s">
        <v>414</v>
      </c>
      <c r="CQ55" s="244">
        <v>1.9400000000000001E-2</v>
      </c>
      <c r="CR55" s="244">
        <v>5.7000000000000002E-3</v>
      </c>
      <c r="CS55" s="243">
        <v>3.4</v>
      </c>
      <c r="CT55" s="243">
        <v>6.8000000000000005E-4</v>
      </c>
      <c r="CU55" s="244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44"/>
        <v>0.13900000000000001</v>
      </c>
      <c r="DA55" s="245" t="s">
        <v>317</v>
      </c>
    </row>
    <row r="56" spans="3:105" thickTop="1" thickBot="1" x14ac:dyDescent="0.3">
      <c r="X56" s="263"/>
      <c r="Y56" s="176" t="s">
        <v>90</v>
      </c>
      <c r="Z56" s="176">
        <v>0.02</v>
      </c>
      <c r="AA56" s="176">
        <v>0.6</v>
      </c>
      <c r="AB56" s="176">
        <v>975</v>
      </c>
      <c r="AC56" s="176">
        <v>840</v>
      </c>
      <c r="AD56" s="227">
        <f>Z56/AA56</f>
        <v>3.3333333333333333E-2</v>
      </c>
      <c r="AE56" s="264">
        <f>Z56*AB56*AC56</f>
        <v>16380</v>
      </c>
      <c r="AO56" s="169" t="s">
        <v>372</v>
      </c>
      <c r="AP56" s="169">
        <f>SUM(AP46,AP14:AP17)</f>
        <v>0.99999999999999978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S56" s="81" t="s">
        <v>373</v>
      </c>
      <c r="BT56" s="81" t="s">
        <v>393</v>
      </c>
      <c r="BU56" s="166">
        <v>0.33100000000000002</v>
      </c>
      <c r="BV56" s="166">
        <v>4.3699999999999998E-3</v>
      </c>
      <c r="BW56" s="81">
        <v>75.67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39.5</v>
      </c>
      <c r="CR56" s="244">
        <v>0.30599999999999999</v>
      </c>
      <c r="CS56" s="243">
        <v>129.03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44"/>
        <v>4.2599999999999999E-2</v>
      </c>
      <c r="DA56" s="245" t="s">
        <v>317</v>
      </c>
    </row>
    <row r="57" spans="3:105" thickTop="1" thickBot="1" x14ac:dyDescent="0.3">
      <c r="X57" s="263"/>
      <c r="Y57" s="176" t="s">
        <v>509</v>
      </c>
      <c r="Z57" s="176">
        <v>0.1</v>
      </c>
      <c r="AA57" s="176">
        <v>0.9</v>
      </c>
      <c r="AB57" s="176">
        <v>1850</v>
      </c>
      <c r="AC57" s="176">
        <v>840</v>
      </c>
      <c r="AD57" s="227">
        <f>Z57/AA57</f>
        <v>0.11111111111111112</v>
      </c>
      <c r="AE57" s="264">
        <f>Z57*AB57*AC57</f>
        <v>155400</v>
      </c>
      <c r="AO57" s="169" t="s">
        <v>372</v>
      </c>
      <c r="AP57" s="169">
        <f>SUM(AP47,AP33:AP35)</f>
        <v>1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S57" s="81" t="s">
        <v>373</v>
      </c>
      <c r="BT57" s="81" t="s">
        <v>303</v>
      </c>
      <c r="BU57" s="166">
        <v>976000000</v>
      </c>
      <c r="BV57" s="166">
        <v>20400000</v>
      </c>
      <c r="BW57" s="81">
        <v>47.85</v>
      </c>
      <c r="BX57" s="81" t="s">
        <v>420</v>
      </c>
      <c r="BY57" s="166">
        <v>2E-16</v>
      </c>
      <c r="BZ57" s="81" t="s">
        <v>385</v>
      </c>
      <c r="CO57" s="243" t="s">
        <v>373</v>
      </c>
      <c r="CP57" s="243" t="s">
        <v>416</v>
      </c>
      <c r="CQ57" s="244">
        <v>9940</v>
      </c>
      <c r="CR57" s="244">
        <v>308</v>
      </c>
      <c r="CS57" s="243">
        <v>32.299999999999997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44"/>
        <v>1.1899999999999999E-7</v>
      </c>
      <c r="DA57" s="245" t="s">
        <v>317</v>
      </c>
    </row>
    <row r="58" spans="3:105" thickTop="1" thickBot="1" x14ac:dyDescent="0.3">
      <c r="X58" s="265"/>
      <c r="Y58" s="266" t="s">
        <v>508</v>
      </c>
      <c r="Z58" s="267">
        <v>0</v>
      </c>
      <c r="AA58" s="267">
        <v>3.5999999999999997E-2</v>
      </c>
      <c r="AB58" s="267">
        <v>26</v>
      </c>
      <c r="AC58" s="267">
        <v>1470</v>
      </c>
      <c r="AD58" s="268">
        <f>Z58/AA58</f>
        <v>0</v>
      </c>
      <c r="AE58" s="269">
        <f>Z58*AB58*AC58</f>
        <v>0</v>
      </c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S58" s="81" t="s">
        <v>373</v>
      </c>
      <c r="BT58" s="81" t="s">
        <v>395</v>
      </c>
      <c r="BU58" s="166">
        <v>1470000</v>
      </c>
      <c r="BV58" s="166">
        <v>21800</v>
      </c>
      <c r="BW58" s="81">
        <v>67.430000000000007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22.7</v>
      </c>
      <c r="CR58" s="244">
        <v>0.33800000000000002</v>
      </c>
      <c r="CS58" s="243">
        <v>67.19</v>
      </c>
      <c r="CT58" s="243" t="s">
        <v>420</v>
      </c>
      <c r="CU58" s="244">
        <v>2E-16</v>
      </c>
      <c r="CV58" s="81" t="s">
        <v>385</v>
      </c>
      <c r="CW58" s="245" t="s">
        <v>460</v>
      </c>
      <c r="CX58" s="251" t="s">
        <v>496</v>
      </c>
      <c r="CY58" s="246" t="s">
        <v>318</v>
      </c>
      <c r="CZ58" s="247">
        <f t="shared" si="44"/>
        <v>2.8400000000000002E-2</v>
      </c>
      <c r="DA58" s="245" t="s">
        <v>317</v>
      </c>
    </row>
    <row r="59" spans="3:105" thickTop="1" thickBot="1" x14ac:dyDescent="0.3"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S59" s="81" t="s">
        <v>373</v>
      </c>
      <c r="BT59" s="81" t="s">
        <v>296</v>
      </c>
      <c r="BU59" s="166">
        <v>219000000</v>
      </c>
      <c r="BV59" s="166">
        <v>15400000</v>
      </c>
      <c r="BW59" s="81">
        <v>14.25</v>
      </c>
      <c r="BX59" s="81" t="s">
        <v>420</v>
      </c>
      <c r="BY59" s="166">
        <v>2E-16</v>
      </c>
      <c r="BZ59" s="81" t="s">
        <v>385</v>
      </c>
      <c r="CW59" s="245" t="s">
        <v>460</v>
      </c>
      <c r="CX59" s="251" t="s">
        <v>497</v>
      </c>
      <c r="CY59" s="246" t="s">
        <v>318</v>
      </c>
      <c r="CZ59" s="247">
        <f t="shared" si="44"/>
        <v>0.10199999999999999</v>
      </c>
      <c r="DA59" s="245" t="s">
        <v>317</v>
      </c>
    </row>
    <row r="60" spans="3:105" thickTop="1" thickBot="1" x14ac:dyDescent="0.3"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S60" s="81" t="s">
        <v>373</v>
      </c>
      <c r="BT60" s="81" t="s">
        <v>298</v>
      </c>
      <c r="BU60" s="166">
        <v>40000000</v>
      </c>
      <c r="BV60" s="166">
        <v>20300000</v>
      </c>
      <c r="BW60" s="81">
        <v>1.97</v>
      </c>
      <c r="BX60" s="81">
        <v>4.9000000000000002E-2</v>
      </c>
      <c r="BY60" s="81" t="s">
        <v>418</v>
      </c>
      <c r="CX60" s="251"/>
      <c r="CY60" s="246"/>
      <c r="CZ60" s="247"/>
    </row>
    <row r="61" spans="3:105" thickTop="1" thickBot="1" x14ac:dyDescent="0.3"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S61" s="81" t="s">
        <v>373</v>
      </c>
      <c r="BT61" s="81" t="s">
        <v>396</v>
      </c>
      <c r="BU61" s="166">
        <v>-36.9</v>
      </c>
      <c r="BV61" s="166">
        <v>1.4</v>
      </c>
      <c r="BW61" s="81">
        <v>-26.39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W61" s="245" t="s">
        <v>460</v>
      </c>
      <c r="CX61" s="251" t="s">
        <v>339</v>
      </c>
      <c r="CY61" s="246" t="s">
        <v>318</v>
      </c>
      <c r="CZ61" s="247">
        <f>CQ85</f>
        <v>2580000</v>
      </c>
      <c r="DA61" s="245" t="s">
        <v>317</v>
      </c>
    </row>
    <row r="62" spans="3:105" thickTop="1" thickBot="1" x14ac:dyDescent="0.3"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S62" s="81" t="s">
        <v>373</v>
      </c>
      <c r="BT62" s="81" t="s">
        <v>397</v>
      </c>
      <c r="BU62" s="166">
        <v>-40.700000000000003</v>
      </c>
      <c r="BV62" s="166">
        <v>1.36</v>
      </c>
      <c r="BW62" s="81">
        <v>-29.88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W62" s="245" t="s">
        <v>460</v>
      </c>
      <c r="CX62" s="251" t="s">
        <v>340</v>
      </c>
      <c r="CY62" s="246" t="s">
        <v>318</v>
      </c>
      <c r="CZ62" s="247">
        <f t="shared" ref="CZ62:CZ63" si="46">CQ86</f>
        <v>14700000</v>
      </c>
      <c r="DA62" s="245" t="s">
        <v>317</v>
      </c>
    </row>
    <row r="63" spans="3:105" thickTop="1" thickBot="1" x14ac:dyDescent="0.3"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S63" s="81" t="s">
        <v>373</v>
      </c>
      <c r="BT63" s="81" t="s">
        <v>399</v>
      </c>
      <c r="BU63" s="166">
        <v>-37.1</v>
      </c>
      <c r="BV63" s="166">
        <v>1.59</v>
      </c>
      <c r="BW63" s="81">
        <v>-23.36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W63" s="245" t="s">
        <v>460</v>
      </c>
      <c r="CX63" s="251" t="s">
        <v>341</v>
      </c>
      <c r="CY63" s="246" t="s">
        <v>318</v>
      </c>
      <c r="CZ63" s="247">
        <f t="shared" si="46"/>
        <v>26300000</v>
      </c>
      <c r="DA63" s="245" t="s">
        <v>317</v>
      </c>
    </row>
    <row r="64" spans="3:105" thickTop="1" thickBot="1" x14ac:dyDescent="0.3"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S64" s="81" t="s">
        <v>373</v>
      </c>
      <c r="BT64" s="81" t="s">
        <v>400</v>
      </c>
      <c r="BU64" s="166">
        <v>-24.8</v>
      </c>
      <c r="BV64" s="166">
        <v>7.4200000000000002E-2</v>
      </c>
      <c r="BW64" s="81">
        <v>-334.42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291</v>
      </c>
      <c r="CR64" s="244">
        <v>9.92E-3</v>
      </c>
      <c r="CS64" s="243">
        <v>29334.53</v>
      </c>
      <c r="CT64" s="243" t="s">
        <v>420</v>
      </c>
      <c r="CU64" s="244">
        <v>2E-16</v>
      </c>
      <c r="CV64" s="81" t="s">
        <v>385</v>
      </c>
      <c r="CY64" s="246"/>
    </row>
    <row r="65" spans="55:105" thickTop="1" thickBot="1" x14ac:dyDescent="0.3"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S65" s="81" t="s">
        <v>373</v>
      </c>
      <c r="BT65" s="81" t="s">
        <v>402</v>
      </c>
      <c r="BU65" s="166">
        <v>0.16500000000000001</v>
      </c>
      <c r="BV65" s="166">
        <v>4.6200000000000001E-4</v>
      </c>
      <c r="BW65" s="81">
        <v>357.36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289</v>
      </c>
      <c r="CR65" s="244">
        <v>2.3599999999999999E-2</v>
      </c>
      <c r="CS65" s="243">
        <v>12257.56</v>
      </c>
      <c r="CT65" s="243" t="s">
        <v>420</v>
      </c>
      <c r="CU65" s="244">
        <v>2E-16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6.7199999999999996E-2</v>
      </c>
      <c r="DA65" s="245" t="s">
        <v>317</v>
      </c>
    </row>
    <row r="66" spans="55:105" thickTop="1" thickBot="1" x14ac:dyDescent="0.3"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403</v>
      </c>
      <c r="BU66" s="166">
        <v>5.8500000000000003E-2</v>
      </c>
      <c r="BV66" s="166">
        <v>1.2799999999999999E-4</v>
      </c>
      <c r="BW66" s="81">
        <v>455.64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292</v>
      </c>
      <c r="CR66" s="244">
        <v>2.76E-2</v>
      </c>
      <c r="CS66" s="243">
        <v>10550.85</v>
      </c>
      <c r="CT66" s="243" t="s">
        <v>420</v>
      </c>
      <c r="CU66" s="244">
        <v>2E-16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47">CQ93</f>
        <v>0.21299999999999999</v>
      </c>
      <c r="DA66" s="245" t="s">
        <v>317</v>
      </c>
    </row>
    <row r="67" spans="55:105" thickTop="1" thickBot="1" x14ac:dyDescent="0.3"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S67" s="81" t="s">
        <v>373</v>
      </c>
      <c r="BT67" s="81" t="s">
        <v>404</v>
      </c>
      <c r="BU67" s="166">
        <v>0.61199999999999999</v>
      </c>
      <c r="BV67" s="166">
        <v>6.6400000000000001E-3</v>
      </c>
      <c r="BW67" s="81">
        <v>92.16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294</v>
      </c>
      <c r="CR67" s="244">
        <v>5.1999999999999998E-2</v>
      </c>
      <c r="CS67" s="243">
        <v>5656.24</v>
      </c>
      <c r="CT67" s="243" t="s">
        <v>420</v>
      </c>
      <c r="CU67" s="244">
        <v>2E-16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47"/>
        <v>0.68</v>
      </c>
      <c r="DA67" s="245" t="s">
        <v>317</v>
      </c>
    </row>
    <row r="68" spans="55:105" thickTop="1" thickBot="1" x14ac:dyDescent="0.3"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S68" s="81" t="s">
        <v>373</v>
      </c>
      <c r="BT68" s="81" t="s">
        <v>405</v>
      </c>
      <c r="BU68" s="166">
        <v>0.11700000000000001</v>
      </c>
      <c r="BV68" s="166">
        <v>3.1700000000000001E-4</v>
      </c>
      <c r="BW68" s="81">
        <v>369.23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0.155</v>
      </c>
      <c r="CR68" s="244">
        <v>1.03E-2</v>
      </c>
      <c r="CS68" s="243">
        <v>15.01</v>
      </c>
      <c r="CT68" s="244" t="s">
        <v>420</v>
      </c>
      <c r="CU68" s="244">
        <v>2E-16</v>
      </c>
      <c r="CV68" s="81" t="s">
        <v>385</v>
      </c>
      <c r="CW68" s="245" t="s">
        <v>460</v>
      </c>
      <c r="CX68" s="251" t="s">
        <v>431</v>
      </c>
      <c r="CY68" s="246" t="s">
        <v>318</v>
      </c>
      <c r="CZ68" s="247">
        <f t="shared" si="47"/>
        <v>3.3099999999999997E-2</v>
      </c>
      <c r="DA68" s="245" t="s">
        <v>317</v>
      </c>
    </row>
    <row r="69" spans="55:105" thickTop="1" thickBot="1" x14ac:dyDescent="0.3"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S69" s="81" t="s">
        <v>373</v>
      </c>
      <c r="BT69" s="81" t="s">
        <v>407</v>
      </c>
      <c r="BU69" s="166">
        <v>298</v>
      </c>
      <c r="BV69" s="166">
        <v>1.43</v>
      </c>
      <c r="BW69" s="81">
        <v>208.33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0.64500000000000002</v>
      </c>
      <c r="CR69" s="244">
        <v>2.2700000000000001E-2</v>
      </c>
      <c r="CS69" s="243">
        <v>28.4</v>
      </c>
      <c r="CT69" s="243" t="s">
        <v>420</v>
      </c>
      <c r="CU69" s="244">
        <v>2E-16</v>
      </c>
      <c r="CV69" s="81" t="s">
        <v>385</v>
      </c>
      <c r="CY69" s="246"/>
    </row>
    <row r="70" spans="55:105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S70" s="81" t="s">
        <v>373</v>
      </c>
      <c r="BT70" s="81" t="s">
        <v>290</v>
      </c>
      <c r="BU70" s="166">
        <v>120</v>
      </c>
      <c r="BV70" s="166">
        <v>0.72799999999999998</v>
      </c>
      <c r="BW70" s="81">
        <v>164.9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0.311</v>
      </c>
      <c r="CR70" s="244">
        <v>5.7299999999999999E-3</v>
      </c>
      <c r="CS70" s="243">
        <v>54.24</v>
      </c>
      <c r="CT70" s="243" t="s">
        <v>420</v>
      </c>
      <c r="CU70" s="244">
        <v>2E-16</v>
      </c>
      <c r="CV70" s="81" t="s">
        <v>385</v>
      </c>
      <c r="CW70" s="245" t="s">
        <v>460</v>
      </c>
      <c r="CX70" s="251" t="s">
        <v>498</v>
      </c>
      <c r="CY70" s="246" t="s">
        <v>318</v>
      </c>
      <c r="CZ70" s="247">
        <f>CQ96</f>
        <v>198</v>
      </c>
      <c r="DA70" s="245" t="s">
        <v>317</v>
      </c>
    </row>
    <row r="71" spans="55:105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120</v>
      </c>
      <c r="BU71" s="166">
        <v>69.5</v>
      </c>
      <c r="BV71" s="166">
        <v>2.5499999999999998</v>
      </c>
      <c r="BW71" s="81">
        <v>27.22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0.182</v>
      </c>
      <c r="CR71" s="244">
        <v>4.15E-3</v>
      </c>
      <c r="CS71" s="243">
        <v>43.86</v>
      </c>
      <c r="CT71" s="243" t="s">
        <v>420</v>
      </c>
      <c r="CU71" s="244">
        <v>2E-16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48">CQ97</f>
        <v>504</v>
      </c>
      <c r="DA71" s="245" t="s">
        <v>317</v>
      </c>
    </row>
    <row r="72" spans="55:105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409</v>
      </c>
      <c r="BU72" s="166">
        <v>-5.14</v>
      </c>
      <c r="BV72" s="166">
        <v>1.41E-2</v>
      </c>
      <c r="BW72" s="81">
        <v>-364.74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0.78600000000000003</v>
      </c>
      <c r="CR72" s="244">
        <v>3.3799999999999997E-2</v>
      </c>
      <c r="CS72" s="243">
        <v>23.24</v>
      </c>
      <c r="CT72" s="243" t="s">
        <v>420</v>
      </c>
      <c r="CU72" s="244">
        <v>2E-16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48"/>
        <v>41.6</v>
      </c>
      <c r="DA72" s="245" t="s">
        <v>317</v>
      </c>
    </row>
    <row r="73" spans="55:105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410</v>
      </c>
      <c r="BU73" s="166">
        <v>-5.22</v>
      </c>
      <c r="BV73" s="166">
        <v>1.5100000000000001E-2</v>
      </c>
      <c r="BW73" s="81">
        <v>-345.49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0.43099999999999999</v>
      </c>
      <c r="CR73" s="244">
        <v>3.9100000000000003E-2</v>
      </c>
      <c r="CS73" s="243">
        <v>11.02</v>
      </c>
      <c r="CT73" s="244" t="s">
        <v>420</v>
      </c>
      <c r="CU73" s="244">
        <v>2E-16</v>
      </c>
      <c r="CV73" s="81" t="s">
        <v>385</v>
      </c>
      <c r="CW73" s="245" t="s">
        <v>460</v>
      </c>
      <c r="CX73" s="251" t="s">
        <v>352</v>
      </c>
      <c r="CY73" s="246" t="s">
        <v>318</v>
      </c>
      <c r="CZ73" s="247">
        <f>1/CQ103</f>
        <v>74.074074074074076</v>
      </c>
      <c r="DA73" s="245" t="s">
        <v>317</v>
      </c>
    </row>
    <row r="74" spans="55:105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S74" s="81" t="s">
        <v>373</v>
      </c>
      <c r="BT74" s="81" t="s">
        <v>411</v>
      </c>
      <c r="BU74" s="166">
        <v>-5.62</v>
      </c>
      <c r="BV74" s="166">
        <v>1.6E-2</v>
      </c>
      <c r="BW74" s="81">
        <v>-351.63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0.78800000000000003</v>
      </c>
      <c r="CR74" s="244">
        <v>1.9699999999999999E-2</v>
      </c>
      <c r="CS74" s="243">
        <v>40.04</v>
      </c>
      <c r="CT74" s="243" t="s">
        <v>420</v>
      </c>
      <c r="CU74" s="244">
        <v>2E-16</v>
      </c>
      <c r="CV74" s="81" t="s">
        <v>385</v>
      </c>
      <c r="CY74" s="246"/>
    </row>
    <row r="75" spans="55:105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412</v>
      </c>
      <c r="BU75" s="166">
        <v>-5.44</v>
      </c>
      <c r="BV75" s="166">
        <v>1.4999999999999999E-2</v>
      </c>
      <c r="BW75" s="81">
        <v>-361.47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0.59899999999999998</v>
      </c>
      <c r="CR75" s="244">
        <v>1.4999999999999999E-2</v>
      </c>
      <c r="CS75" s="243">
        <v>40.01</v>
      </c>
      <c r="CT75" s="243" t="s">
        <v>420</v>
      </c>
      <c r="CU75" s="244">
        <v>2E-16</v>
      </c>
      <c r="CV75" s="81" t="s">
        <v>385</v>
      </c>
      <c r="CW75" s="245" t="s">
        <v>460</v>
      </c>
      <c r="CX75" s="251" t="s">
        <v>424</v>
      </c>
      <c r="CY75" s="246" t="s">
        <v>318</v>
      </c>
      <c r="CZ75" s="247">
        <f>CQ112</f>
        <v>995000000</v>
      </c>
      <c r="DA75" s="245" t="s">
        <v>317</v>
      </c>
    </row>
    <row r="76" spans="55:105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S76" s="81" t="s">
        <v>373</v>
      </c>
      <c r="BT76" s="81" t="s">
        <v>414</v>
      </c>
      <c r="BU76" s="166">
        <v>1.01E-4</v>
      </c>
      <c r="BV76" s="166">
        <v>3.2899999999999998E-6</v>
      </c>
      <c r="BW76" s="81">
        <v>30.66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0.114</v>
      </c>
      <c r="CR76" s="244">
        <v>4.3299999999999998E-2</v>
      </c>
      <c r="CS76" s="243">
        <v>2.64</v>
      </c>
      <c r="CT76" s="244">
        <v>8.2000000000000007E-3</v>
      </c>
      <c r="CU76" s="243" t="s">
        <v>398</v>
      </c>
      <c r="CW76" s="245" t="s">
        <v>460</v>
      </c>
      <c r="CX76" s="251" t="s">
        <v>359</v>
      </c>
      <c r="CY76" s="246" t="s">
        <v>318</v>
      </c>
      <c r="CZ76" s="247">
        <f>CQ113</f>
        <v>145000000</v>
      </c>
      <c r="DA76" s="245" t="s">
        <v>317</v>
      </c>
    </row>
    <row r="77" spans="55:105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S77" s="81" t="s">
        <v>373</v>
      </c>
      <c r="BT77" s="81" t="s">
        <v>415</v>
      </c>
      <c r="BU77" s="166">
        <v>252</v>
      </c>
      <c r="BV77" s="166">
        <v>1.62</v>
      </c>
      <c r="BW77" s="81">
        <v>155.62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2.1900000000000002E-12</v>
      </c>
      <c r="CR77" s="244">
        <v>9.4799999999999998E-11</v>
      </c>
      <c r="CS77" s="243">
        <v>0.02</v>
      </c>
      <c r="CT77" s="243">
        <v>0.98150000000000004</v>
      </c>
      <c r="CW77" s="245" t="s">
        <v>460</v>
      </c>
      <c r="CX77" s="251" t="s">
        <v>365</v>
      </c>
      <c r="CY77" s="246" t="s">
        <v>318</v>
      </c>
      <c r="CZ77" s="247">
        <f>CQ118</f>
        <v>-5.69</v>
      </c>
      <c r="DA77" s="245" t="s">
        <v>317</v>
      </c>
    </row>
    <row r="78" spans="55:105" thickTop="1" thickBot="1" x14ac:dyDescent="0.3">
      <c r="BS78" s="81" t="s">
        <v>373</v>
      </c>
      <c r="BT78" s="81" t="s">
        <v>416</v>
      </c>
      <c r="BU78" s="166">
        <v>5430</v>
      </c>
      <c r="BV78" s="166">
        <v>185</v>
      </c>
      <c r="BW78" s="81">
        <v>29.43</v>
      </c>
      <c r="BX78" s="81" t="s">
        <v>420</v>
      </c>
      <c r="BY78" s="166">
        <v>2E-16</v>
      </c>
      <c r="BZ78" s="81" t="s">
        <v>385</v>
      </c>
      <c r="CO78" s="243" t="s">
        <v>373</v>
      </c>
      <c r="CP78" s="243" t="s">
        <v>449</v>
      </c>
      <c r="CQ78" s="244">
        <v>0.11600000000000001</v>
      </c>
      <c r="CR78" s="244">
        <v>2.3E-2</v>
      </c>
      <c r="CS78" s="243">
        <v>5.05</v>
      </c>
      <c r="CT78" s="244">
        <v>4.5999999999999999E-7</v>
      </c>
      <c r="CU78" s="243" t="s">
        <v>385</v>
      </c>
      <c r="CW78" s="245" t="s">
        <v>460</v>
      </c>
      <c r="CX78" s="251" t="s">
        <v>367</v>
      </c>
      <c r="CY78" s="246" t="s">
        <v>318</v>
      </c>
      <c r="CZ78" s="247">
        <f>CQ119</f>
        <v>-6</v>
      </c>
      <c r="DA78" s="245" t="s">
        <v>317</v>
      </c>
    </row>
    <row r="79" spans="55:105" thickTop="1" thickBot="1" x14ac:dyDescent="0.3">
      <c r="BC79" s="81" t="s">
        <v>373</v>
      </c>
      <c r="BD79" s="81" t="s">
        <v>374</v>
      </c>
      <c r="BE79" s="81" t="s">
        <v>429</v>
      </c>
      <c r="CO79" s="243" t="s">
        <v>373</v>
      </c>
      <c r="CP79" s="243" t="s">
        <v>450</v>
      </c>
      <c r="CQ79" s="244">
        <v>0.13900000000000001</v>
      </c>
      <c r="CR79" s="244">
        <v>1.9199999999999998E-2</v>
      </c>
      <c r="CS79" s="243">
        <v>7.26</v>
      </c>
      <c r="CT79" s="244">
        <v>4.1000000000000002E-13</v>
      </c>
      <c r="CU79" s="243" t="s">
        <v>385</v>
      </c>
      <c r="CW79" s="245" t="s">
        <v>460</v>
      </c>
      <c r="CX79" s="251" t="s">
        <v>369</v>
      </c>
      <c r="CY79" s="246" t="s">
        <v>318</v>
      </c>
      <c r="CZ79" s="247">
        <f>CQ120</f>
        <v>37.9</v>
      </c>
      <c r="DA79" s="245" t="s">
        <v>317</v>
      </c>
    </row>
    <row r="80" spans="55:105" thickTop="1" thickBot="1" x14ac:dyDescent="0.3">
      <c r="BC80" s="81" t="s">
        <v>373</v>
      </c>
      <c r="BD80" s="81" t="s">
        <v>376</v>
      </c>
      <c r="CO80" s="243" t="s">
        <v>373</v>
      </c>
      <c r="CP80" s="243" t="s">
        <v>451</v>
      </c>
      <c r="CQ80" s="244">
        <v>4.2599999999999999E-2</v>
      </c>
      <c r="CR80" s="244">
        <v>1.0200000000000001E-2</v>
      </c>
      <c r="CS80" s="243">
        <v>4.1500000000000004</v>
      </c>
      <c r="CT80" s="244">
        <v>3.3000000000000003E-5</v>
      </c>
      <c r="CU80" s="244" t="s">
        <v>385</v>
      </c>
    </row>
    <row r="81" spans="55:100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S81" s="81" t="s">
        <v>373</v>
      </c>
      <c r="BT81" s="81" t="s">
        <v>374</v>
      </c>
      <c r="BU81" s="81" t="s">
        <v>421</v>
      </c>
      <c r="CO81" s="243" t="s">
        <v>373</v>
      </c>
      <c r="CP81" s="243" t="s">
        <v>452</v>
      </c>
      <c r="CQ81" s="244">
        <v>1.1899999999999999E-7</v>
      </c>
      <c r="CR81" s="244">
        <v>1.3999999999999999E-6</v>
      </c>
      <c r="CS81" s="243">
        <v>0.08</v>
      </c>
      <c r="CT81" s="243">
        <v>0.93230000000000002</v>
      </c>
    </row>
    <row r="82" spans="55:100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376</v>
      </c>
      <c r="CO82" s="243" t="s">
        <v>373</v>
      </c>
      <c r="CP82" s="243" t="s">
        <v>453</v>
      </c>
      <c r="CQ82" s="244">
        <v>2.8400000000000002E-2</v>
      </c>
      <c r="CR82" s="244">
        <v>5.4099999999999999E-3</v>
      </c>
      <c r="CS82" s="243">
        <v>5.25</v>
      </c>
      <c r="CT82" s="244">
        <v>1.4999999999999999E-7</v>
      </c>
      <c r="CU82" s="244" t="s">
        <v>385</v>
      </c>
    </row>
    <row r="83" spans="55:100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377</v>
      </c>
      <c r="BU83" s="81" t="s">
        <v>378</v>
      </c>
      <c r="BV83" s="81" t="s">
        <v>379</v>
      </c>
      <c r="BW83" s="81" t="s">
        <v>380</v>
      </c>
      <c r="BX83" s="81" t="s">
        <v>381</v>
      </c>
      <c r="BY83" s="81" t="s">
        <v>382</v>
      </c>
      <c r="CO83" s="243" t="s">
        <v>373</v>
      </c>
      <c r="CP83" s="243" t="s">
        <v>454</v>
      </c>
      <c r="CQ83" s="244">
        <v>0.10199999999999999</v>
      </c>
      <c r="CR83" s="244">
        <v>4.5300000000000002E-3</v>
      </c>
      <c r="CS83" s="243">
        <v>22.44</v>
      </c>
      <c r="CT83" s="243" t="s">
        <v>420</v>
      </c>
      <c r="CU83" s="244">
        <v>2E-16</v>
      </c>
      <c r="CV83" s="81" t="s">
        <v>385</v>
      </c>
    </row>
    <row r="84" spans="55:100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422</v>
      </c>
      <c r="BU84" s="166">
        <v>289</v>
      </c>
      <c r="BV84" s="166">
        <v>0.34499999999999997</v>
      </c>
      <c r="BW84" s="81">
        <v>837.17</v>
      </c>
      <c r="BX84" s="81" t="s">
        <v>420</v>
      </c>
      <c r="BY84" s="166">
        <v>2E-16</v>
      </c>
      <c r="BZ84" s="81" t="s">
        <v>385</v>
      </c>
      <c r="CO84" s="243" t="s">
        <v>373</v>
      </c>
      <c r="CP84" s="243" t="s">
        <v>303</v>
      </c>
      <c r="CQ84" s="244">
        <v>229000000</v>
      </c>
      <c r="CR84" s="244">
        <v>9630000</v>
      </c>
      <c r="CS84" s="243">
        <v>23.82</v>
      </c>
      <c r="CT84" s="243" t="s">
        <v>420</v>
      </c>
      <c r="CU84" s="244">
        <v>2E-16</v>
      </c>
      <c r="CV84" s="81" t="s">
        <v>385</v>
      </c>
    </row>
    <row r="85" spans="55:100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423</v>
      </c>
      <c r="BU85" s="166">
        <v>292</v>
      </c>
      <c r="BV85" s="166">
        <v>0.36699999999999999</v>
      </c>
      <c r="BW85" s="81">
        <v>796.26</v>
      </c>
      <c r="BX85" s="81" t="s">
        <v>420</v>
      </c>
      <c r="BY85" s="166">
        <v>2E-16</v>
      </c>
      <c r="BZ85" s="81" t="s">
        <v>385</v>
      </c>
      <c r="CO85" s="243" t="s">
        <v>373</v>
      </c>
      <c r="CP85" s="243" t="s">
        <v>395</v>
      </c>
      <c r="CQ85" s="244">
        <v>2580000</v>
      </c>
      <c r="CR85" s="244">
        <v>13300</v>
      </c>
      <c r="CS85" s="243">
        <v>194.09</v>
      </c>
      <c r="CT85" s="243" t="s">
        <v>420</v>
      </c>
      <c r="CU85" s="244">
        <v>2E-16</v>
      </c>
      <c r="CV85" s="81" t="s">
        <v>385</v>
      </c>
    </row>
    <row r="86" spans="55:100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353</v>
      </c>
      <c r="BU86" s="166">
        <v>9.84</v>
      </c>
      <c r="BV86" s="166">
        <v>1.27</v>
      </c>
      <c r="BW86" s="81">
        <v>7.73</v>
      </c>
      <c r="BX86" s="166">
        <v>1.4E-14</v>
      </c>
      <c r="BY86" s="81" t="s">
        <v>385</v>
      </c>
      <c r="CO86" s="243" t="s">
        <v>373</v>
      </c>
      <c r="CP86" s="243" t="s">
        <v>296</v>
      </c>
      <c r="CQ86" s="244">
        <v>14700000</v>
      </c>
      <c r="CR86" s="244">
        <v>395000</v>
      </c>
      <c r="CS86" s="243">
        <v>37.270000000000003</v>
      </c>
      <c r="CT86" s="243" t="s">
        <v>420</v>
      </c>
      <c r="CU86" s="244">
        <v>2E-16</v>
      </c>
      <c r="CV86" s="81" t="s">
        <v>385</v>
      </c>
    </row>
    <row r="87" spans="55:100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355</v>
      </c>
      <c r="BU87" s="166">
        <v>1.35</v>
      </c>
      <c r="BV87" s="166">
        <v>0.24399999999999999</v>
      </c>
      <c r="BW87" s="81">
        <v>5.54</v>
      </c>
      <c r="BX87" s="166">
        <v>3.1E-8</v>
      </c>
      <c r="BY87" s="81" t="s">
        <v>385</v>
      </c>
      <c r="CO87" s="243" t="s">
        <v>373</v>
      </c>
      <c r="CP87" s="243" t="s">
        <v>298</v>
      </c>
      <c r="CQ87" s="244">
        <v>26300000</v>
      </c>
      <c r="CR87" s="244">
        <v>1310000</v>
      </c>
      <c r="CS87" s="243">
        <v>20.100000000000001</v>
      </c>
      <c r="CT87" s="243" t="s">
        <v>420</v>
      </c>
      <c r="CU87" s="244">
        <v>2E-16</v>
      </c>
      <c r="CV87" s="81" t="s">
        <v>385</v>
      </c>
    </row>
    <row r="88" spans="55:100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S88" s="81" t="s">
        <v>373</v>
      </c>
      <c r="BT88" s="81" t="s">
        <v>424</v>
      </c>
      <c r="BU88" s="166">
        <v>139000000</v>
      </c>
      <c r="BV88" s="166">
        <v>35000000</v>
      </c>
      <c r="BW88" s="81">
        <v>3.98</v>
      </c>
      <c r="BX88" s="166">
        <v>6.8999999999999997E-5</v>
      </c>
      <c r="BY88" s="81" t="s">
        <v>385</v>
      </c>
      <c r="CO88" s="243" t="s">
        <v>373</v>
      </c>
      <c r="CP88" s="243" t="s">
        <v>396</v>
      </c>
      <c r="CQ88" s="244">
        <v>-35.700000000000003</v>
      </c>
      <c r="CR88" s="244">
        <v>17.2</v>
      </c>
      <c r="CS88" s="243">
        <v>-2.0699999999999998</v>
      </c>
      <c r="CT88" s="243">
        <v>3.8199999999999998E-2</v>
      </c>
      <c r="CU88" s="243" t="s">
        <v>418</v>
      </c>
    </row>
    <row r="89" spans="55:100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S89" s="81" t="s">
        <v>373</v>
      </c>
      <c r="BT89" s="81" t="s">
        <v>359</v>
      </c>
      <c r="BU89" s="166">
        <v>18800000</v>
      </c>
      <c r="BV89" s="166">
        <v>2330000</v>
      </c>
      <c r="BW89" s="81">
        <v>8.09</v>
      </c>
      <c r="BX89" s="166">
        <v>6.7000000000000004E-16</v>
      </c>
      <c r="BY89" s="81" t="s">
        <v>385</v>
      </c>
      <c r="CO89" s="243" t="s">
        <v>373</v>
      </c>
      <c r="CP89" s="243" t="s">
        <v>397</v>
      </c>
      <c r="CQ89" s="244">
        <v>-19.399999999999999</v>
      </c>
      <c r="CR89" s="244">
        <v>8.93</v>
      </c>
      <c r="CS89" s="243">
        <v>-2.17</v>
      </c>
      <c r="CT89" s="243">
        <v>0.03</v>
      </c>
      <c r="CU89" s="243" t="s">
        <v>418</v>
      </c>
    </row>
    <row r="90" spans="55:100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401</v>
      </c>
      <c r="BU90" s="166">
        <v>8.0500000000000007</v>
      </c>
      <c r="BV90" s="166">
        <v>5.5100000000000003E-2</v>
      </c>
      <c r="BW90" s="81">
        <v>146.16999999999999</v>
      </c>
      <c r="BX90" s="81" t="s">
        <v>420</v>
      </c>
      <c r="BY90" s="166">
        <v>2E-16</v>
      </c>
      <c r="BZ90" s="81" t="s">
        <v>385</v>
      </c>
      <c r="CO90" s="243" t="s">
        <v>373</v>
      </c>
      <c r="CP90" s="243" t="s">
        <v>399</v>
      </c>
      <c r="CQ90" s="244">
        <v>-32.700000000000003</v>
      </c>
      <c r="CR90" s="244">
        <v>26</v>
      </c>
      <c r="CS90" s="243">
        <v>-1.26</v>
      </c>
      <c r="CT90" s="243">
        <v>0.2092</v>
      </c>
    </row>
    <row r="91" spans="55:100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425</v>
      </c>
      <c r="BU91" s="166">
        <v>10</v>
      </c>
      <c r="BV91" s="166">
        <v>2.14E-3</v>
      </c>
      <c r="BW91" s="81">
        <v>4675.1499999999996</v>
      </c>
      <c r="BX91" s="81" t="s">
        <v>420</v>
      </c>
      <c r="BY91" s="166">
        <v>2E-16</v>
      </c>
      <c r="BZ91" s="81" t="s">
        <v>385</v>
      </c>
      <c r="CO91" s="243" t="s">
        <v>373</v>
      </c>
      <c r="CP91" s="243" t="s">
        <v>400</v>
      </c>
      <c r="CQ91" s="244">
        <v>-25.8</v>
      </c>
      <c r="CR91" s="244">
        <v>25.6</v>
      </c>
      <c r="CS91" s="243">
        <v>-1.01</v>
      </c>
      <c r="CT91" s="243">
        <v>0.3135</v>
      </c>
    </row>
    <row r="92" spans="55:100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413</v>
      </c>
      <c r="BU92" s="166">
        <v>-4.74</v>
      </c>
      <c r="BV92" s="166">
        <v>3.8199999999999998E-2</v>
      </c>
      <c r="BW92" s="81">
        <v>-124.2</v>
      </c>
      <c r="BX92" s="81" t="s">
        <v>420</v>
      </c>
      <c r="BY92" s="166">
        <v>2E-16</v>
      </c>
      <c r="BZ92" s="81" t="s">
        <v>385</v>
      </c>
      <c r="CO92" s="243" t="s">
        <v>373</v>
      </c>
      <c r="CP92" s="243" t="s">
        <v>402</v>
      </c>
      <c r="CQ92" s="244">
        <v>6.7199999999999996E-2</v>
      </c>
      <c r="CR92" s="244">
        <v>4.2400000000000001E-4</v>
      </c>
      <c r="CS92" s="243">
        <v>158.63999999999999</v>
      </c>
      <c r="CT92" s="243" t="s">
        <v>420</v>
      </c>
      <c r="CU92" s="244">
        <v>2E-16</v>
      </c>
      <c r="CV92" s="81" t="s">
        <v>385</v>
      </c>
    </row>
    <row r="93" spans="55:100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426</v>
      </c>
      <c r="BU93" s="166">
        <v>-4.71</v>
      </c>
      <c r="BV93" s="166">
        <v>4.3700000000000003E-2</v>
      </c>
      <c r="BW93" s="81">
        <v>-107.8</v>
      </c>
      <c r="BX93" s="81" t="s">
        <v>420</v>
      </c>
      <c r="BY93" s="166">
        <v>2E-16</v>
      </c>
      <c r="BZ93" s="81" t="s">
        <v>385</v>
      </c>
      <c r="CO93" s="243" t="s">
        <v>373</v>
      </c>
      <c r="CP93" s="243" t="s">
        <v>403</v>
      </c>
      <c r="CQ93" s="244">
        <v>0.21299999999999999</v>
      </c>
      <c r="CR93" s="244">
        <v>1.58E-3</v>
      </c>
      <c r="CS93" s="243">
        <v>134.47999999999999</v>
      </c>
      <c r="CT93" s="243" t="s">
        <v>420</v>
      </c>
      <c r="CU93" s="244">
        <v>2E-16</v>
      </c>
      <c r="CV93" s="81" t="s">
        <v>385</v>
      </c>
    </row>
    <row r="94" spans="55:100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365</v>
      </c>
      <c r="BU94" s="166">
        <v>192</v>
      </c>
      <c r="BV94" s="166">
        <v>3.81</v>
      </c>
      <c r="BW94" s="81">
        <v>50.34</v>
      </c>
      <c r="BX94" s="81" t="s">
        <v>420</v>
      </c>
      <c r="BY94" s="166">
        <v>2E-16</v>
      </c>
      <c r="BZ94" s="81" t="s">
        <v>385</v>
      </c>
      <c r="CO94" s="243" t="s">
        <v>373</v>
      </c>
      <c r="CP94" s="243" t="s">
        <v>404</v>
      </c>
      <c r="CQ94" s="244">
        <v>0.68</v>
      </c>
      <c r="CR94" s="244">
        <v>2.2000000000000001E-3</v>
      </c>
      <c r="CS94" s="243">
        <v>309.01</v>
      </c>
      <c r="CT94" s="243" t="s">
        <v>420</v>
      </c>
      <c r="CU94" s="244">
        <v>2E-16</v>
      </c>
      <c r="CV94" s="81" t="s">
        <v>385</v>
      </c>
    </row>
    <row r="95" spans="55:100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367</v>
      </c>
      <c r="BU95" s="166">
        <v>2.63E-4</v>
      </c>
      <c r="BV95" s="166">
        <v>6.5899999999999997E-4</v>
      </c>
      <c r="BW95" s="81">
        <v>0.4</v>
      </c>
      <c r="BX95" s="81">
        <v>0.69</v>
      </c>
      <c r="CO95" s="243" t="s">
        <v>373</v>
      </c>
      <c r="CP95" s="243" t="s">
        <v>405</v>
      </c>
      <c r="CQ95" s="244">
        <v>3.3099999999999997E-2</v>
      </c>
      <c r="CR95" s="244">
        <v>4.8200000000000001E-4</v>
      </c>
      <c r="CS95" s="243">
        <v>68.760000000000005</v>
      </c>
      <c r="CT95" s="243" t="s">
        <v>420</v>
      </c>
      <c r="CU95" s="244">
        <v>2E-16</v>
      </c>
      <c r="CV95" s="81" t="s">
        <v>385</v>
      </c>
    </row>
    <row r="96" spans="55:100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369</v>
      </c>
      <c r="BU96" s="166">
        <v>389</v>
      </c>
      <c r="BV96" s="166">
        <v>9.27</v>
      </c>
      <c r="BW96" s="81">
        <v>41.99</v>
      </c>
      <c r="BX96" s="81" t="s">
        <v>420</v>
      </c>
      <c r="BY96" s="166">
        <v>2E-16</v>
      </c>
      <c r="BZ96" s="81" t="s">
        <v>385</v>
      </c>
      <c r="CO96" s="243" t="s">
        <v>373</v>
      </c>
      <c r="CP96" s="243" t="s">
        <v>407</v>
      </c>
      <c r="CQ96" s="244">
        <v>198</v>
      </c>
      <c r="CR96" s="244">
        <v>1.29</v>
      </c>
      <c r="CS96" s="243">
        <v>153.77000000000001</v>
      </c>
      <c r="CT96" s="243" t="s">
        <v>420</v>
      </c>
      <c r="CU96" s="244">
        <v>2E-16</v>
      </c>
      <c r="CV96" s="81" t="s">
        <v>385</v>
      </c>
    </row>
    <row r="97" spans="93:100" thickTop="1" thickBot="1" x14ac:dyDescent="0.3">
      <c r="CO97" s="243" t="s">
        <v>373</v>
      </c>
      <c r="CP97" s="243" t="s">
        <v>290</v>
      </c>
      <c r="CQ97" s="244">
        <v>504</v>
      </c>
      <c r="CR97" s="244">
        <v>5.17</v>
      </c>
      <c r="CS97" s="243">
        <v>97.44</v>
      </c>
      <c r="CT97" s="243" t="s">
        <v>420</v>
      </c>
      <c r="CU97" s="244">
        <v>2E-16</v>
      </c>
      <c r="CV97" s="81" t="s">
        <v>385</v>
      </c>
    </row>
    <row r="98" spans="93:100" thickTop="1" thickBot="1" x14ac:dyDescent="0.3">
      <c r="CO98" s="243" t="s">
        <v>373</v>
      </c>
      <c r="CP98" s="243" t="s">
        <v>120</v>
      </c>
      <c r="CQ98" s="244">
        <v>41.6</v>
      </c>
      <c r="CR98" s="244">
        <v>0.123</v>
      </c>
      <c r="CS98" s="243">
        <v>339.01</v>
      </c>
      <c r="CT98" s="243" t="s">
        <v>420</v>
      </c>
      <c r="CU98" s="244">
        <v>2E-16</v>
      </c>
      <c r="CV98" s="81" t="s">
        <v>385</v>
      </c>
    </row>
    <row r="99" spans="93:100" thickTop="1" thickBot="1" x14ac:dyDescent="0.3">
      <c r="CO99" s="243" t="s">
        <v>373</v>
      </c>
      <c r="CP99" s="243" t="s">
        <v>409</v>
      </c>
      <c r="CQ99" s="244">
        <v>-7.88</v>
      </c>
      <c r="CR99" s="244">
        <v>1.7399999999999999E-2</v>
      </c>
      <c r="CS99" s="243">
        <v>-452</v>
      </c>
      <c r="CT99" s="243" t="s">
        <v>420</v>
      </c>
      <c r="CU99" s="244">
        <v>2E-16</v>
      </c>
      <c r="CV99" s="81" t="s">
        <v>385</v>
      </c>
    </row>
    <row r="100" spans="93:100" thickTop="1" thickBot="1" x14ac:dyDescent="0.3">
      <c r="CO100" s="243" t="s">
        <v>373</v>
      </c>
      <c r="CP100" s="243" t="s">
        <v>410</v>
      </c>
      <c r="CQ100" s="244">
        <v>-7.37</v>
      </c>
      <c r="CR100" s="244">
        <v>1.52E-2</v>
      </c>
      <c r="CS100" s="243">
        <v>-485.95</v>
      </c>
      <c r="CT100" s="243" t="s">
        <v>420</v>
      </c>
      <c r="CU100" s="244">
        <v>2E-16</v>
      </c>
      <c r="CV100" s="81" t="s">
        <v>385</v>
      </c>
    </row>
    <row r="101" spans="93:100" thickTop="1" thickBot="1" x14ac:dyDescent="0.3">
      <c r="CO101" s="243" t="s">
        <v>373</v>
      </c>
      <c r="CP101" s="243" t="s">
        <v>411</v>
      </c>
      <c r="CQ101" s="244">
        <v>-7.02</v>
      </c>
      <c r="CR101" s="244">
        <v>1.6199999999999999E-2</v>
      </c>
      <c r="CS101" s="243">
        <v>-432.25</v>
      </c>
      <c r="CT101" s="243" t="s">
        <v>420</v>
      </c>
      <c r="CU101" s="244">
        <v>2E-16</v>
      </c>
      <c r="CV101" s="81" t="s">
        <v>385</v>
      </c>
    </row>
    <row r="102" spans="93:100" thickTop="1" thickBot="1" x14ac:dyDescent="0.3">
      <c r="CO102" s="243" t="s">
        <v>373</v>
      </c>
      <c r="CP102" s="243" t="s">
        <v>412</v>
      </c>
      <c r="CQ102" s="244">
        <v>-6.41</v>
      </c>
      <c r="CR102" s="244">
        <v>1.6299999999999999E-2</v>
      </c>
      <c r="CS102" s="243">
        <v>-393.46</v>
      </c>
      <c r="CT102" s="243" t="s">
        <v>420</v>
      </c>
      <c r="CU102" s="244">
        <v>2E-16</v>
      </c>
      <c r="CV102" s="81" t="s">
        <v>385</v>
      </c>
    </row>
    <row r="103" spans="93:100" thickTop="1" thickBot="1" x14ac:dyDescent="0.3">
      <c r="CO103" s="243" t="s">
        <v>373</v>
      </c>
      <c r="CP103" s="243" t="s">
        <v>414</v>
      </c>
      <c r="CQ103" s="244">
        <v>1.35E-2</v>
      </c>
      <c r="CR103" s="244">
        <v>1.11E-4</v>
      </c>
      <c r="CS103" s="243">
        <v>121.1</v>
      </c>
      <c r="CT103" s="243" t="s">
        <v>420</v>
      </c>
      <c r="CU103" s="244">
        <v>2E-16</v>
      </c>
      <c r="CV103" s="81" t="s">
        <v>385</v>
      </c>
    </row>
    <row r="104" spans="93:100" thickTop="1" thickBot="1" x14ac:dyDescent="0.3">
      <c r="CO104" s="243" t="s">
        <v>373</v>
      </c>
      <c r="CP104" s="243" t="s">
        <v>415</v>
      </c>
      <c r="CQ104" s="244">
        <v>84.3</v>
      </c>
      <c r="CR104" s="244">
        <v>0.57399999999999995</v>
      </c>
      <c r="CS104" s="243">
        <v>146.71</v>
      </c>
      <c r="CT104" s="243" t="s">
        <v>420</v>
      </c>
      <c r="CU104" s="244">
        <v>2E-16</v>
      </c>
      <c r="CV104" s="81" t="s">
        <v>385</v>
      </c>
    </row>
    <row r="105" spans="93:100" thickTop="1" thickBot="1" x14ac:dyDescent="0.3">
      <c r="CO105" s="243" t="s">
        <v>373</v>
      </c>
      <c r="CP105" s="243" t="s">
        <v>416</v>
      </c>
      <c r="CQ105" s="244">
        <v>9940</v>
      </c>
      <c r="CR105" s="244">
        <v>338</v>
      </c>
      <c r="CS105" s="243">
        <v>29.37</v>
      </c>
      <c r="CT105" s="243" t="s">
        <v>420</v>
      </c>
      <c r="CU105" s="244">
        <v>2E-16</v>
      </c>
      <c r="CV105" s="81" t="s">
        <v>385</v>
      </c>
    </row>
    <row r="108" spans="93:100" thickTop="1" thickBot="1" x14ac:dyDescent="0.3">
      <c r="CO108" s="243" t="s">
        <v>373</v>
      </c>
      <c r="CP108" s="243" t="s">
        <v>422</v>
      </c>
      <c r="CQ108" s="244">
        <v>289</v>
      </c>
      <c r="CR108" s="244">
        <v>8.3400000000000002E-2</v>
      </c>
      <c r="CS108" s="243">
        <v>3464.54</v>
      </c>
      <c r="CT108" s="243" t="s">
        <v>420</v>
      </c>
      <c r="CU108" s="244">
        <v>2E-16</v>
      </c>
      <c r="CV108" s="243" t="s">
        <v>385</v>
      </c>
    </row>
    <row r="109" spans="93:100" thickTop="1" thickBot="1" x14ac:dyDescent="0.3">
      <c r="CO109" s="243" t="s">
        <v>373</v>
      </c>
      <c r="CP109" s="243" t="s">
        <v>423</v>
      </c>
      <c r="CQ109" s="244">
        <v>295</v>
      </c>
      <c r="CR109" s="244">
        <v>0.13200000000000001</v>
      </c>
      <c r="CS109" s="243">
        <v>2234.35</v>
      </c>
      <c r="CT109" s="243" t="s">
        <v>420</v>
      </c>
      <c r="CU109" s="244">
        <v>2E-16</v>
      </c>
      <c r="CV109" s="81" t="s">
        <v>385</v>
      </c>
    </row>
    <row r="110" spans="93:100" thickTop="1" thickBot="1" x14ac:dyDescent="0.3">
      <c r="CO110" s="243" t="s">
        <v>373</v>
      </c>
      <c r="CP110" s="243" t="s">
        <v>353</v>
      </c>
      <c r="CQ110" s="244">
        <v>7.8700000000000006E-2</v>
      </c>
      <c r="CR110" s="244">
        <v>1.42E-3</v>
      </c>
      <c r="CS110" s="243">
        <v>55.38</v>
      </c>
      <c r="CT110" s="244" t="s">
        <v>420</v>
      </c>
      <c r="CU110" s="244">
        <v>2E-16</v>
      </c>
      <c r="CV110" s="81" t="s">
        <v>385</v>
      </c>
    </row>
    <row r="111" spans="93:100" thickTop="1" thickBot="1" x14ac:dyDescent="0.3">
      <c r="CO111" s="243" t="s">
        <v>373</v>
      </c>
      <c r="CP111" s="243" t="s">
        <v>355</v>
      </c>
      <c r="CQ111" s="244">
        <v>6.4600000000000005E-2</v>
      </c>
      <c r="CR111" s="244">
        <v>3.3300000000000001E-3</v>
      </c>
      <c r="CS111" s="243">
        <v>19.420000000000002</v>
      </c>
      <c r="CT111" s="244" t="s">
        <v>420</v>
      </c>
      <c r="CU111" s="244">
        <v>2E-16</v>
      </c>
      <c r="CV111" s="81" t="s">
        <v>385</v>
      </c>
    </row>
    <row r="112" spans="93:100" thickTop="1" thickBot="1" x14ac:dyDescent="0.3">
      <c r="CO112" s="243" t="s">
        <v>373</v>
      </c>
      <c r="CP112" s="243" t="s">
        <v>424</v>
      </c>
      <c r="CQ112" s="244">
        <v>995000000</v>
      </c>
      <c r="CR112" s="244">
        <v>24800000</v>
      </c>
      <c r="CS112" s="243">
        <v>40.08</v>
      </c>
      <c r="CT112" s="244" t="s">
        <v>420</v>
      </c>
      <c r="CU112" s="244">
        <v>2E-16</v>
      </c>
      <c r="CV112" s="81" t="s">
        <v>385</v>
      </c>
    </row>
    <row r="113" spans="93:100" thickTop="1" thickBot="1" x14ac:dyDescent="0.3">
      <c r="CO113" s="243" t="s">
        <v>373</v>
      </c>
      <c r="CP113" s="243" t="s">
        <v>359</v>
      </c>
      <c r="CQ113" s="244">
        <v>145000000</v>
      </c>
      <c r="CR113" s="244">
        <v>70000000</v>
      </c>
      <c r="CS113" s="243">
        <v>2.0699999999999998</v>
      </c>
      <c r="CT113" s="244">
        <v>3.7999999999999999E-2</v>
      </c>
      <c r="CU113" s="243" t="s">
        <v>418</v>
      </c>
    </row>
    <row r="114" spans="93:100" thickTop="1" thickBot="1" x14ac:dyDescent="0.3">
      <c r="CO114" s="243" t="s">
        <v>373</v>
      </c>
      <c r="CP114" s="243" t="s">
        <v>401</v>
      </c>
      <c r="CQ114" s="244">
        <v>-25</v>
      </c>
      <c r="CR114" s="244">
        <v>4.78</v>
      </c>
      <c r="CS114" s="243">
        <v>-5.24</v>
      </c>
      <c r="CT114" s="244">
        <v>1.6999999999999999E-7</v>
      </c>
      <c r="CU114" s="244" t="s">
        <v>385</v>
      </c>
    </row>
    <row r="115" spans="93:100" thickTop="1" thickBot="1" x14ac:dyDescent="0.3">
      <c r="CO115" s="243" t="s">
        <v>373</v>
      </c>
      <c r="CP115" s="243" t="s">
        <v>425</v>
      </c>
      <c r="CQ115" s="244">
        <v>-16.600000000000001</v>
      </c>
      <c r="CR115" s="244">
        <v>532</v>
      </c>
      <c r="CS115" s="243">
        <v>-0.03</v>
      </c>
      <c r="CT115" s="243">
        <v>0.97499999999999998</v>
      </c>
      <c r="CU115" s="244"/>
    </row>
    <row r="116" spans="93:100" thickTop="1" thickBot="1" x14ac:dyDescent="0.3">
      <c r="CO116" s="243" t="s">
        <v>373</v>
      </c>
      <c r="CP116" s="243" t="s">
        <v>430</v>
      </c>
      <c r="CQ116" s="244">
        <v>2.87E-2</v>
      </c>
      <c r="CR116" s="244">
        <v>1.2400000000000001E-4</v>
      </c>
      <c r="CS116" s="243">
        <v>231.75</v>
      </c>
      <c r="CT116" s="243" t="s">
        <v>420</v>
      </c>
      <c r="CU116" s="244">
        <v>2E-16</v>
      </c>
      <c r="CV116" s="81" t="s">
        <v>385</v>
      </c>
    </row>
    <row r="117" spans="93:100" thickTop="1" thickBot="1" x14ac:dyDescent="0.3">
      <c r="CO117" s="243" t="s">
        <v>373</v>
      </c>
      <c r="CP117" s="243" t="s">
        <v>431</v>
      </c>
      <c r="CQ117" s="244">
        <v>3.1899999999999998E-2</v>
      </c>
      <c r="CR117" s="244">
        <v>3.8499999999999998E-4</v>
      </c>
      <c r="CS117" s="243">
        <v>82.89</v>
      </c>
      <c r="CT117" s="243" t="s">
        <v>420</v>
      </c>
      <c r="CU117" s="244">
        <v>2E-16</v>
      </c>
      <c r="CV117" s="81" t="s">
        <v>385</v>
      </c>
    </row>
    <row r="118" spans="93:100" thickTop="1" thickBot="1" x14ac:dyDescent="0.3">
      <c r="CO118" s="243" t="s">
        <v>373</v>
      </c>
      <c r="CP118" s="243" t="s">
        <v>413</v>
      </c>
      <c r="CQ118" s="244">
        <v>-5.69</v>
      </c>
      <c r="CR118" s="244">
        <v>2.7900000000000001E-2</v>
      </c>
      <c r="CS118" s="243">
        <v>-204.12</v>
      </c>
      <c r="CT118" s="243" t="s">
        <v>420</v>
      </c>
      <c r="CU118" s="244">
        <v>2E-16</v>
      </c>
      <c r="CV118" s="81" t="s">
        <v>385</v>
      </c>
    </row>
    <row r="119" spans="93:100" thickTop="1" thickBot="1" x14ac:dyDescent="0.3">
      <c r="CO119" s="243" t="s">
        <v>373</v>
      </c>
      <c r="CP119" s="243" t="s">
        <v>426</v>
      </c>
      <c r="CQ119" s="244">
        <v>-6</v>
      </c>
      <c r="CR119" s="244">
        <v>1.7299999999999999E-2</v>
      </c>
      <c r="CS119" s="243">
        <v>-346.78</v>
      </c>
      <c r="CT119" s="243" t="s">
        <v>420</v>
      </c>
      <c r="CU119" s="244">
        <v>2E-16</v>
      </c>
      <c r="CV119" s="81" t="s">
        <v>385</v>
      </c>
    </row>
    <row r="120" spans="93:100" thickTop="1" thickBot="1" x14ac:dyDescent="0.3">
      <c r="CO120" s="243" t="s">
        <v>373</v>
      </c>
      <c r="CP120" s="243" t="s">
        <v>365</v>
      </c>
      <c r="CQ120" s="244">
        <v>37.9</v>
      </c>
      <c r="CR120" s="244">
        <v>0.29299999999999998</v>
      </c>
      <c r="CS120" s="243">
        <v>129.35</v>
      </c>
      <c r="CT120" s="243" t="s">
        <v>420</v>
      </c>
      <c r="CU120" s="244">
        <v>2E-16</v>
      </c>
      <c r="CV120" s="81" t="s">
        <v>385</v>
      </c>
    </row>
    <row r="121" spans="93:100" thickTop="1" thickBot="1" x14ac:dyDescent="0.3">
      <c r="CO121" s="243" t="s">
        <v>373</v>
      </c>
      <c r="CP121" s="243" t="s">
        <v>367</v>
      </c>
      <c r="CQ121" s="244">
        <v>91.3</v>
      </c>
      <c r="CR121" s="244">
        <v>60.1</v>
      </c>
      <c r="CS121" s="243">
        <v>1.52</v>
      </c>
      <c r="CT121" s="243">
        <v>0.129</v>
      </c>
    </row>
    <row r="122" spans="93:100" thickTop="1" thickBot="1" x14ac:dyDescent="0.3">
      <c r="CO122" s="243" t="s">
        <v>373</v>
      </c>
      <c r="CP122" s="243" t="s">
        <v>369</v>
      </c>
      <c r="CQ122" s="244">
        <v>65.7</v>
      </c>
      <c r="CR122" s="244">
        <v>1.6</v>
      </c>
      <c r="CS122" s="243">
        <v>41.1</v>
      </c>
      <c r="CT122" s="243" t="s">
        <v>420</v>
      </c>
      <c r="CU122" s="244">
        <v>2E-16</v>
      </c>
      <c r="CV122" s="81" t="s">
        <v>385</v>
      </c>
    </row>
  </sheetData>
  <mergeCells count="8">
    <mergeCell ref="F36:G36"/>
    <mergeCell ref="B1:H1"/>
    <mergeCell ref="B3:I3"/>
    <mergeCell ref="K3:U3"/>
    <mergeCell ref="W3:AH3"/>
    <mergeCell ref="L4:P4"/>
    <mergeCell ref="F33:G33"/>
    <mergeCell ref="F34:G34"/>
  </mergeCells>
  <pageMargins left="0.25" right="0.25" top="0.75" bottom="0.75" header="0.51180555555555496" footer="0.51180555555555496"/>
  <pageSetup paperSize="9" firstPageNumber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DA120"/>
  <sheetViews>
    <sheetView topLeftCell="O1" zoomScale="90" zoomScaleNormal="90" workbookViewId="0">
      <selection activeCell="AM11" sqref="AM11"/>
    </sheetView>
  </sheetViews>
  <sheetFormatPr defaultRowHeight="16.5" thickTop="1" thickBottom="1" x14ac:dyDescent="0.3"/>
  <cols>
    <col min="1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2"/>
    <col min="19" max="21" width="9.140625" style="81"/>
    <col min="22" max="22" width="9.140625" style="1"/>
    <col min="23" max="34" width="9.140625" style="172"/>
    <col min="35" max="35" width="9.140625" style="81"/>
    <col min="36" max="37" width="9.140625" style="157"/>
    <col min="38" max="38" width="9.140625" style="158"/>
    <col min="39" max="39" width="10.28515625" style="158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0"/>
    <col min="52" max="52" width="14.7109375" style="161" bestFit="1" customWidth="1"/>
    <col min="53" max="53" width="9.140625" style="160"/>
    <col min="54" max="54" width="9.140625" style="170"/>
    <col min="55" max="67" width="9.140625" style="81"/>
    <col min="68" max="68" width="15.42578125" style="81" customWidth="1"/>
    <col min="69" max="69" width="9.140625" style="81"/>
    <col min="70" max="70" width="9.140625" style="170"/>
    <col min="71" max="82" width="9.140625" style="81"/>
    <col min="83" max="83" width="15" style="81" bestFit="1" customWidth="1"/>
    <col min="84" max="85" width="9.140625" style="81"/>
    <col min="86" max="86" width="9.140625" style="238"/>
    <col min="87" max="92" width="9.140625" style="81"/>
    <col min="93" max="99" width="9.140625" style="243"/>
    <col min="100" max="100" width="9.140625" style="81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6" max="16384" width="9.140625" style="81"/>
  </cols>
  <sheetData>
    <row r="1" spans="2:105" ht="20.25" customHeight="1" thickTop="1" thickBot="1" x14ac:dyDescent="0.35">
      <c r="B1" s="292" t="s">
        <v>307</v>
      </c>
      <c r="C1" s="292"/>
      <c r="D1" s="292"/>
      <c r="E1" s="292"/>
      <c r="F1" s="292"/>
      <c r="G1" s="292"/>
      <c r="H1" s="292"/>
      <c r="AO1" s="159" t="s">
        <v>309</v>
      </c>
      <c r="BS1" s="81" t="s">
        <v>427</v>
      </c>
    </row>
    <row r="2" spans="2:105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</row>
    <row r="3" spans="2:105" thickTop="1" thickBot="1" x14ac:dyDescent="0.3">
      <c r="B3" s="296" t="s">
        <v>1</v>
      </c>
      <c r="C3" s="297"/>
      <c r="D3" s="297"/>
      <c r="E3" s="297"/>
      <c r="F3" s="297"/>
      <c r="G3" s="297"/>
      <c r="H3" s="297"/>
      <c r="I3" s="298"/>
      <c r="K3" s="289" t="s">
        <v>2</v>
      </c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4"/>
      <c r="W3" s="295" t="s">
        <v>3</v>
      </c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0.22</v>
      </c>
      <c r="CF3" s="167" t="s">
        <v>317</v>
      </c>
      <c r="CI3" s="81" t="s">
        <v>316</v>
      </c>
      <c r="CJ3" s="239">
        <f>AZ4</f>
        <v>0.14182479311295912</v>
      </c>
      <c r="CK3" s="239">
        <f>BP4</f>
        <v>0.18</v>
      </c>
      <c r="CL3" s="239">
        <f>CE3</f>
        <v>0.22</v>
      </c>
      <c r="CO3" s="243" t="s">
        <v>373</v>
      </c>
      <c r="CP3" s="243" t="s">
        <v>374</v>
      </c>
      <c r="CQ3" s="243" t="s">
        <v>441</v>
      </c>
      <c r="CW3" s="245" t="s">
        <v>459</v>
      </c>
    </row>
    <row r="4" spans="2:105" ht="15.75" customHeight="1" thickTop="1" thickBot="1" x14ac:dyDescent="0.3">
      <c r="B4" s="234" t="s">
        <v>6</v>
      </c>
      <c r="C4" s="235">
        <f>'Tabula data'!B5</f>
        <v>621.29999999999995</v>
      </c>
      <c r="D4" s="235" t="s">
        <v>7</v>
      </c>
      <c r="E4" s="234" t="s">
        <v>8</v>
      </c>
      <c r="F4" s="235"/>
      <c r="G4" s="235"/>
      <c r="H4" s="236">
        <f>SUM(I6:I13)</f>
        <v>31.5</v>
      </c>
      <c r="I4" s="237" t="s">
        <v>9</v>
      </c>
      <c r="L4" s="299" t="s">
        <v>432</v>
      </c>
      <c r="M4" s="300"/>
      <c r="N4" s="300"/>
      <c r="O4" s="300"/>
      <c r="P4" s="301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SUM(O6:O9)/SUM($O$6:$O$14,$O$26:$O$27)</f>
        <v>0.14182479311295912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0.14182479311295912</v>
      </c>
      <c r="BA4" s="167" t="s">
        <v>317</v>
      </c>
      <c r="BC4" s="81" t="s">
        <v>373</v>
      </c>
      <c r="BD4" s="81" t="s">
        <v>376</v>
      </c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0.45400000000000001</v>
      </c>
      <c r="CF4" s="167" t="s">
        <v>317</v>
      </c>
      <c r="CI4" s="81" t="s">
        <v>319</v>
      </c>
      <c r="CJ4" s="239">
        <f t="shared" ref="CJ4:CJ49" si="1">AZ5</f>
        <v>0.24990131486191219</v>
      </c>
      <c r="CK4" s="239">
        <f t="shared" ref="CK4:CK49" si="2">BP5</f>
        <v>0.33600000000000002</v>
      </c>
      <c r="CL4" s="239">
        <f t="shared" ref="CL4:CL49" si="3">CE4</f>
        <v>0.45400000000000001</v>
      </c>
      <c r="CO4" s="243" t="s">
        <v>373</v>
      </c>
      <c r="CP4" s="243" t="s">
        <v>376</v>
      </c>
    </row>
    <row r="5" spans="2:105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s="81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1/(1/10+SUM(AD7:AD11)+1/23)</f>
        <v>0.14117683417924493</v>
      </c>
      <c r="AB5" s="217" t="s">
        <v>5</v>
      </c>
      <c r="AC5" s="217"/>
      <c r="AD5" s="217" t="s">
        <v>22</v>
      </c>
      <c r="AE5" s="220">
        <f>SUM(AE7:AE11)</f>
        <v>95402</v>
      </c>
      <c r="AF5" s="222" t="s">
        <v>23</v>
      </c>
      <c r="AG5" s="222">
        <f>SUM(AE10:AE11)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SUM(O27)/SUM($O$6:$O$14,$O$26:$O$27)</f>
        <v>0.24990131486191219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0.24990131486191219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5.8500000000000003E-2</v>
      </c>
      <c r="CF5" s="167" t="s">
        <v>317</v>
      </c>
      <c r="CI5" s="81" t="s">
        <v>320</v>
      </c>
      <c r="CJ5" s="239">
        <f t="shared" si="1"/>
        <v>5.7315667361027681E-2</v>
      </c>
      <c r="CK5" s="239">
        <f t="shared" si="2"/>
        <v>0.33700000000000002</v>
      </c>
      <c r="CL5" s="239">
        <f t="shared" si="3"/>
        <v>5.8500000000000003E-2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W5" s="245" t="s">
        <v>460</v>
      </c>
      <c r="CX5" s="246" t="s">
        <v>461</v>
      </c>
      <c r="CY5" s="246" t="s">
        <v>318</v>
      </c>
      <c r="CZ5" s="247">
        <f>CQ11</f>
        <v>0.96399999999999997</v>
      </c>
      <c r="DA5" s="245" t="s">
        <v>317</v>
      </c>
    </row>
    <row r="6" spans="2:105" ht="15" customHeight="1" thickTop="1" thickBot="1" x14ac:dyDescent="0.3">
      <c r="B6" s="193" t="s">
        <v>34</v>
      </c>
      <c r="C6" s="195">
        <f>'Tabula data'!B4</f>
        <v>225.9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0.13333333333333333</v>
      </c>
      <c r="H6" s="176"/>
      <c r="I6" s="180">
        <f>'Tabula data'!B21*'Tabula Ref2'!D45</f>
        <v>4.2</v>
      </c>
      <c r="K6" s="81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19.486299247454621</v>
      </c>
      <c r="P6" s="207" t="s">
        <v>26</v>
      </c>
      <c r="Q6" s="30">
        <f t="shared" ref="Q6:Q27" si="7">VLOOKUP(N6,$X$5:$AA$392,4,0)</f>
        <v>0.18334883383860953</v>
      </c>
      <c r="R6" s="30">
        <f t="shared" ref="R6:R27" si="8">Q6*O6</f>
        <v>3.5727902428509792</v>
      </c>
      <c r="S6" s="30">
        <f t="shared" ref="S6:S14" si="9">VLOOKUP(N6,$X$5:$AE$392,8,0)*O6</f>
        <v>8855868.2683134116</v>
      </c>
      <c r="T6" s="30">
        <f t="shared" ref="T6:T14" si="10">S6/O6</f>
        <v>454466.4</v>
      </c>
      <c r="U6" s="30">
        <f t="shared" ref="U6:U14" si="11">VLOOKUP(N6,$X$5:$AG$391,10,0)*O6</f>
        <v>7889612.839309427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SUM(O10:O13)/SUM($O$6:$O$14,$O$26:$O$27)</f>
        <v>5.7315667361027681E-2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5.7315667361027681E-2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290</v>
      </c>
      <c r="BV6" s="166">
        <v>0.105</v>
      </c>
      <c r="BW6" s="81">
        <v>2755.29</v>
      </c>
      <c r="BX6" s="81" t="s">
        <v>384</v>
      </c>
      <c r="BY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0.152</v>
      </c>
      <c r="CF6" s="167" t="s">
        <v>317</v>
      </c>
      <c r="CI6" s="81" t="s">
        <v>321</v>
      </c>
      <c r="CJ6" s="239">
        <f t="shared" si="1"/>
        <v>0.27547911233205047</v>
      </c>
      <c r="CK6" s="239">
        <f t="shared" si="2"/>
        <v>0.10299999999999999</v>
      </c>
      <c r="CL6" s="239">
        <f t="shared" si="3"/>
        <v>0.152</v>
      </c>
      <c r="CO6" s="243" t="s">
        <v>373</v>
      </c>
      <c r="CP6" s="243" t="s">
        <v>383</v>
      </c>
      <c r="CQ6" s="244">
        <v>290</v>
      </c>
      <c r="CR6" s="244">
        <v>0.112</v>
      </c>
      <c r="CS6" s="243">
        <v>2599.9299999999998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1.39</v>
      </c>
      <c r="DA6" s="245" t="s">
        <v>317</v>
      </c>
    </row>
    <row r="7" spans="2:105" ht="15" customHeight="1" thickTop="1" thickBot="1" x14ac:dyDescent="0.3">
      <c r="B7" s="178" t="s">
        <v>42</v>
      </c>
      <c r="C7" s="183">
        <f>'Tabula data'!B14</f>
        <v>75.699999999999989</v>
      </c>
      <c r="D7" s="189" t="s">
        <v>9</v>
      </c>
      <c r="E7" s="178" t="s">
        <v>43</v>
      </c>
      <c r="F7" s="176" t="s">
        <v>36</v>
      </c>
      <c r="G7" s="179">
        <f t="shared" si="6"/>
        <v>0.1253968253968254</v>
      </c>
      <c r="H7" s="176"/>
      <c r="I7" s="180">
        <f>'Tabula data'!B22*'Tabula Ref2'!D45</f>
        <v>3.95</v>
      </c>
      <c r="K7" s="81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0</v>
      </c>
      <c r="P7" s="211" t="s">
        <v>39</v>
      </c>
      <c r="Q7" s="30">
        <f t="shared" si="7"/>
        <v>0.18334883383860953</v>
      </c>
      <c r="R7" s="30">
        <f t="shared" si="8"/>
        <v>0</v>
      </c>
      <c r="S7" s="30">
        <f t="shared" si="9"/>
        <v>0</v>
      </c>
      <c r="T7" s="30" t="e">
        <f t="shared" si="10"/>
        <v>#DIV/0!</v>
      </c>
      <c r="U7" s="30">
        <f t="shared" si="11"/>
        <v>0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SUM(O14)/SUM(O6:O14,O27,O26)</f>
        <v>0.27547911233205047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0.27547911233205047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286</v>
      </c>
      <c r="BV7" s="166">
        <v>5.2200000000000003E-2</v>
      </c>
      <c r="BW7" s="81">
        <v>5486.87</v>
      </c>
      <c r="BX7" s="81" t="s">
        <v>384</v>
      </c>
      <c r="BY7" s="81" t="s">
        <v>385</v>
      </c>
      <c r="CA7" s="167"/>
      <c r="CB7" s="167"/>
      <c r="CC7" s="167"/>
      <c r="CD7" s="168"/>
      <c r="CE7" s="161"/>
      <c r="CF7" s="167"/>
      <c r="CJ7" s="240"/>
      <c r="CK7" s="240"/>
      <c r="CL7" s="240"/>
      <c r="CO7" s="243" t="s">
        <v>373</v>
      </c>
      <c r="CP7" s="243" t="s">
        <v>386</v>
      </c>
      <c r="CQ7" s="244">
        <v>286</v>
      </c>
      <c r="CR7" s="244">
        <v>5.8000000000000003E-2</v>
      </c>
      <c r="CS7" s="243">
        <v>4938.09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47">
        <f t="shared" si="12"/>
        <v>1.27</v>
      </c>
      <c r="DA7" s="245" t="s">
        <v>317</v>
      </c>
    </row>
    <row r="8" spans="2:105" ht="15" customHeight="1" thickTop="1" thickBot="1" x14ac:dyDescent="0.3">
      <c r="B8" s="178" t="s">
        <v>47</v>
      </c>
      <c r="C8" s="183">
        <f>C6-C7</f>
        <v>150.20000000000002</v>
      </c>
      <c r="D8" s="176" t="s">
        <v>9</v>
      </c>
      <c r="E8" s="178" t="s">
        <v>48</v>
      </c>
      <c r="F8" s="176" t="s">
        <v>36</v>
      </c>
      <c r="G8" s="179">
        <f t="shared" si="6"/>
        <v>0.12857142857142856</v>
      </c>
      <c r="H8" s="176"/>
      <c r="I8" s="180">
        <f>'Tabula data'!B23*D45</f>
        <v>4.05</v>
      </c>
      <c r="K8" s="81" t="s">
        <v>44</v>
      </c>
      <c r="L8" s="208">
        <v>0</v>
      </c>
      <c r="M8" s="209">
        <v>1</v>
      </c>
      <c r="N8" s="209" t="s">
        <v>25</v>
      </c>
      <c r="O8" s="210">
        <f>O6</f>
        <v>19.486299247454621</v>
      </c>
      <c r="P8" s="211" t="s">
        <v>45</v>
      </c>
      <c r="Q8" s="30">
        <f t="shared" si="7"/>
        <v>0.18334883383860953</v>
      </c>
      <c r="R8" s="30">
        <f t="shared" si="8"/>
        <v>3.5727902428509792</v>
      </c>
      <c r="S8" s="30">
        <f t="shared" si="9"/>
        <v>8855868.2683134116</v>
      </c>
      <c r="T8" s="30">
        <f t="shared" si="10"/>
        <v>454466.4</v>
      </c>
      <c r="U8" s="30">
        <f t="shared" si="11"/>
        <v>7889612.839309427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295</v>
      </c>
      <c r="BV8" s="166">
        <v>8.5800000000000001E-2</v>
      </c>
      <c r="BW8" s="81">
        <v>3431.93</v>
      </c>
      <c r="BX8" s="81" t="s">
        <v>384</v>
      </c>
      <c r="BY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161">
        <f>BU19</f>
        <v>2910000</v>
      </c>
      <c r="CF8" s="167" t="s">
        <v>317</v>
      </c>
      <c r="CI8" s="81" t="s">
        <v>322</v>
      </c>
      <c r="CJ8" s="241">
        <f t="shared" si="1"/>
        <v>1095632.3788579016</v>
      </c>
      <c r="CK8" s="241">
        <f t="shared" si="2"/>
        <v>2900000</v>
      </c>
      <c r="CL8" s="241">
        <f t="shared" si="3"/>
        <v>2910000</v>
      </c>
      <c r="CO8" s="243" t="s">
        <v>373</v>
      </c>
      <c r="CP8" s="243" t="s">
        <v>387</v>
      </c>
      <c r="CQ8" s="244">
        <v>295</v>
      </c>
      <c r="CR8" s="244">
        <v>7.0999999999999994E-2</v>
      </c>
      <c r="CS8" s="243">
        <v>4146.3999999999996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47">
        <f t="shared" si="12"/>
        <v>0.89100000000000001</v>
      </c>
      <c r="DA8" s="245" t="s">
        <v>317</v>
      </c>
    </row>
    <row r="9" spans="2:105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0.11269841269841269</v>
      </c>
      <c r="H9" s="176"/>
      <c r="I9" s="180">
        <f>'Tabula data'!B24*'Tabula Ref2'!D45</f>
        <v>3.55</v>
      </c>
      <c r="K9" s="81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0</v>
      </c>
      <c r="P9" s="211" t="s">
        <v>50</v>
      </c>
      <c r="Q9" s="30">
        <f t="shared" si="7"/>
        <v>0.18334883383860953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223"/>
      <c r="X9" s="175"/>
      <c r="Y9" s="176" t="s">
        <v>508</v>
      </c>
      <c r="Z9" s="176">
        <v>0.26</v>
      </c>
      <c r="AA9" s="176">
        <v>0.04</v>
      </c>
      <c r="AB9" s="176">
        <v>80</v>
      </c>
      <c r="AC9" s="176">
        <v>840</v>
      </c>
      <c r="AD9" s="227">
        <f>Z9/AA9</f>
        <v>6.5</v>
      </c>
      <c r="AE9" s="177">
        <f>Z9*AB9*AC9</f>
        <v>17472</v>
      </c>
      <c r="AF9" s="222"/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1095632.3788579016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1095632.3788579016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288</v>
      </c>
      <c r="BV9" s="166">
        <v>0.16300000000000001</v>
      </c>
      <c r="BW9" s="81">
        <v>1771.76</v>
      </c>
      <c r="BX9" s="81" t="s">
        <v>384</v>
      </c>
      <c r="BY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161">
        <f t="shared" ref="CE9:CE10" si="13">BU20</f>
        <v>95200000</v>
      </c>
      <c r="CF9" s="167" t="s">
        <v>317</v>
      </c>
      <c r="CI9" s="81" t="s">
        <v>323</v>
      </c>
      <c r="CJ9" s="241">
        <f t="shared" si="1"/>
        <v>15779225.678618854</v>
      </c>
      <c r="CK9" s="241">
        <f t="shared" si="2"/>
        <v>50500000</v>
      </c>
      <c r="CL9" s="241">
        <f t="shared" si="3"/>
        <v>95200000</v>
      </c>
      <c r="CO9" s="243" t="s">
        <v>373</v>
      </c>
      <c r="CP9" s="243" t="s">
        <v>388</v>
      </c>
      <c r="CQ9" s="244">
        <v>288</v>
      </c>
      <c r="CR9" s="244">
        <v>0.13500000000000001</v>
      </c>
      <c r="CS9" s="243">
        <v>2128.44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47">
        <f t="shared" si="12"/>
        <v>2.1</v>
      </c>
      <c r="DA9" s="245" t="s">
        <v>317</v>
      </c>
    </row>
    <row r="10" spans="2:105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0.13333333333333333</v>
      </c>
      <c r="H10" s="176"/>
      <c r="I10" s="185">
        <f>'Tabula data'!B21*(1-D45)</f>
        <v>4.2</v>
      </c>
      <c r="K10" s="81" t="s">
        <v>53</v>
      </c>
      <c r="L10" s="208">
        <v>0</v>
      </c>
      <c r="M10" s="209">
        <v>1</v>
      </c>
      <c r="N10" s="209" t="s">
        <v>54</v>
      </c>
      <c r="O10" s="210">
        <f>I6</f>
        <v>4.2</v>
      </c>
      <c r="P10" s="211" t="s">
        <v>26</v>
      </c>
      <c r="Q10" s="30">
        <f t="shared" si="7"/>
        <v>1.1000000000000001</v>
      </c>
      <c r="R10" s="30">
        <f t="shared" si="8"/>
        <v>4.620000000000001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75"/>
      <c r="Y10" s="184" t="s">
        <v>55</v>
      </c>
      <c r="Z10" s="176">
        <v>2.5000000000000001E-2</v>
      </c>
      <c r="AA10" s="176">
        <v>0.11</v>
      </c>
      <c r="AB10" s="176">
        <v>550</v>
      </c>
      <c r="AC10" s="176">
        <v>1880</v>
      </c>
      <c r="AD10" s="227">
        <f>Z10/AA10</f>
        <v>0.22727272727272729</v>
      </c>
      <c r="AE10" s="177">
        <f>Z10*AB10*AC10</f>
        <v>25850</v>
      </c>
      <c r="AF10" s="228" t="s">
        <v>270</v>
      </c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15779225.678618854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4">AP10</f>
        <v>15779225.678618854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5">BE19</f>
        <v>50500000</v>
      </c>
      <c r="BQ10" s="167" t="s">
        <v>317</v>
      </c>
      <c r="BS10" s="81" t="s">
        <v>373</v>
      </c>
      <c r="BT10" s="81" t="s">
        <v>389</v>
      </c>
      <c r="BU10" s="166">
        <v>288</v>
      </c>
      <c r="BV10" s="166">
        <v>6.7900000000000002E-2</v>
      </c>
      <c r="BW10" s="81">
        <v>4246.6099999999997</v>
      </c>
      <c r="BX10" s="81" t="s">
        <v>384</v>
      </c>
      <c r="BY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161">
        <f t="shared" si="13"/>
        <v>22100000</v>
      </c>
      <c r="CF10" s="167" t="s">
        <v>317</v>
      </c>
      <c r="CI10" s="81" t="s">
        <v>324</v>
      </c>
      <c r="CJ10" s="241">
        <f t="shared" si="1"/>
        <v>10325428.003634144</v>
      </c>
      <c r="CK10" s="241">
        <f t="shared" si="2"/>
        <v>32700000</v>
      </c>
      <c r="CL10" s="241">
        <f t="shared" si="3"/>
        <v>22100000</v>
      </c>
      <c r="CO10" s="243" t="s">
        <v>373</v>
      </c>
      <c r="CP10" s="243" t="s">
        <v>389</v>
      </c>
      <c r="CQ10" s="244">
        <v>288</v>
      </c>
      <c r="CR10" s="244">
        <v>5.8500000000000003E-2</v>
      </c>
      <c r="CS10" s="243">
        <v>4927.58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1.24</v>
      </c>
      <c r="DA10" s="245" t="s">
        <v>317</v>
      </c>
    </row>
    <row r="11" spans="2:105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0.1253968253968254</v>
      </c>
      <c r="H11" s="176"/>
      <c r="I11" s="185">
        <f>'Tabula data'!B22*(1-'Tabula Ref2'!D45)</f>
        <v>3.95</v>
      </c>
      <c r="K11" s="81" t="s">
        <v>57</v>
      </c>
      <c r="L11" s="208">
        <v>0</v>
      </c>
      <c r="M11" s="209">
        <v>1</v>
      </c>
      <c r="N11" s="209" t="s">
        <v>54</v>
      </c>
      <c r="O11" s="210">
        <f>I7</f>
        <v>3.95</v>
      </c>
      <c r="P11" s="211" t="s">
        <v>39</v>
      </c>
      <c r="Q11" s="30">
        <f t="shared" si="7"/>
        <v>1.1000000000000001</v>
      </c>
      <c r="R11" s="30">
        <f t="shared" si="8"/>
        <v>4.3450000000000006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87"/>
      <c r="Y11" s="174" t="s">
        <v>433</v>
      </c>
      <c r="Z11" s="174">
        <v>0.02</v>
      </c>
      <c r="AA11" s="174">
        <v>0.6</v>
      </c>
      <c r="AB11" s="174">
        <v>975</v>
      </c>
      <c r="AC11" s="174">
        <v>840</v>
      </c>
      <c r="AD11" s="229">
        <f>Z11/AA11</f>
        <v>3.3333333333333333E-2</v>
      </c>
      <c r="AE11" s="192">
        <f>Z11*AB11*AC11</f>
        <v>16380</v>
      </c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SUM(U27)</f>
        <v>10325428.003634144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4"/>
        <v>10325428.003634144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5"/>
        <v>32700000</v>
      </c>
      <c r="BQ11" s="167" t="s">
        <v>317</v>
      </c>
      <c r="BS11" s="81" t="s">
        <v>373</v>
      </c>
      <c r="BT11" s="81" t="s">
        <v>390</v>
      </c>
      <c r="BU11" s="166">
        <v>0.22</v>
      </c>
      <c r="BV11" s="166">
        <v>7.8100000000000001E-4</v>
      </c>
      <c r="BW11" s="81">
        <v>281.52</v>
      </c>
      <c r="BX11" s="81" t="s">
        <v>384</v>
      </c>
      <c r="BY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161">
        <f>BU17</f>
        <v>995000000</v>
      </c>
      <c r="CF11" s="167" t="s">
        <v>317</v>
      </c>
      <c r="CI11" s="81" t="s">
        <v>325</v>
      </c>
      <c r="CJ11" s="241">
        <f t="shared" si="1"/>
        <v>8399671.9999999981</v>
      </c>
      <c r="CK11" s="241">
        <f t="shared" si="2"/>
        <v>14000000</v>
      </c>
      <c r="CL11" s="241">
        <f t="shared" si="3"/>
        <v>995000000</v>
      </c>
      <c r="CO11" s="243" t="s">
        <v>373</v>
      </c>
      <c r="CP11" s="243" t="s">
        <v>442</v>
      </c>
      <c r="CQ11" s="244">
        <v>0.96399999999999997</v>
      </c>
      <c r="CR11" s="244">
        <v>2.3300000000000001E-2</v>
      </c>
      <c r="CS11" s="243">
        <v>41.35</v>
      </c>
      <c r="CT11" s="243" t="s">
        <v>420</v>
      </c>
      <c r="CU11" s="244">
        <v>2E-16</v>
      </c>
      <c r="CV11" s="81" t="s">
        <v>385</v>
      </c>
      <c r="CW11" s="245" t="s">
        <v>460</v>
      </c>
      <c r="CX11" s="249" t="s">
        <v>467</v>
      </c>
      <c r="CY11" s="246" t="s">
        <v>318</v>
      </c>
      <c r="CZ11" s="247">
        <f t="shared" si="12"/>
        <v>2.57</v>
      </c>
      <c r="DA11" s="245" t="s">
        <v>317</v>
      </c>
    </row>
    <row r="12" spans="2:105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0.12857142857142856</v>
      </c>
      <c r="H12" s="176"/>
      <c r="I12" s="185">
        <f>'Tabula data'!B23*(1-'Tabula Ref2'!D45)</f>
        <v>4.05</v>
      </c>
      <c r="K12" s="81" t="s">
        <v>59</v>
      </c>
      <c r="L12" s="208">
        <v>0</v>
      </c>
      <c r="M12" s="209">
        <v>1</v>
      </c>
      <c r="N12" s="209" t="s">
        <v>54</v>
      </c>
      <c r="O12" s="210">
        <f>I8</f>
        <v>4.05</v>
      </c>
      <c r="P12" s="211" t="s">
        <v>45</v>
      </c>
      <c r="Q12" s="30">
        <f t="shared" si="7"/>
        <v>1.1000000000000001</v>
      </c>
      <c r="R12" s="30">
        <f t="shared" si="8"/>
        <v>4.4550000000000001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X12" s="176"/>
      <c r="Y12" s="176"/>
      <c r="Z12" s="230"/>
      <c r="AA12" s="230"/>
      <c r="AB12" s="230"/>
      <c r="AC12" s="176"/>
      <c r="AD12" s="227"/>
      <c r="AE12" s="176"/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8399671.9999999981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4"/>
        <v>8399671.9999999981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0.45400000000000001</v>
      </c>
      <c r="BV12" s="166">
        <v>1.67E-3</v>
      </c>
      <c r="BW12" s="81">
        <v>272.11</v>
      </c>
      <c r="BX12" s="81" t="s">
        <v>384</v>
      </c>
      <c r="BY12" s="81" t="s">
        <v>385</v>
      </c>
      <c r="CA12" s="167"/>
      <c r="CB12" s="167"/>
      <c r="CC12" s="167"/>
      <c r="CD12" s="168"/>
      <c r="CE12" s="161"/>
      <c r="CF12" s="167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1.39</v>
      </c>
      <c r="CR12" s="244">
        <v>9.4399999999999998E-2</v>
      </c>
      <c r="CS12" s="243">
        <v>14.76</v>
      </c>
      <c r="CT12" s="243" t="s">
        <v>420</v>
      </c>
      <c r="CU12" s="244">
        <v>2E-16</v>
      </c>
      <c r="CV12" s="81" t="s">
        <v>385</v>
      </c>
      <c r="CW12" s="245" t="s">
        <v>460</v>
      </c>
      <c r="CX12" s="248" t="s">
        <v>468</v>
      </c>
      <c r="CY12" s="246" t="s">
        <v>318</v>
      </c>
      <c r="CZ12" s="247">
        <f t="shared" si="12"/>
        <v>2.04</v>
      </c>
      <c r="DA12" s="245" t="s">
        <v>317</v>
      </c>
    </row>
    <row r="13" spans="2:105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0.11269841269841269</v>
      </c>
      <c r="H13" s="176"/>
      <c r="I13" s="185">
        <f>'Tabula data'!B24*(1-'Tabula Ref2'!D45)</f>
        <v>3.55</v>
      </c>
      <c r="K13" s="81" t="s">
        <v>60</v>
      </c>
      <c r="L13" s="208">
        <v>0</v>
      </c>
      <c r="M13" s="209">
        <v>1</v>
      </c>
      <c r="N13" s="209" t="s">
        <v>54</v>
      </c>
      <c r="O13" s="210">
        <f>I9</f>
        <v>3.55</v>
      </c>
      <c r="P13" s="211" t="s">
        <v>50</v>
      </c>
      <c r="Q13" s="30">
        <f t="shared" si="7"/>
        <v>1.1000000000000001</v>
      </c>
      <c r="R13" s="30">
        <f t="shared" si="8"/>
        <v>3.9050000000000002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Z13" s="221" t="s">
        <v>4</v>
      </c>
      <c r="AA13" s="221">
        <v>2.2000000000000002</v>
      </c>
      <c r="AB13" s="221" t="s">
        <v>5</v>
      </c>
      <c r="AF13" s="222"/>
      <c r="AG13" s="222"/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5.8500000000000003E-2</v>
      </c>
      <c r="BV13" s="166">
        <v>7.0000000000000001E-3</v>
      </c>
      <c r="BW13" s="81">
        <v>8.35</v>
      </c>
      <c r="BX13" s="81" t="s">
        <v>384</v>
      </c>
      <c r="BY13" s="81" t="s">
        <v>385</v>
      </c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BU27</f>
        <v>8.2900000000000001E-2</v>
      </c>
      <c r="CF13" s="167" t="s">
        <v>317</v>
      </c>
      <c r="CI13" s="81" t="s">
        <v>326</v>
      </c>
      <c r="CJ13" s="239">
        <f t="shared" si="1"/>
        <v>4.2547437933887731E-2</v>
      </c>
      <c r="CK13" s="239">
        <f t="shared" si="2"/>
        <v>0.128</v>
      </c>
      <c r="CL13" s="239">
        <f t="shared" si="3"/>
        <v>8.2900000000000001E-2</v>
      </c>
      <c r="CO13" s="243" t="s">
        <v>373</v>
      </c>
      <c r="CP13" s="243" t="s">
        <v>443</v>
      </c>
      <c r="CQ13" s="244">
        <v>1.27</v>
      </c>
      <c r="CR13" s="244">
        <v>1.09E-2</v>
      </c>
      <c r="CS13" s="243">
        <v>117.01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1.1100000000000001</v>
      </c>
      <c r="DA13" s="245" t="s">
        <v>317</v>
      </c>
    </row>
    <row r="14" spans="2:105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s="81" t="s">
        <v>61</v>
      </c>
      <c r="L14" s="208" t="s">
        <v>62</v>
      </c>
      <c r="M14" s="209">
        <v>1</v>
      </c>
      <c r="N14" s="209" t="s">
        <v>63</v>
      </c>
      <c r="O14" s="210">
        <f>C7</f>
        <v>75.699999999999989</v>
      </c>
      <c r="P14" s="211"/>
      <c r="Q14" s="30">
        <f t="shared" si="7"/>
        <v>0.17975604536700196</v>
      </c>
      <c r="R14" s="30">
        <f t="shared" si="8"/>
        <v>13.607532634282046</v>
      </c>
      <c r="S14" s="30">
        <f t="shared" si="9"/>
        <v>28847188.249999996</v>
      </c>
      <c r="T14" s="30">
        <f t="shared" si="10"/>
        <v>381072.5</v>
      </c>
      <c r="U14" s="30">
        <f t="shared" si="11"/>
        <v>8399671.9999999981</v>
      </c>
      <c r="V14" s="31"/>
      <c r="W14" s="223"/>
      <c r="X14" s="216" t="s">
        <v>64</v>
      </c>
      <c r="Y14" s="217"/>
      <c r="Z14" s="218" t="s">
        <v>21</v>
      </c>
      <c r="AA14" s="219">
        <f>1/(1/8+SUM(AD16:AD20)+1/23)</f>
        <v>0.18334883383860953</v>
      </c>
      <c r="AB14" s="217" t="s">
        <v>5</v>
      </c>
      <c r="AC14" s="217"/>
      <c r="AD14" s="217" t="s">
        <v>22</v>
      </c>
      <c r="AE14" s="220">
        <f>SUM(AE16:AE21)</f>
        <v>454466.4</v>
      </c>
      <c r="AF14" s="222" t="s">
        <v>23</v>
      </c>
      <c r="AG14" s="222">
        <f>SUM(AE19:AE20)</f>
        <v>404880</v>
      </c>
      <c r="AH14" s="222"/>
      <c r="AM14" s="158" t="s">
        <v>314</v>
      </c>
      <c r="AN14" s="81" t="s">
        <v>315</v>
      </c>
      <c r="AO14" s="81" t="s">
        <v>326</v>
      </c>
      <c r="AP14" s="81">
        <f>AP4*0.3</f>
        <v>4.2547437933887731E-2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4.2547437933887731E-2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0.152</v>
      </c>
      <c r="BV14" s="166">
        <v>3.9300000000000001E-4</v>
      </c>
      <c r="BW14" s="81">
        <v>386.97</v>
      </c>
      <c r="BX14" s="81" t="s">
        <v>384</v>
      </c>
      <c r="BY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 t="shared" ref="CE14:CE16" si="16">BU28</f>
        <v>0.16500000000000001</v>
      </c>
      <c r="CF14" s="167" t="s">
        <v>317</v>
      </c>
      <c r="CI14" s="81" t="s">
        <v>327</v>
      </c>
      <c r="CJ14" s="239">
        <f t="shared" si="1"/>
        <v>7.4970394458573661E-2</v>
      </c>
      <c r="CK14" s="239">
        <f t="shared" si="2"/>
        <v>0.23499999999999999</v>
      </c>
      <c r="CL14" s="239">
        <f t="shared" si="3"/>
        <v>0.16500000000000001</v>
      </c>
      <c r="CO14" s="243" t="s">
        <v>373</v>
      </c>
      <c r="CP14" s="243" t="s">
        <v>444</v>
      </c>
      <c r="CQ14" s="244">
        <v>0.89100000000000001</v>
      </c>
      <c r="CR14" s="244">
        <v>1.9800000000000002E-2</v>
      </c>
      <c r="CS14" s="243">
        <v>44.94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4.0099999999999997E-6</v>
      </c>
      <c r="DA14" s="245" t="s">
        <v>317</v>
      </c>
    </row>
    <row r="15" spans="2:105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s="81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0.14117683417924493</v>
      </c>
      <c r="R15" s="30">
        <f t="shared" si="8"/>
        <v>0</v>
      </c>
      <c r="S15" s="30">
        <f>VLOOKUP(N15,$X$5:$AE$392,8,0)*O25</f>
        <v>8586180</v>
      </c>
      <c r="T15" s="30">
        <f>S15/O25</f>
        <v>95402</v>
      </c>
      <c r="U15" s="30">
        <f>VLOOKUP(N15,$X$5:$AG$391,10,0)*O25</f>
        <v>3800700</v>
      </c>
      <c r="V15" s="31"/>
      <c r="W15" s="223"/>
      <c r="X15" s="224"/>
      <c r="Y15" s="225" t="s">
        <v>27</v>
      </c>
      <c r="Z15" s="225" t="s">
        <v>28</v>
      </c>
      <c r="AA15" s="225" t="s">
        <v>29</v>
      </c>
      <c r="AB15" s="225" t="s">
        <v>30</v>
      </c>
      <c r="AC15" s="225" t="s">
        <v>31</v>
      </c>
      <c r="AD15" s="225" t="s">
        <v>32</v>
      </c>
      <c r="AE15" s="226" t="s">
        <v>33</v>
      </c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AP5*0.3</f>
        <v>7.4970394458573661E-2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7.4970394458573661E-2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7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7.9000000000000001E-2</v>
      </c>
      <c r="BV15" s="166">
        <v>5.5000000000000003E-4</v>
      </c>
      <c r="BW15" s="81">
        <v>143.72</v>
      </c>
      <c r="BX15" s="81" t="s">
        <v>384</v>
      </c>
      <c r="BY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 t="shared" si="16"/>
        <v>0.71599999999999997</v>
      </c>
      <c r="CF15" s="167" t="s">
        <v>317</v>
      </c>
      <c r="CI15" s="81" t="s">
        <v>328</v>
      </c>
      <c r="CJ15" s="239">
        <f t="shared" si="1"/>
        <v>0.71719470020830822</v>
      </c>
      <c r="CK15" s="239">
        <f t="shared" si="2"/>
        <v>0.53700000000000003</v>
      </c>
      <c r="CL15" s="239">
        <f t="shared" si="3"/>
        <v>0.71599999999999997</v>
      </c>
      <c r="CO15" s="243" t="s">
        <v>373</v>
      </c>
      <c r="CP15" s="243" t="s">
        <v>445</v>
      </c>
      <c r="CQ15" s="244">
        <v>2.1</v>
      </c>
      <c r="CR15" s="244">
        <v>4.2999999999999997E-2</v>
      </c>
      <c r="CS15" s="243">
        <v>48.9</v>
      </c>
      <c r="CT15" s="243" t="s">
        <v>420</v>
      </c>
      <c r="CU15" s="244">
        <v>2E-16</v>
      </c>
      <c r="CV15" s="81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3.0199999999999999E-5</v>
      </c>
      <c r="DA15" s="245" t="s">
        <v>317</v>
      </c>
    </row>
    <row r="16" spans="2:105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1.9235294117647057</v>
      </c>
      <c r="H16" s="184" t="s">
        <v>70</v>
      </c>
      <c r="I16" s="177"/>
      <c r="K16" s="81" t="s">
        <v>67</v>
      </c>
      <c r="L16" s="208">
        <v>0</v>
      </c>
      <c r="M16" s="209">
        <v>1</v>
      </c>
      <c r="N16" s="209" t="s">
        <v>68</v>
      </c>
      <c r="O16" s="210">
        <f>'Tabula data'!B20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7" si="18">VLOOKUP(N16,$X$5:$AE$392,8,0)*O16</f>
        <v>346940</v>
      </c>
      <c r="T16" s="30">
        <f t="shared" ref="T16:T27" si="19">S16/O16</f>
        <v>36520</v>
      </c>
      <c r="U16" s="30">
        <f t="shared" ref="U16:U27" si="20">VLOOKUP(N16,$X$5:$AG$391,10,0)*O16</f>
        <v>1631910</v>
      </c>
      <c r="V16" s="31"/>
      <c r="W16" s="223"/>
      <c r="X16" s="175"/>
      <c r="Y16" s="176"/>
      <c r="Z16" s="176"/>
      <c r="AA16" s="176"/>
      <c r="AB16" s="176"/>
      <c r="AC16" s="184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AP6*0.3+0.7</f>
        <v>0.71719470020830822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0.71719470020830822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7"/>
        <v>0.53700000000000003</v>
      </c>
      <c r="BQ16" s="167" t="s">
        <v>317</v>
      </c>
      <c r="BS16" s="81" t="s">
        <v>373</v>
      </c>
      <c r="BT16" s="81" t="s">
        <v>303</v>
      </c>
      <c r="BU16" s="166">
        <v>537000000</v>
      </c>
      <c r="BV16" s="166">
        <v>49100000</v>
      </c>
      <c r="BW16" s="81">
        <v>10.92</v>
      </c>
      <c r="BX16" s="81" t="s">
        <v>384</v>
      </c>
      <c r="BY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 t="shared" si="16"/>
        <v>5.5E-2</v>
      </c>
      <c r="CF16" s="167" t="s">
        <v>317</v>
      </c>
      <c r="CI16" s="81" t="s">
        <v>329</v>
      </c>
      <c r="CJ16" s="239">
        <f t="shared" si="1"/>
        <v>8.2643733699615141E-2</v>
      </c>
      <c r="CK16" s="239">
        <f t="shared" si="2"/>
        <v>7.7399999999999997E-2</v>
      </c>
      <c r="CL16" s="239">
        <f t="shared" si="3"/>
        <v>5.5E-2</v>
      </c>
      <c r="CO16" s="243" t="s">
        <v>373</v>
      </c>
      <c r="CP16" s="243" t="s">
        <v>337</v>
      </c>
      <c r="CQ16" s="244">
        <v>1.24</v>
      </c>
      <c r="CR16" s="244">
        <v>0.154</v>
      </c>
      <c r="CS16" s="243">
        <v>8.08</v>
      </c>
      <c r="CT16" s="244">
        <v>6.7000000000000004E-16</v>
      </c>
      <c r="CU16" s="243" t="s">
        <v>385</v>
      </c>
      <c r="CW16" s="245" t="s">
        <v>460</v>
      </c>
      <c r="CX16" s="250" t="s">
        <v>472</v>
      </c>
      <c r="CY16" s="246" t="s">
        <v>318</v>
      </c>
      <c r="CZ16" s="247">
        <f t="shared" si="12"/>
        <v>0.434</v>
      </c>
      <c r="DA16" s="245" t="s">
        <v>317</v>
      </c>
    </row>
    <row r="17" spans="2:105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1.4298362107127047</v>
      </c>
      <c r="H17" s="184"/>
      <c r="I17" s="177"/>
      <c r="K17" s="81" t="s">
        <v>71</v>
      </c>
      <c r="L17" s="208">
        <v>0</v>
      </c>
      <c r="M17" s="209">
        <v>2</v>
      </c>
      <c r="N17" s="209" t="s">
        <v>25</v>
      </c>
      <c r="O17" s="210">
        <f>'Tabula data'!B10*'Tabula Ref2'!D42/2*(1-'Tabula Ref2'!D43)</f>
        <v>38.663700752545374</v>
      </c>
      <c r="P17" s="211" t="s">
        <v>26</v>
      </c>
      <c r="Q17" s="30">
        <f t="shared" si="7"/>
        <v>0.18334883383860953</v>
      </c>
      <c r="R17" s="30">
        <f t="shared" si="8"/>
        <v>7.0889444448641639</v>
      </c>
      <c r="S17" s="30">
        <f t="shared" si="18"/>
        <v>17571352.891686589</v>
      </c>
      <c r="T17" s="30">
        <f t="shared" si="19"/>
        <v>454466.4</v>
      </c>
      <c r="U17" s="30">
        <f t="shared" si="20"/>
        <v>15654159.16069057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2"/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AP7*0.3</f>
        <v>8.2643733699615141E-2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8.2643733699615141E-2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7"/>
        <v>7.7399999999999997E-2</v>
      </c>
      <c r="BQ17" s="167" t="s">
        <v>317</v>
      </c>
      <c r="BS17" s="81" t="s">
        <v>373</v>
      </c>
      <c r="BT17" s="81" t="s">
        <v>299</v>
      </c>
      <c r="BU17" s="166">
        <v>995000000</v>
      </c>
      <c r="BV17" s="166">
        <v>18600000</v>
      </c>
      <c r="BW17" s="81">
        <v>53.42</v>
      </c>
      <c r="BX17" s="81" t="s">
        <v>384</v>
      </c>
      <c r="BY17" s="81" t="s">
        <v>385</v>
      </c>
      <c r="CA17" s="167"/>
      <c r="CB17" s="167"/>
      <c r="CC17" s="167"/>
      <c r="CD17" s="168"/>
      <c r="CE17" s="161"/>
      <c r="CF17" s="167"/>
      <c r="CJ17" s="240"/>
      <c r="CK17" s="240"/>
      <c r="CL17" s="240"/>
      <c r="CO17" s="243" t="s">
        <v>373</v>
      </c>
      <c r="CP17" s="243" t="s">
        <v>446</v>
      </c>
      <c r="CQ17" s="244">
        <v>2.57</v>
      </c>
      <c r="CR17" s="244">
        <v>2.3699999999999999E-2</v>
      </c>
      <c r="CS17" s="243">
        <v>108.65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0.72799999999999998</v>
      </c>
      <c r="DA17" s="245" t="s">
        <v>317</v>
      </c>
    </row>
    <row r="18" spans="2:105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1.4298362107127047</v>
      </c>
      <c r="H18" s="184"/>
      <c r="I18" s="177"/>
      <c r="K18" s="81" t="s">
        <v>75</v>
      </c>
      <c r="L18" s="208">
        <v>0</v>
      </c>
      <c r="M18" s="209">
        <v>2</v>
      </c>
      <c r="N18" s="209" t="s">
        <v>25</v>
      </c>
      <c r="O18" s="210">
        <f>'Tabula data'!B10*(1-'Tabula Ref2'!D42)/2*(1-'Tabula Ref2'!D44)</f>
        <v>0</v>
      </c>
      <c r="P18" s="211" t="s">
        <v>39</v>
      </c>
      <c r="Q18" s="30">
        <f t="shared" si="7"/>
        <v>0.18334883383860953</v>
      </c>
      <c r="R18" s="30">
        <f t="shared" si="8"/>
        <v>0</v>
      </c>
      <c r="S18" s="30">
        <f t="shared" si="18"/>
        <v>0</v>
      </c>
      <c r="T18" s="30" t="e">
        <f t="shared" si="19"/>
        <v>#DIV/0!</v>
      </c>
      <c r="U18" s="30">
        <f t="shared" si="20"/>
        <v>0</v>
      </c>
      <c r="V18" s="31"/>
      <c r="W18" s="223"/>
      <c r="X18" s="175"/>
      <c r="Y18" s="172" t="s">
        <v>280</v>
      </c>
      <c r="Z18" s="243">
        <v>0.12</v>
      </c>
      <c r="AA18" s="172">
        <v>2.4E-2</v>
      </c>
      <c r="AB18" s="172">
        <v>26</v>
      </c>
      <c r="AC18" s="172">
        <v>1470</v>
      </c>
      <c r="AD18" s="227">
        <f>Z18/AA18</f>
        <v>5</v>
      </c>
      <c r="AE18" s="177">
        <f>Z18*AB18*AC18</f>
        <v>4586.4000000000005</v>
      </c>
      <c r="AF18" s="228" t="s">
        <v>271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>
        <v>21</v>
      </c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BU32</f>
        <v>505</v>
      </c>
      <c r="CF18" s="167" t="s">
        <v>317</v>
      </c>
      <c r="CI18" s="81" t="s">
        <v>330</v>
      </c>
      <c r="CJ18" s="242">
        <f t="shared" si="1"/>
        <v>14.230658371585116</v>
      </c>
      <c r="CK18" s="242">
        <f t="shared" si="2"/>
        <v>958</v>
      </c>
      <c r="CL18" s="242">
        <f t="shared" si="3"/>
        <v>505</v>
      </c>
      <c r="CO18" s="243" t="s">
        <v>373</v>
      </c>
      <c r="CP18" s="243" t="s">
        <v>447</v>
      </c>
      <c r="CQ18" s="244">
        <v>2.04</v>
      </c>
      <c r="CR18" s="244">
        <v>4.7500000000000001E-2</v>
      </c>
      <c r="CS18" s="243">
        <v>42.91</v>
      </c>
      <c r="CT18" s="243" t="s">
        <v>420</v>
      </c>
      <c r="CU18" s="244">
        <v>2E-16</v>
      </c>
      <c r="CV18" s="81" t="s">
        <v>385</v>
      </c>
      <c r="CW18" s="245" t="s">
        <v>460</v>
      </c>
      <c r="CX18" s="250" t="s">
        <v>474</v>
      </c>
      <c r="CY18" s="246" t="s">
        <v>318</v>
      </c>
      <c r="CZ18" s="247">
        <f t="shared" si="12"/>
        <v>5.7500000000000002E-5</v>
      </c>
      <c r="DA18" s="245" t="s">
        <v>317</v>
      </c>
    </row>
    <row r="19" spans="2:105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s="81" t="s">
        <v>79</v>
      </c>
      <c r="L19" s="208">
        <v>0</v>
      </c>
      <c r="M19" s="209">
        <v>2</v>
      </c>
      <c r="N19" s="209" t="s">
        <v>25</v>
      </c>
      <c r="O19" s="210">
        <f>'Tabula data'!B10*'Tabula Ref2'!D42/2*(1-'Tabula Ref2'!D43)</f>
        <v>38.663700752545374</v>
      </c>
      <c r="P19" s="211" t="s">
        <v>45</v>
      </c>
      <c r="Q19" s="30">
        <f t="shared" si="7"/>
        <v>0.18334883383860953</v>
      </c>
      <c r="R19" s="30">
        <f t="shared" si="8"/>
        <v>7.0889444448641639</v>
      </c>
      <c r="S19" s="30">
        <f t="shared" si="18"/>
        <v>17571352.891686589</v>
      </c>
      <c r="T19" s="30">
        <f t="shared" si="19"/>
        <v>454466.4</v>
      </c>
      <c r="U19" s="30">
        <f t="shared" si="20"/>
        <v>15654159.16069057</v>
      </c>
      <c r="V19" s="31"/>
      <c r="W19" s="223"/>
      <c r="X19" s="175"/>
      <c r="Y19" s="184" t="s">
        <v>76</v>
      </c>
      <c r="Z19" s="176">
        <v>0.25</v>
      </c>
      <c r="AA19" s="176">
        <v>1.1000000000000001</v>
      </c>
      <c r="AB19" s="176">
        <v>1850</v>
      </c>
      <c r="AC19" s="184">
        <v>840</v>
      </c>
      <c r="AD19" s="227">
        <f>Z19/AA19</f>
        <v>0.22727272727272727</v>
      </c>
      <c r="AE19" s="177">
        <f>Z19*AB19*AC19</f>
        <v>388500</v>
      </c>
      <c r="AF19" s="222" t="s">
        <v>272</v>
      </c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SUM(O6:O9)*(1/(SUM(AD18:AD19)*0.5+1/8))</f>
        <v>14.230658371585116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14.230658371585116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395</v>
      </c>
      <c r="BU19" s="166">
        <v>2910000</v>
      </c>
      <c r="BV19" s="166">
        <v>32100</v>
      </c>
      <c r="BW19" s="81">
        <v>90.66</v>
      </c>
      <c r="BX19" s="81" t="s">
        <v>384</v>
      </c>
      <c r="BY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 t="shared" ref="CE19:CE21" si="21">BU33</f>
        <v>194</v>
      </c>
      <c r="CF19" s="167" t="s">
        <v>317</v>
      </c>
      <c r="CI19" s="81" t="s">
        <v>331</v>
      </c>
      <c r="CJ19" s="242">
        <f t="shared" si="1"/>
        <v>435.53424657534242</v>
      </c>
      <c r="CK19" s="242">
        <f t="shared" si="2"/>
        <v>737</v>
      </c>
      <c r="CL19" s="242">
        <f t="shared" si="3"/>
        <v>194</v>
      </c>
      <c r="CO19" s="243" t="s">
        <v>373</v>
      </c>
      <c r="CP19" s="243" t="s">
        <v>448</v>
      </c>
      <c r="CQ19" s="244">
        <v>1.1100000000000001</v>
      </c>
      <c r="CR19" s="244">
        <v>0.14199999999999999</v>
      </c>
      <c r="CS19" s="243">
        <v>7.79</v>
      </c>
      <c r="CT19" s="244">
        <v>7.1000000000000002E-15</v>
      </c>
      <c r="CU19" s="243" t="s">
        <v>385</v>
      </c>
      <c r="CW19" s="245" t="s">
        <v>460</v>
      </c>
      <c r="CX19" s="248" t="s">
        <v>475</v>
      </c>
      <c r="CY19" s="246" t="s">
        <v>318</v>
      </c>
      <c r="CZ19" s="247">
        <f t="shared" si="12"/>
        <v>0.86599999999999999</v>
      </c>
      <c r="DA19" s="245" t="s">
        <v>317</v>
      </c>
    </row>
    <row r="20" spans="2:105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0.1394422310756972</v>
      </c>
      <c r="H20" s="184"/>
      <c r="I20" s="177"/>
      <c r="K20" s="81" t="s">
        <v>82</v>
      </c>
      <c r="L20" s="208">
        <v>0</v>
      </c>
      <c r="M20" s="209">
        <v>2</v>
      </c>
      <c r="N20" s="209" t="s">
        <v>25</v>
      </c>
      <c r="O20" s="210">
        <f>'Tabula data'!B10*(1-'Tabula Ref2'!D42)/2*(1-'Tabula Ref2'!D44)</f>
        <v>0</v>
      </c>
      <c r="P20" s="211" t="s">
        <v>50</v>
      </c>
      <c r="Q20" s="30">
        <f t="shared" si="7"/>
        <v>0.18334883383860953</v>
      </c>
      <c r="R20" s="30">
        <f t="shared" si="8"/>
        <v>0</v>
      </c>
      <c r="S20" s="30">
        <f t="shared" si="18"/>
        <v>0</v>
      </c>
      <c r="T20" s="30" t="e">
        <f t="shared" si="19"/>
        <v>#DIV/0!</v>
      </c>
      <c r="U20" s="30">
        <f t="shared" si="20"/>
        <v>0</v>
      </c>
      <c r="V20" s="31"/>
      <c r="W20" s="223"/>
      <c r="X20" s="187"/>
      <c r="Y20" s="174" t="s">
        <v>273</v>
      </c>
      <c r="Z20" s="174">
        <v>0.02</v>
      </c>
      <c r="AA20" s="174">
        <v>0.6</v>
      </c>
      <c r="AB20" s="174">
        <v>975</v>
      </c>
      <c r="AC20" s="174">
        <v>840</v>
      </c>
      <c r="AD20" s="229">
        <f>Z20/AA20</f>
        <v>3.3333333333333333E-2</v>
      </c>
      <c r="AE20" s="192">
        <f>Z20*AB20*AC20</f>
        <v>16380</v>
      </c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SUM(O14)*1/(0.5*SUM(AD42:AD43)+1/6)</f>
        <v>435.53424657534242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22">AP20</f>
        <v>435.53424657534242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3">BE32</f>
        <v>737</v>
      </c>
      <c r="BQ20" s="167" t="s">
        <v>317</v>
      </c>
      <c r="BS20" s="81" t="s">
        <v>373</v>
      </c>
      <c r="BT20" s="81" t="s">
        <v>296</v>
      </c>
      <c r="BU20" s="166">
        <v>95200000</v>
      </c>
      <c r="BV20" s="166">
        <v>2180000</v>
      </c>
      <c r="BW20" s="81">
        <v>43.68</v>
      </c>
      <c r="BX20" s="81" t="s">
        <v>384</v>
      </c>
      <c r="BY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 t="shared" si="21"/>
        <v>644</v>
      </c>
      <c r="CF20" s="167" t="s">
        <v>317</v>
      </c>
      <c r="CI20" s="81" t="s">
        <v>332</v>
      </c>
      <c r="CJ20" s="242">
        <f t="shared" si="1"/>
        <v>0</v>
      </c>
      <c r="CK20" s="242">
        <f t="shared" si="2"/>
        <v>2190</v>
      </c>
      <c r="CL20" s="242">
        <f t="shared" si="3"/>
        <v>644</v>
      </c>
      <c r="CO20" s="243" t="s">
        <v>373</v>
      </c>
      <c r="CP20" s="243" t="s">
        <v>338</v>
      </c>
      <c r="CQ20" s="244">
        <v>4.0099999999999997E-6</v>
      </c>
      <c r="CR20" s="244">
        <v>3.9900000000000001E-5</v>
      </c>
      <c r="CS20" s="243">
        <v>0.1</v>
      </c>
      <c r="CT20" s="243">
        <v>0.91996999999999995</v>
      </c>
      <c r="CW20" s="245" t="s">
        <v>460</v>
      </c>
      <c r="CX20" s="249" t="s">
        <v>476</v>
      </c>
      <c r="CY20" s="246" t="s">
        <v>318</v>
      </c>
      <c r="CZ20" s="247">
        <f t="shared" si="12"/>
        <v>0.67800000000000005</v>
      </c>
      <c r="DA20" s="245" t="s">
        <v>317</v>
      </c>
    </row>
    <row r="21" spans="2:105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0.1394422310756972</v>
      </c>
      <c r="H21" s="184"/>
      <c r="I21" s="177"/>
      <c r="K21" s="81" t="s">
        <v>84</v>
      </c>
      <c r="L21" s="208">
        <v>0</v>
      </c>
      <c r="M21" s="209">
        <v>2</v>
      </c>
      <c r="N21" s="209" t="s">
        <v>54</v>
      </c>
      <c r="O21" s="210">
        <f>I10</f>
        <v>4.2</v>
      </c>
      <c r="P21" s="211" t="s">
        <v>26</v>
      </c>
      <c r="Q21" s="30">
        <f t="shared" si="7"/>
        <v>1.1000000000000001</v>
      </c>
      <c r="R21" s="30">
        <f t="shared" si="8"/>
        <v>4.620000000000001</v>
      </c>
      <c r="S21" s="30">
        <f t="shared" si="18"/>
        <v>0</v>
      </c>
      <c r="T21" s="30">
        <f t="shared" si="19"/>
        <v>0</v>
      </c>
      <c r="U21" s="30">
        <f t="shared" si="20"/>
        <v>0</v>
      </c>
      <c r="V21" s="31"/>
      <c r="W21" s="223"/>
      <c r="AF21" s="222"/>
      <c r="AG21" s="222"/>
      <c r="AH21" s="222"/>
      <c r="AM21" s="158" t="s">
        <v>314</v>
      </c>
      <c r="AN21" s="81" t="s">
        <v>315</v>
      </c>
      <c r="AO21" s="81" t="s">
        <v>332</v>
      </c>
      <c r="AP21" s="81">
        <f>4*AA21*O27</f>
        <v>0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22"/>
        <v>0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3"/>
        <v>2190</v>
      </c>
      <c r="BQ21" s="167" t="s">
        <v>317</v>
      </c>
      <c r="BS21" s="81" t="s">
        <v>373</v>
      </c>
      <c r="BT21" s="81" t="s">
        <v>298</v>
      </c>
      <c r="BU21" s="166">
        <v>22100000</v>
      </c>
      <c r="BV21" s="166">
        <v>378000</v>
      </c>
      <c r="BW21" s="81">
        <v>58.53</v>
      </c>
      <c r="BX21" s="81" t="s">
        <v>384</v>
      </c>
      <c r="BY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 t="shared" si="21"/>
        <v>260</v>
      </c>
      <c r="CF21" s="167" t="s">
        <v>317</v>
      </c>
      <c r="CI21" s="81" t="s">
        <v>333</v>
      </c>
      <c r="CJ21" s="242">
        <f t="shared" si="1"/>
        <v>44.741837671536075</v>
      </c>
      <c r="CK21" s="242">
        <f t="shared" si="2"/>
        <v>251</v>
      </c>
      <c r="CL21" s="242">
        <f t="shared" si="3"/>
        <v>260</v>
      </c>
      <c r="CO21" s="243" t="s">
        <v>373</v>
      </c>
      <c r="CP21" s="243" t="s">
        <v>449</v>
      </c>
      <c r="CQ21" s="244">
        <v>3.0199999999999999E-5</v>
      </c>
      <c r="CR21" s="244">
        <v>3.1399999999999999E-4</v>
      </c>
      <c r="CS21" s="243">
        <v>0.1</v>
      </c>
      <c r="CT21" s="243">
        <v>0.92342000000000002</v>
      </c>
      <c r="CW21" s="245" t="s">
        <v>460</v>
      </c>
      <c r="CX21" s="249" t="s">
        <v>477</v>
      </c>
      <c r="CY21" s="246" t="s">
        <v>318</v>
      </c>
      <c r="CZ21" s="247">
        <f t="shared" si="12"/>
        <v>0.34599999999999997</v>
      </c>
      <c r="DA21" s="245" t="s">
        <v>317</v>
      </c>
    </row>
    <row r="22" spans="2:105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9.7523219814241488E-2</v>
      </c>
      <c r="H22" s="176"/>
      <c r="I22" s="177"/>
      <c r="K22" s="81" t="s">
        <v>87</v>
      </c>
      <c r="L22" s="208">
        <v>0</v>
      </c>
      <c r="M22" s="209">
        <v>2</v>
      </c>
      <c r="N22" s="209" t="s">
        <v>54</v>
      </c>
      <c r="O22" s="210">
        <f>I11</f>
        <v>3.95</v>
      </c>
      <c r="P22" s="211" t="s">
        <v>39</v>
      </c>
      <c r="Q22" s="30">
        <f t="shared" si="7"/>
        <v>1.1000000000000001</v>
      </c>
      <c r="R22" s="30">
        <f t="shared" si="8"/>
        <v>4.3450000000000006</v>
      </c>
      <c r="S22" s="30">
        <f t="shared" si="18"/>
        <v>0</v>
      </c>
      <c r="T22" s="30">
        <f t="shared" si="19"/>
        <v>0</v>
      </c>
      <c r="U22" s="30">
        <f t="shared" si="20"/>
        <v>0</v>
      </c>
      <c r="V22" s="31"/>
      <c r="W22" s="223"/>
      <c r="X22" s="216" t="s">
        <v>85</v>
      </c>
      <c r="Y22" s="217"/>
      <c r="Z22" s="218" t="s">
        <v>21</v>
      </c>
      <c r="AA22" s="219">
        <f>(1/(1/8+SUM(AD24:AD26)+1/8))</f>
        <v>1.9926199261992623</v>
      </c>
      <c r="AB22" s="217" t="s">
        <v>5</v>
      </c>
      <c r="AC22" s="217"/>
      <c r="AD22" s="217" t="s">
        <v>22</v>
      </c>
      <c r="AE22" s="220">
        <f>SUM(AE24:AE27)</f>
        <v>150360</v>
      </c>
      <c r="AF22" s="222" t="s">
        <v>23</v>
      </c>
      <c r="AG22" s="222">
        <f>SUM(AE24:AE26)</f>
        <v>150360</v>
      </c>
      <c r="AH22" s="222"/>
      <c r="AM22" s="158" t="s">
        <v>314</v>
      </c>
      <c r="AN22" s="81" t="s">
        <v>315</v>
      </c>
      <c r="AO22" s="81" t="s">
        <v>333</v>
      </c>
      <c r="AP22" s="152">
        <f>'Verwarming Tabula 2zone'!B60+SUM(R10:R13)</f>
        <v>44.741837671536075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22"/>
        <v>44.741837671536075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3"/>
        <v>251</v>
      </c>
      <c r="BQ22" s="167" t="s">
        <v>317</v>
      </c>
      <c r="BS22" s="81" t="s">
        <v>373</v>
      </c>
      <c r="BT22" s="81" t="s">
        <v>396</v>
      </c>
      <c r="BU22" s="166">
        <v>-8.51</v>
      </c>
      <c r="BV22" s="166">
        <v>0.16800000000000001</v>
      </c>
      <c r="BW22" s="81">
        <v>-50.8</v>
      </c>
      <c r="BX22" s="81" t="s">
        <v>384</v>
      </c>
      <c r="BY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1/BU41</f>
        <v>1992.0318725099603</v>
      </c>
      <c r="CF22" s="167" t="s">
        <v>317</v>
      </c>
      <c r="CI22" s="81" t="s">
        <v>334</v>
      </c>
      <c r="CJ22" s="242">
        <f t="shared" si="1"/>
        <v>14.530549193843035</v>
      </c>
      <c r="CK22" s="242">
        <f t="shared" si="2"/>
        <v>884.95575221238948</v>
      </c>
      <c r="CL22" s="242">
        <f t="shared" si="3"/>
        <v>1992.0318725099603</v>
      </c>
      <c r="CO22" s="243" t="s">
        <v>373</v>
      </c>
      <c r="CP22" s="243" t="s">
        <v>450</v>
      </c>
      <c r="CQ22" s="244">
        <v>0.434</v>
      </c>
      <c r="CR22" s="244">
        <v>0.153</v>
      </c>
      <c r="CS22" s="243">
        <v>2.83</v>
      </c>
      <c r="CT22" s="243">
        <v>4.64E-3</v>
      </c>
      <c r="CU22" s="243" t="s">
        <v>398</v>
      </c>
      <c r="CW22" s="245" t="s">
        <v>460</v>
      </c>
      <c r="CX22" s="249" t="s">
        <v>478</v>
      </c>
      <c r="CY22" s="246" t="s">
        <v>318</v>
      </c>
      <c r="CZ22" s="247">
        <f t="shared" si="12"/>
        <v>0.17599999999999999</v>
      </c>
      <c r="DA22" s="245" t="s">
        <v>317</v>
      </c>
    </row>
    <row r="23" spans="2:105" ht="15" customHeight="1" thickTop="1" thickBot="1" x14ac:dyDescent="0.3">
      <c r="B23" s="193" t="s">
        <v>91</v>
      </c>
      <c r="C23" s="195">
        <f>C17+C6</f>
        <v>225.9</v>
      </c>
      <c r="D23" s="194" t="s">
        <v>9</v>
      </c>
      <c r="E23" s="175"/>
      <c r="F23" s="176"/>
      <c r="G23" s="176"/>
      <c r="H23" s="176"/>
      <c r="I23" s="177"/>
      <c r="K23" s="81" t="s">
        <v>89</v>
      </c>
      <c r="L23" s="208">
        <v>0</v>
      </c>
      <c r="M23" s="209">
        <v>2</v>
      </c>
      <c r="N23" s="209" t="s">
        <v>54</v>
      </c>
      <c r="O23" s="210">
        <f>I12</f>
        <v>4.05</v>
      </c>
      <c r="P23" s="211" t="s">
        <v>45</v>
      </c>
      <c r="Q23" s="30">
        <f t="shared" si="7"/>
        <v>1.1000000000000001</v>
      </c>
      <c r="R23" s="30">
        <f t="shared" si="8"/>
        <v>4.4550000000000001</v>
      </c>
      <c r="S23" s="30">
        <f t="shared" si="18"/>
        <v>0</v>
      </c>
      <c r="T23" s="30">
        <f t="shared" si="19"/>
        <v>0</v>
      </c>
      <c r="U23" s="30">
        <f t="shared" si="20"/>
        <v>0</v>
      </c>
      <c r="V23" s="31"/>
      <c r="W23" s="223"/>
      <c r="X23" s="224"/>
      <c r="Y23" s="225" t="s">
        <v>27</v>
      </c>
      <c r="Z23" s="225" t="s">
        <v>28</v>
      </c>
      <c r="AA23" s="225" t="s">
        <v>29</v>
      </c>
      <c r="AB23" s="225" t="s">
        <v>30</v>
      </c>
      <c r="AC23" s="225" t="s">
        <v>31</v>
      </c>
      <c r="AD23" s="225" t="s">
        <v>32</v>
      </c>
      <c r="AE23" s="226" t="s">
        <v>33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SUM(O6:O9)*1/(SUM(AD15:AD17)+0.5*SUM(AD18:AD19)+1/23)</f>
        <v>14.530549193843035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22"/>
        <v>14.530549193843035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397</v>
      </c>
      <c r="BU23" s="166">
        <v>-16.7</v>
      </c>
      <c r="BV23" s="166">
        <v>5.94</v>
      </c>
      <c r="BW23" s="81">
        <v>-2.81</v>
      </c>
      <c r="BX23" s="81">
        <v>4.8999999999999998E-3</v>
      </c>
      <c r="BY23" s="81" t="s">
        <v>398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BU44</f>
        <v>530</v>
      </c>
      <c r="CF23" s="167" t="s">
        <v>317</v>
      </c>
      <c r="CI23" s="81" t="s">
        <v>335</v>
      </c>
      <c r="CJ23" s="242">
        <f t="shared" si="1"/>
        <v>13.874754527602006</v>
      </c>
      <c r="CK23" s="242">
        <f t="shared" si="2"/>
        <v>301</v>
      </c>
      <c r="CL23" s="242">
        <f t="shared" si="3"/>
        <v>530</v>
      </c>
      <c r="CO23" s="243" t="s">
        <v>373</v>
      </c>
      <c r="CP23" s="243" t="s">
        <v>451</v>
      </c>
      <c r="CQ23" s="244">
        <v>0.72799999999999998</v>
      </c>
      <c r="CR23" s="244">
        <v>1.06E-2</v>
      </c>
      <c r="CS23" s="243">
        <v>68.58</v>
      </c>
      <c r="CT23" s="243" t="s">
        <v>420</v>
      </c>
      <c r="CU23" s="244">
        <v>2E-16</v>
      </c>
      <c r="CV23" s="81" t="s">
        <v>385</v>
      </c>
      <c r="CW23" s="245" t="s">
        <v>460</v>
      </c>
      <c r="CX23" s="248" t="s">
        <v>479</v>
      </c>
      <c r="CY23" s="246" t="s">
        <v>318</v>
      </c>
      <c r="CZ23" s="247">
        <f t="shared" si="12"/>
        <v>0.46800000000000003</v>
      </c>
      <c r="DA23" s="245" t="s">
        <v>317</v>
      </c>
    </row>
    <row r="24" spans="2:105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0.66489597166888015</v>
      </c>
      <c r="H24" s="176"/>
      <c r="I24" s="177"/>
      <c r="K24" s="81" t="s">
        <v>92</v>
      </c>
      <c r="L24" s="208">
        <v>0</v>
      </c>
      <c r="M24" s="209">
        <v>2</v>
      </c>
      <c r="N24" s="209" t="s">
        <v>54</v>
      </c>
      <c r="O24" s="210">
        <f>I13</f>
        <v>3.55</v>
      </c>
      <c r="P24" s="211" t="s">
        <v>50</v>
      </c>
      <c r="Q24" s="30">
        <f t="shared" si="7"/>
        <v>1.1000000000000001</v>
      </c>
      <c r="R24" s="30">
        <f t="shared" si="8"/>
        <v>3.9050000000000002</v>
      </c>
      <c r="S24" s="30">
        <f t="shared" si="18"/>
        <v>0</v>
      </c>
      <c r="T24" s="30">
        <f t="shared" si="19"/>
        <v>0</v>
      </c>
      <c r="U24" s="30">
        <f t="shared" si="20"/>
        <v>0</v>
      </c>
      <c r="V24" s="31"/>
      <c r="W24" s="223"/>
      <c r="X24" s="175"/>
      <c r="Y24" s="176" t="s">
        <v>433</v>
      </c>
      <c r="Z24" s="176">
        <v>0.02</v>
      </c>
      <c r="AA24" s="176">
        <v>0.6</v>
      </c>
      <c r="AB24" s="176">
        <v>975</v>
      </c>
      <c r="AC24" s="176">
        <v>840</v>
      </c>
      <c r="AD24" s="227">
        <f>Z24/AA24</f>
        <v>3.3333333333333333E-2</v>
      </c>
      <c r="AE24" s="177">
        <f>Z24*AB24*AC24</f>
        <v>16380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SUM(O14)*1/(SUM(AD44:AD46)+0.5*SUM(AD42:AD43))</f>
        <v>13.874754527602006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22"/>
        <v>13.874754527602006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399</v>
      </c>
      <c r="BU24" s="166">
        <v>-12.4</v>
      </c>
      <c r="BV24" s="166">
        <v>4.4400000000000004</v>
      </c>
      <c r="BW24" s="81">
        <v>-2.8</v>
      </c>
      <c r="BX24" s="81">
        <v>5.1000000000000004E-3</v>
      </c>
      <c r="BY24" s="81" t="s">
        <v>398</v>
      </c>
      <c r="CA24" s="167"/>
      <c r="CB24" s="167"/>
      <c r="CC24" s="167"/>
      <c r="CD24" s="168"/>
      <c r="CE24" s="161"/>
      <c r="CF24" s="167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5.7500000000000002E-5</v>
      </c>
      <c r="CR24" s="244">
        <v>2.0100000000000001E-4</v>
      </c>
      <c r="CS24" s="243">
        <v>0.28999999999999998</v>
      </c>
      <c r="CT24" s="243">
        <v>0.77483000000000002</v>
      </c>
      <c r="CW24" s="245" t="s">
        <v>460</v>
      </c>
      <c r="CX24" s="246" t="s">
        <v>480</v>
      </c>
      <c r="CY24" s="246" t="s">
        <v>318</v>
      </c>
      <c r="CZ24" s="247">
        <f t="shared" si="12"/>
        <v>0.314</v>
      </c>
      <c r="DA24" s="245" t="s">
        <v>317</v>
      </c>
    </row>
    <row r="25" spans="2:105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s="81" t="s">
        <v>96</v>
      </c>
      <c r="L25" s="208">
        <v>0</v>
      </c>
      <c r="M25" s="209">
        <v>2</v>
      </c>
      <c r="N25" s="209" t="s">
        <v>20</v>
      </c>
      <c r="O25" s="210">
        <f>'Tabula data'!B7</f>
        <v>90</v>
      </c>
      <c r="P25" s="211" t="s">
        <v>97</v>
      </c>
      <c r="Q25" s="30">
        <f t="shared" si="7"/>
        <v>0.14117683417924493</v>
      </c>
      <c r="R25" s="30">
        <f t="shared" si="8"/>
        <v>12.705915076132044</v>
      </c>
      <c r="S25" s="30">
        <f t="shared" si="18"/>
        <v>8586180</v>
      </c>
      <c r="T25" s="30">
        <f t="shared" si="19"/>
        <v>95402</v>
      </c>
      <c r="U25" s="30">
        <f t="shared" si="20"/>
        <v>3800700</v>
      </c>
      <c r="V25" s="31"/>
      <c r="W25" s="223"/>
      <c r="X25" s="175"/>
      <c r="Y25" s="176" t="s">
        <v>434</v>
      </c>
      <c r="Z25" s="176">
        <v>0.1</v>
      </c>
      <c r="AA25" s="176">
        <v>0.54</v>
      </c>
      <c r="AB25" s="176">
        <v>1400</v>
      </c>
      <c r="AC25" s="176">
        <v>840</v>
      </c>
      <c r="AD25" s="227">
        <f>Z25/AA25</f>
        <v>0.18518518518518517</v>
      </c>
      <c r="AE25" s="177">
        <f>Z25*AB25*AC25</f>
        <v>117600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L25" s="167"/>
      <c r="BM25" s="167"/>
      <c r="BN25" s="167"/>
      <c r="BO25" s="168"/>
      <c r="BP25" s="161"/>
      <c r="BQ25" s="167"/>
      <c r="BS25" s="81" t="s">
        <v>373</v>
      </c>
      <c r="BT25" s="81" t="s">
        <v>400</v>
      </c>
      <c r="BU25" s="166">
        <v>-17.8</v>
      </c>
      <c r="BV25" s="166">
        <v>5.5</v>
      </c>
      <c r="BW25" s="81">
        <v>-3.24</v>
      </c>
      <c r="BX25" s="81">
        <v>1.1999999999999999E-3</v>
      </c>
      <c r="BY25" s="81" t="s">
        <v>398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BU53</f>
        <v>0.42799999999999999</v>
      </c>
      <c r="CF25" s="167" t="s">
        <v>317</v>
      </c>
      <c r="CI25" s="81" t="s">
        <v>336</v>
      </c>
      <c r="CJ25" s="239">
        <f t="shared" si="1"/>
        <v>0.42357982007761802</v>
      </c>
      <c r="CK25" s="239">
        <f t="shared" si="2"/>
        <v>0.01</v>
      </c>
      <c r="CL25" s="239">
        <f t="shared" si="3"/>
        <v>0.42799999999999999</v>
      </c>
      <c r="CO25" s="243" t="s">
        <v>373</v>
      </c>
      <c r="CP25" s="243" t="s">
        <v>453</v>
      </c>
      <c r="CQ25" s="244">
        <v>0.86599999999999999</v>
      </c>
      <c r="CR25" s="244">
        <v>5.5900000000000004E-3</v>
      </c>
      <c r="CS25" s="243">
        <v>155.02000000000001</v>
      </c>
      <c r="CT25" s="243" t="s">
        <v>420</v>
      </c>
      <c r="CU25" s="244">
        <v>2E-16</v>
      </c>
      <c r="CV25" s="81" t="s">
        <v>385</v>
      </c>
      <c r="CY25" s="246"/>
    </row>
    <row r="26" spans="2:105" ht="15" customHeight="1" thickTop="1" thickBot="1" x14ac:dyDescent="0.3">
      <c r="B26" s="193" t="s">
        <v>100</v>
      </c>
      <c r="C26" s="199">
        <f>'Tabula data'!B6</f>
        <v>323</v>
      </c>
      <c r="D26" s="198" t="s">
        <v>9</v>
      </c>
      <c r="E26" s="175"/>
      <c r="F26" s="176"/>
      <c r="G26" s="176"/>
      <c r="H26" s="176"/>
      <c r="I26" s="177"/>
      <c r="K26" s="81" t="s">
        <v>98</v>
      </c>
      <c r="L26" s="208">
        <v>1</v>
      </c>
      <c r="M26" s="209">
        <v>2</v>
      </c>
      <c r="N26" s="209" t="s">
        <v>99</v>
      </c>
      <c r="O26" s="210">
        <f>O14</f>
        <v>75.699999999999989</v>
      </c>
      <c r="P26" s="211"/>
      <c r="Q26" s="30">
        <f t="shared" si="7"/>
        <v>1.2141280353200883</v>
      </c>
      <c r="R26" s="30">
        <f t="shared" si="8"/>
        <v>91.909492273730663</v>
      </c>
      <c r="S26" s="30">
        <f t="shared" si="18"/>
        <v>4370917.9999999991</v>
      </c>
      <c r="T26" s="30">
        <f t="shared" si="19"/>
        <v>57740</v>
      </c>
      <c r="U26" s="30">
        <f t="shared" si="20"/>
        <v>4370917.9999999991</v>
      </c>
      <c r="V26" s="31"/>
      <c r="W26" s="223"/>
      <c r="X26" s="187"/>
      <c r="Y26" s="174" t="s">
        <v>433</v>
      </c>
      <c r="Z26" s="174">
        <v>0.02</v>
      </c>
      <c r="AA26" s="174">
        <v>0.6</v>
      </c>
      <c r="AB26" s="174">
        <v>975</v>
      </c>
      <c r="AC26" s="174">
        <v>840</v>
      </c>
      <c r="AD26" s="229">
        <f>Z26/AA26</f>
        <v>3.3333333333333333E-2</v>
      </c>
      <c r="AE26" s="192">
        <f>Z26*AB26*AC26</f>
        <v>16380</v>
      </c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SUM(O17:O20,O25)/SUM(O$17:O$25,O$28,O$26)</f>
        <v>0.42357982007761802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0.42357982007761802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401</v>
      </c>
      <c r="BU26" s="166">
        <v>-18.8</v>
      </c>
      <c r="BV26" s="166">
        <v>6.12</v>
      </c>
      <c r="BW26" s="81">
        <v>-3.06</v>
      </c>
      <c r="BX26" s="81">
        <v>2.2000000000000001E-3</v>
      </c>
      <c r="BY26" s="81" t="s">
        <v>398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 t="shared" ref="CE26:CE27" si="24">BU54</f>
        <v>0.161</v>
      </c>
      <c r="CF26" s="167" t="s">
        <v>317</v>
      </c>
      <c r="CI26" s="81" t="s">
        <v>337</v>
      </c>
      <c r="CJ26" s="239">
        <f t="shared" si="1"/>
        <v>0.34491969525777277</v>
      </c>
      <c r="CK26" s="239">
        <f t="shared" si="2"/>
        <v>1.0200000000000001E-2</v>
      </c>
      <c r="CL26" s="239">
        <f t="shared" si="3"/>
        <v>0.161</v>
      </c>
      <c r="CO26" s="243" t="s">
        <v>373</v>
      </c>
      <c r="CP26" s="243" t="s">
        <v>454</v>
      </c>
      <c r="CQ26" s="244">
        <v>0.67800000000000005</v>
      </c>
      <c r="CR26" s="244">
        <v>9.7000000000000003E-3</v>
      </c>
      <c r="CS26" s="243">
        <v>69.86</v>
      </c>
      <c r="CT26" s="243" t="s">
        <v>420</v>
      </c>
      <c r="CU26" s="244">
        <v>2E-16</v>
      </c>
      <c r="CV26" s="81" t="s">
        <v>385</v>
      </c>
      <c r="CX26" s="246"/>
      <c r="CY26" s="246"/>
      <c r="CZ26" s="247"/>
    </row>
    <row r="27" spans="2:105" ht="15" customHeight="1" thickTop="1" thickBot="1" x14ac:dyDescent="0.3">
      <c r="B27" s="175"/>
      <c r="C27" s="191">
        <f>SUM(O6:O25)</f>
        <v>323</v>
      </c>
      <c r="D27" s="177" t="s">
        <v>70</v>
      </c>
      <c r="E27" s="175"/>
      <c r="F27" s="176"/>
      <c r="G27" s="176"/>
      <c r="H27" s="176"/>
      <c r="I27" s="177"/>
      <c r="K27" s="81" t="s">
        <v>101</v>
      </c>
      <c r="L27" s="208">
        <v>1</v>
      </c>
      <c r="M27" s="209">
        <v>1</v>
      </c>
      <c r="N27" s="209" t="s">
        <v>85</v>
      </c>
      <c r="O27" s="210">
        <f>SUM(O6:O9)+O30/2</f>
        <v>68.671375389958385</v>
      </c>
      <c r="P27" s="211"/>
      <c r="Q27" s="30">
        <f t="shared" si="7"/>
        <v>1.9926199261992623</v>
      </c>
      <c r="R27" s="30">
        <f t="shared" si="8"/>
        <v>136.8359509615407</v>
      </c>
      <c r="S27" s="30">
        <f t="shared" si="18"/>
        <v>10325428.003634144</v>
      </c>
      <c r="T27" s="30">
        <f t="shared" si="19"/>
        <v>150360</v>
      </c>
      <c r="U27" s="30">
        <f t="shared" si="20"/>
        <v>10325428.003634144</v>
      </c>
      <c r="V27" s="31"/>
      <c r="W27" s="223"/>
      <c r="AF27" s="222"/>
      <c r="AG27" s="222"/>
      <c r="AH27" s="222"/>
      <c r="AM27" s="158" t="s">
        <v>314</v>
      </c>
      <c r="AN27" s="81" t="s">
        <v>315</v>
      </c>
      <c r="AO27" s="81" t="s">
        <v>337</v>
      </c>
      <c r="AP27" s="81">
        <f>SUM(O28)/SUM(O$17:O$25,O$28,O$26)</f>
        <v>0.34491969525777277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5">AP27</f>
        <v>0.34491969525777277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6">BE53</f>
        <v>1.0200000000000001E-2</v>
      </c>
      <c r="BQ27" s="167" t="s">
        <v>317</v>
      </c>
      <c r="BS27" s="81" t="s">
        <v>373</v>
      </c>
      <c r="BT27" s="81" t="s">
        <v>402</v>
      </c>
      <c r="BU27" s="166">
        <v>8.2900000000000001E-2</v>
      </c>
      <c r="BV27" s="166">
        <v>2.0799999999999999E-4</v>
      </c>
      <c r="BW27" s="81">
        <v>398.4</v>
      </c>
      <c r="BX27" s="81" t="s">
        <v>384</v>
      </c>
      <c r="BY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 t="shared" si="24"/>
        <v>8.0100000000000005E-2</v>
      </c>
      <c r="CF27" s="167" t="s">
        <v>317</v>
      </c>
      <c r="CI27" s="81" t="s">
        <v>338</v>
      </c>
      <c r="CJ27" s="239">
        <f t="shared" si="1"/>
        <v>3.987023109313937E-2</v>
      </c>
      <c r="CK27" s="239">
        <f t="shared" si="2"/>
        <v>0.69799999999999995</v>
      </c>
      <c r="CL27" s="239">
        <f t="shared" si="3"/>
        <v>8.0100000000000005E-2</v>
      </c>
      <c r="CO27" s="243" t="s">
        <v>373</v>
      </c>
      <c r="CP27" s="243" t="s">
        <v>455</v>
      </c>
      <c r="CQ27" s="244">
        <v>0.34599999999999997</v>
      </c>
      <c r="CR27" s="244">
        <v>1.5299999999999999E-2</v>
      </c>
      <c r="CS27" s="243">
        <v>22.61</v>
      </c>
      <c r="CT27" s="243" t="s">
        <v>420</v>
      </c>
      <c r="CU27" s="244">
        <v>2E-16</v>
      </c>
      <c r="CV27" s="81" t="s">
        <v>385</v>
      </c>
      <c r="CW27" s="245" t="s">
        <v>460</v>
      </c>
      <c r="CX27" s="246" t="s">
        <v>325</v>
      </c>
      <c r="CY27" s="246" t="s">
        <v>318</v>
      </c>
      <c r="CZ27" s="247">
        <f>CQ32</f>
        <v>980000000</v>
      </c>
      <c r="DA27" s="245" t="s">
        <v>317</v>
      </c>
    </row>
    <row r="28" spans="2:105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s="81" t="s">
        <v>102</v>
      </c>
      <c r="L28" s="208">
        <v>2</v>
      </c>
      <c r="M28" s="209">
        <v>2</v>
      </c>
      <c r="N28" s="209" t="s">
        <v>85</v>
      </c>
      <c r="O28" s="210">
        <f>SUM(O17:O20)+O31/2</f>
        <v>136.25416887148947</v>
      </c>
      <c r="P28" s="211"/>
      <c r="Q28" s="30">
        <f>VLOOKUP(N28,$X$5:$AA$392,4,0)</f>
        <v>1.9926199261992623</v>
      </c>
      <c r="R28" s="30">
        <f>Q28*O28</f>
        <v>271.50277192104915</v>
      </c>
      <c r="S28" s="30">
        <f>VLOOKUP(N28,$X$5:$AE$392,8,0)*O28</f>
        <v>20487176.831517156</v>
      </c>
      <c r="T28" s="30">
        <f>S28/O28</f>
        <v>150360</v>
      </c>
      <c r="U28" s="30">
        <f>VLOOKUP(N28,$X$5:$AG$391,10,0)*O28</f>
        <v>20487176.831517156</v>
      </c>
      <c r="V28" s="31"/>
      <c r="W28" s="223"/>
      <c r="X28" s="216" t="s">
        <v>99</v>
      </c>
      <c r="Y28" s="217"/>
      <c r="Z28" s="218" t="s">
        <v>21</v>
      </c>
      <c r="AA28" s="219">
        <f>1/(1/10+SUM(AD30:AD33)+1/6)</f>
        <v>1.2141280353200883</v>
      </c>
      <c r="AB28" s="217" t="s">
        <v>5</v>
      </c>
      <c r="AC28" s="217"/>
      <c r="AD28" s="217" t="s">
        <v>22</v>
      </c>
      <c r="AE28" s="220">
        <f>SUM(AE30:AE34)</f>
        <v>57740</v>
      </c>
      <c r="AF28" s="222" t="s">
        <v>23</v>
      </c>
      <c r="AG28" s="222">
        <f>SUM(AE30:AE33)</f>
        <v>57740</v>
      </c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SUM(O21:O24)/SUM(O$17:O$25,O$28,O$26)</f>
        <v>3.987023109313937E-2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5"/>
        <v>3.987023109313937E-2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6"/>
        <v>0.69799999999999995</v>
      </c>
      <c r="BQ28" s="167" t="s">
        <v>317</v>
      </c>
      <c r="BS28" s="81" t="s">
        <v>373</v>
      </c>
      <c r="BT28" s="81" t="s">
        <v>403</v>
      </c>
      <c r="BU28" s="166">
        <v>0.16500000000000001</v>
      </c>
      <c r="BV28" s="166">
        <v>4.26E-4</v>
      </c>
      <c r="BW28" s="81">
        <v>388.6</v>
      </c>
      <c r="BX28" s="81" t="s">
        <v>384</v>
      </c>
      <c r="BY28" s="81" t="s">
        <v>385</v>
      </c>
      <c r="CA28" s="167"/>
      <c r="CB28" s="167"/>
      <c r="CC28" s="167"/>
      <c r="CD28" s="168"/>
      <c r="CE28" s="161"/>
      <c r="CF28" s="167"/>
      <c r="CJ28" s="240"/>
      <c r="CK28" s="240"/>
      <c r="CL28" s="240"/>
      <c r="CO28" s="243" t="s">
        <v>373</v>
      </c>
      <c r="CP28" s="243" t="s">
        <v>355</v>
      </c>
      <c r="CQ28" s="244">
        <v>0.17599999999999999</v>
      </c>
      <c r="CR28" s="244">
        <v>4.9799999999999997E-2</v>
      </c>
      <c r="CS28" s="243">
        <v>3.55</v>
      </c>
      <c r="CT28" s="243">
        <v>3.8999999999999999E-4</v>
      </c>
      <c r="CU28" s="243" t="s">
        <v>385</v>
      </c>
      <c r="CW28" s="245" t="s">
        <v>460</v>
      </c>
      <c r="CX28" s="249" t="s">
        <v>322</v>
      </c>
      <c r="CY28" s="246" t="s">
        <v>318</v>
      </c>
      <c r="CZ28" s="247">
        <f t="shared" ref="CZ28:CZ30" si="27">CQ33</f>
        <v>2910000</v>
      </c>
      <c r="DA28" s="245" t="s">
        <v>317</v>
      </c>
    </row>
    <row r="29" spans="2:105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08">
        <v>2</v>
      </c>
      <c r="M29" s="209">
        <v>2</v>
      </c>
      <c r="N29" s="209" t="s">
        <v>99</v>
      </c>
      <c r="O29" s="210">
        <f>C8-C7</f>
        <v>74.500000000000028</v>
      </c>
      <c r="P29" s="211"/>
      <c r="Q29" s="30">
        <f t="shared" ref="Q29:Q31" si="28">VLOOKUP(N29,$X$5:$AA$392,4,0)</f>
        <v>1.2141280353200883</v>
      </c>
      <c r="R29" s="30">
        <f t="shared" ref="R29:R31" si="29">Q29*O29</f>
        <v>90.452538631346613</v>
      </c>
      <c r="S29" s="30">
        <f t="shared" ref="S29:S31" si="30">VLOOKUP(N29,$X$5:$AE$392,8,0)*O29</f>
        <v>4301630.0000000019</v>
      </c>
      <c r="T29" s="30">
        <f t="shared" ref="T29:T31" si="31">S29/O29</f>
        <v>57740</v>
      </c>
      <c r="U29" s="30">
        <f t="shared" ref="U29:U31" si="32">VLOOKUP(N29,$X$5:$AG$391,10,0)*O29</f>
        <v>4301630.0000000019</v>
      </c>
      <c r="X29" s="224"/>
      <c r="Y29" s="225" t="s">
        <v>27</v>
      </c>
      <c r="Z29" s="225" t="s">
        <v>28</v>
      </c>
      <c r="AA29" s="225" t="s">
        <v>29</v>
      </c>
      <c r="AB29" s="225" t="s">
        <v>30</v>
      </c>
      <c r="AC29" s="225" t="s">
        <v>31</v>
      </c>
      <c r="AD29" s="225" t="s">
        <v>32</v>
      </c>
      <c r="AE29" s="226" t="s">
        <v>33</v>
      </c>
      <c r="AF29" s="222"/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404</v>
      </c>
      <c r="BU29" s="166">
        <v>0.71599999999999997</v>
      </c>
      <c r="BV29" s="166">
        <v>3.2699999999999999E-3</v>
      </c>
      <c r="BW29" s="81">
        <v>219.17</v>
      </c>
      <c r="BX29" s="81" t="s">
        <v>384</v>
      </c>
      <c r="BY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BU58</f>
        <v>1470000</v>
      </c>
      <c r="CF29" s="167" t="s">
        <v>317</v>
      </c>
      <c r="CI29" s="81" t="s">
        <v>339</v>
      </c>
      <c r="CJ29" s="241">
        <f t="shared" si="1"/>
        <v>2173896.7411420983</v>
      </c>
      <c r="CK29" s="241">
        <f t="shared" si="2"/>
        <v>3800000</v>
      </c>
      <c r="CL29" s="241">
        <f t="shared" si="3"/>
        <v>1470000</v>
      </c>
      <c r="CO29" s="243" t="s">
        <v>373</v>
      </c>
      <c r="CP29" s="243" t="s">
        <v>456</v>
      </c>
      <c r="CQ29" s="244">
        <v>0.46800000000000003</v>
      </c>
      <c r="CR29" s="244">
        <v>6.2899999999999996E-3</v>
      </c>
      <c r="CS29" s="243">
        <v>74.44</v>
      </c>
      <c r="CT29" s="243" t="s">
        <v>420</v>
      </c>
      <c r="CU29" s="244">
        <v>2E-16</v>
      </c>
      <c r="CV29" s="81" t="s">
        <v>385</v>
      </c>
      <c r="CW29" s="245" t="s">
        <v>460</v>
      </c>
      <c r="CX29" s="249" t="s">
        <v>323</v>
      </c>
      <c r="CY29" s="246" t="s">
        <v>318</v>
      </c>
      <c r="CZ29" s="247">
        <f t="shared" si="27"/>
        <v>93800000</v>
      </c>
      <c r="DA29" s="245" t="s">
        <v>317</v>
      </c>
    </row>
    <row r="30" spans="2:105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 s="208" t="s">
        <v>504</v>
      </c>
      <c r="M30" s="209">
        <v>1</v>
      </c>
      <c r="N30" s="209" t="s">
        <v>505</v>
      </c>
      <c r="O30" s="210">
        <f>'Tabula data'!B19*D43</f>
        <v>59.397553790098286</v>
      </c>
      <c r="P30" s="211"/>
      <c r="Q30" s="30">
        <f t="shared" si="28"/>
        <v>2.5352112676056335</v>
      </c>
      <c r="R30" s="30">
        <f t="shared" si="29"/>
        <v>150.58534763686887</v>
      </c>
      <c r="S30" s="30">
        <f t="shared" si="30"/>
        <v>10203311.790063083</v>
      </c>
      <c r="T30" s="30">
        <f t="shared" si="31"/>
        <v>171780</v>
      </c>
      <c r="U30" s="30">
        <f t="shared" si="32"/>
        <v>0</v>
      </c>
      <c r="X30" s="181"/>
      <c r="Y30" s="182" t="s">
        <v>103</v>
      </c>
      <c r="Z30" s="182">
        <v>0.02</v>
      </c>
      <c r="AA30" s="182">
        <v>0.11</v>
      </c>
      <c r="AB30" s="182">
        <v>550</v>
      </c>
      <c r="AC30" s="182">
        <v>1880</v>
      </c>
      <c r="AD30" s="231">
        <f>Z30/AA30</f>
        <v>0.18181818181818182</v>
      </c>
      <c r="AE30" s="232">
        <f>Z30*AB30*AC30</f>
        <v>20680</v>
      </c>
      <c r="AF30" s="222" t="s">
        <v>104</v>
      </c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2173896.7411420983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2173896.7411420983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405</v>
      </c>
      <c r="BU30" s="166">
        <v>5.5E-2</v>
      </c>
      <c r="BV30" s="166">
        <v>1.06E-4</v>
      </c>
      <c r="BW30" s="81">
        <v>518.19000000000005</v>
      </c>
      <c r="BX30" s="81" t="s">
        <v>384</v>
      </c>
      <c r="BY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 t="shared" ref="CE30:CE31" si="33">BU59</f>
        <v>219000000</v>
      </c>
      <c r="CF30" s="167" t="s">
        <v>317</v>
      </c>
      <c r="CI30" s="81" t="s">
        <v>340</v>
      </c>
      <c r="CJ30" s="241">
        <f t="shared" si="1"/>
        <v>35109018.321381137</v>
      </c>
      <c r="CK30" s="241">
        <f t="shared" si="2"/>
        <v>78400000</v>
      </c>
      <c r="CL30" s="241">
        <f t="shared" si="3"/>
        <v>219000000</v>
      </c>
      <c r="CO30" s="243" t="s">
        <v>373</v>
      </c>
      <c r="CP30" s="243" t="s">
        <v>457</v>
      </c>
      <c r="CQ30" s="244">
        <v>0.314</v>
      </c>
      <c r="CR30" s="244">
        <v>1.2800000000000001E-2</v>
      </c>
      <c r="CS30" s="243">
        <v>24.63</v>
      </c>
      <c r="CT30" s="243" t="s">
        <v>420</v>
      </c>
      <c r="CU30" s="244">
        <v>2E-16</v>
      </c>
      <c r="CV30" s="81" t="s">
        <v>385</v>
      </c>
      <c r="CW30" s="245" t="s">
        <v>460</v>
      </c>
      <c r="CX30" s="249" t="s">
        <v>324</v>
      </c>
      <c r="CY30" s="246" t="s">
        <v>318</v>
      </c>
      <c r="CZ30" s="247">
        <f t="shared" si="27"/>
        <v>22300000</v>
      </c>
      <c r="DA30" s="245" t="s">
        <v>317</v>
      </c>
    </row>
    <row r="31" spans="2:105" ht="15" customHeight="1" thickTop="1" thickBot="1" x14ac:dyDescent="0.3">
      <c r="L31" s="213" t="s">
        <v>504</v>
      </c>
      <c r="M31" s="214">
        <v>2</v>
      </c>
      <c r="N31" s="214" t="s">
        <v>505</v>
      </c>
      <c r="O31" s="210">
        <f>'Tabula data'!B19*(1-D43)</f>
        <v>117.85353473279741</v>
      </c>
      <c r="P31" s="211"/>
      <c r="Q31" s="30">
        <f t="shared" si="28"/>
        <v>2.5352112676056335</v>
      </c>
      <c r="R31" s="30">
        <f t="shared" si="29"/>
        <v>298.78360918173991</v>
      </c>
      <c r="S31" s="30">
        <f t="shared" si="30"/>
        <v>20244880.196399938</v>
      </c>
      <c r="T31" s="30">
        <f t="shared" si="31"/>
        <v>171780</v>
      </c>
      <c r="U31" s="30">
        <f t="shared" si="32"/>
        <v>0</v>
      </c>
      <c r="X31" s="175"/>
      <c r="Y31" s="176" t="s">
        <v>105</v>
      </c>
      <c r="Z31" s="176">
        <v>0.1</v>
      </c>
      <c r="AA31" s="176"/>
      <c r="AB31" s="176"/>
      <c r="AC31" s="176"/>
      <c r="AD31" s="227">
        <v>0.16</v>
      </c>
      <c r="AE31" s="177">
        <f>Z31*AB31*AC31</f>
        <v>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35109018.321381137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34">AP31</f>
        <v>35109018.321381137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35">BE58</f>
        <v>78400000</v>
      </c>
      <c r="BQ31" s="167" t="s">
        <v>317</v>
      </c>
      <c r="BS31" s="81" t="s">
        <v>373</v>
      </c>
      <c r="BT31" s="81" t="s">
        <v>406</v>
      </c>
      <c r="BU31" s="166">
        <v>2.8899999999999999E-2</v>
      </c>
      <c r="BV31" s="166">
        <v>1.4300000000000001E-4</v>
      </c>
      <c r="BW31" s="81">
        <v>201.71</v>
      </c>
      <c r="BX31" s="81" t="s">
        <v>384</v>
      </c>
      <c r="BY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 t="shared" si="33"/>
        <v>40000000</v>
      </c>
      <c r="CF31" s="167" t="s">
        <v>317</v>
      </c>
      <c r="CI31" s="81" t="s">
        <v>341</v>
      </c>
      <c r="CJ31" s="241">
        <f t="shared" si="1"/>
        <v>20487176.831517156</v>
      </c>
      <c r="CK31" s="241">
        <f t="shared" si="2"/>
        <v>12500000</v>
      </c>
      <c r="CL31" s="241">
        <f t="shared" si="3"/>
        <v>40000000</v>
      </c>
      <c r="CO31" s="243" t="s">
        <v>373</v>
      </c>
      <c r="CP31" s="243" t="s">
        <v>303</v>
      </c>
      <c r="CQ31" s="244">
        <v>538000000</v>
      </c>
      <c r="CR31" s="244">
        <v>69600000</v>
      </c>
      <c r="CS31" s="243">
        <v>7.73</v>
      </c>
      <c r="CT31" s="244">
        <v>1.1999999999999999E-14</v>
      </c>
      <c r="CU31" s="243" t="s">
        <v>385</v>
      </c>
      <c r="CY31" s="246"/>
    </row>
    <row r="32" spans="2:105" ht="15" customHeight="1" thickTop="1" thickBot="1" x14ac:dyDescent="0.3">
      <c r="L32" s="213"/>
      <c r="M32" s="214"/>
      <c r="N32" s="214"/>
      <c r="O32" s="214"/>
      <c r="P32" s="215"/>
      <c r="Q32" s="81"/>
      <c r="R32" s="81"/>
      <c r="X32" s="175"/>
      <c r="Y32" s="176" t="s">
        <v>108</v>
      </c>
      <c r="Z32" s="176">
        <v>0.02</v>
      </c>
      <c r="AA32" s="176">
        <v>0.11</v>
      </c>
      <c r="AB32" s="176">
        <v>550</v>
      </c>
      <c r="AC32" s="176">
        <v>1880</v>
      </c>
      <c r="AD32" s="227">
        <f>Z32/AA32</f>
        <v>0.18181818181818182</v>
      </c>
      <c r="AE32" s="177">
        <f>Z32*AB32*AC32</f>
        <v>20680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SUM(U28)</f>
        <v>20487176.831517156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34"/>
        <v>20487176.831517156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35"/>
        <v>12500000</v>
      </c>
      <c r="BQ32" s="167" t="s">
        <v>317</v>
      </c>
      <c r="BS32" s="81" t="s">
        <v>373</v>
      </c>
      <c r="BT32" s="81" t="s">
        <v>407</v>
      </c>
      <c r="BU32" s="166">
        <v>505</v>
      </c>
      <c r="BV32" s="166">
        <v>1.79</v>
      </c>
      <c r="BW32" s="81">
        <v>282.55</v>
      </c>
      <c r="BX32" s="81" t="s">
        <v>384</v>
      </c>
      <c r="BY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BU65</f>
        <v>0.16500000000000001</v>
      </c>
      <c r="CF32" s="167" t="s">
        <v>317</v>
      </c>
      <c r="CI32" s="81" t="s">
        <v>342</v>
      </c>
      <c r="CJ32" s="239">
        <f t="shared" si="1"/>
        <v>0.12707394602328539</v>
      </c>
      <c r="CK32" s="239">
        <f t="shared" si="2"/>
        <v>1.6E-2</v>
      </c>
      <c r="CL32" s="239">
        <f t="shared" si="3"/>
        <v>0.16500000000000001</v>
      </c>
      <c r="CO32" s="243" t="s">
        <v>373</v>
      </c>
      <c r="CP32" s="243" t="s">
        <v>299</v>
      </c>
      <c r="CQ32" s="244">
        <v>980000000</v>
      </c>
      <c r="CR32" s="244">
        <v>148000000</v>
      </c>
      <c r="CS32" s="243">
        <v>6.61</v>
      </c>
      <c r="CT32" s="244">
        <v>4.1000000000000001E-11</v>
      </c>
      <c r="CU32" s="243" t="s">
        <v>385</v>
      </c>
      <c r="CW32" s="245" t="s">
        <v>460</v>
      </c>
      <c r="CX32" s="249" t="s">
        <v>481</v>
      </c>
      <c r="CY32" s="246" t="s">
        <v>318</v>
      </c>
      <c r="CZ32" s="247">
        <f>CQ46</f>
        <v>507</v>
      </c>
      <c r="DA32" s="245" t="s">
        <v>317</v>
      </c>
    </row>
    <row r="33" spans="2:105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89" t="s">
        <v>112</v>
      </c>
      <c r="G33" s="289"/>
      <c r="H33" s="72" t="s">
        <v>113</v>
      </c>
      <c r="L33" s="81"/>
      <c r="M33" s="81"/>
      <c r="N33" s="81"/>
      <c r="Q33" s="81"/>
      <c r="R33" s="81"/>
      <c r="X33" s="187"/>
      <c r="Y33" s="174" t="s">
        <v>80</v>
      </c>
      <c r="Z33" s="174">
        <v>0.02</v>
      </c>
      <c r="AA33" s="174">
        <v>0.6</v>
      </c>
      <c r="AB33" s="174">
        <v>975</v>
      </c>
      <c r="AC33" s="174">
        <v>840</v>
      </c>
      <c r="AD33" s="229">
        <f>Z33/AA33</f>
        <v>3.3333333333333333E-2</v>
      </c>
      <c r="AE33" s="192">
        <f>Z33*AB33*AC33</f>
        <v>16380</v>
      </c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AP26*0.3</f>
        <v>0.12707394602328539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34"/>
        <v>0.12707394602328539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408</v>
      </c>
      <c r="BU33" s="166">
        <v>194</v>
      </c>
      <c r="BV33" s="166">
        <v>0.9</v>
      </c>
      <c r="BW33" s="81">
        <v>216.08</v>
      </c>
      <c r="BX33" s="81" t="s">
        <v>384</v>
      </c>
      <c r="BY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 t="shared" ref="CE33:CE34" si="36">BU66</f>
        <v>5.8500000000000003E-2</v>
      </c>
      <c r="CF33" s="167" t="s">
        <v>317</v>
      </c>
      <c r="CI33" s="81" t="s">
        <v>343</v>
      </c>
      <c r="CJ33" s="239">
        <f t="shared" si="1"/>
        <v>0.10347590857733183</v>
      </c>
      <c r="CK33" s="239">
        <f t="shared" si="2"/>
        <v>4.2999999999999997E-2</v>
      </c>
      <c r="CL33" s="239">
        <f t="shared" si="3"/>
        <v>5.8500000000000003E-2</v>
      </c>
      <c r="CO33" s="243" t="s">
        <v>373</v>
      </c>
      <c r="CP33" s="243" t="s">
        <v>395</v>
      </c>
      <c r="CQ33" s="244">
        <v>2910000</v>
      </c>
      <c r="CR33" s="244">
        <v>35600</v>
      </c>
      <c r="CS33" s="243">
        <v>81.96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37">CQ47</f>
        <v>196</v>
      </c>
      <c r="DA33" s="245" t="s">
        <v>317</v>
      </c>
    </row>
    <row r="34" spans="2:105" ht="15" customHeight="1" thickTop="1" thickBot="1" x14ac:dyDescent="0.3">
      <c r="B34" s="73">
        <v>1</v>
      </c>
      <c r="C34" s="74">
        <f>C7*'Tabula data'!E5</f>
        <v>208.20013280212478</v>
      </c>
      <c r="D34" s="73"/>
      <c r="E34" s="73" t="s">
        <v>42</v>
      </c>
      <c r="F34" s="290">
        <v>21</v>
      </c>
      <c r="G34" s="290"/>
      <c r="H34" s="76">
        <f>VLOOKUP(E34,B6:C22,2,0)</f>
        <v>75.699999999999989</v>
      </c>
      <c r="L34" s="81"/>
      <c r="M34" s="81"/>
      <c r="N34" s="81"/>
      <c r="Q34" s="69" t="s">
        <v>106</v>
      </c>
      <c r="R34" s="70">
        <f>SUM(R4:R13)+R14*0.5+SUM(R17:R25)+R16</f>
        <v>113.48315076870335</v>
      </c>
      <c r="S34" s="69" t="s">
        <v>107</v>
      </c>
      <c r="X34" s="176"/>
      <c r="Y34" s="176"/>
      <c r="Z34" s="176"/>
      <c r="AA34" s="176"/>
      <c r="AB34" s="176"/>
      <c r="AC34" s="176"/>
      <c r="AD34" s="227"/>
      <c r="AE34" s="176"/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AP27*0.3</f>
        <v>0.10347590857733183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34"/>
        <v>0.10347590857733183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38">BE65</f>
        <v>4.2999999999999997E-2</v>
      </c>
      <c r="BQ34" s="167" t="s">
        <v>317</v>
      </c>
      <c r="BS34" s="81" t="s">
        <v>373</v>
      </c>
      <c r="BT34" s="81" t="s">
        <v>290</v>
      </c>
      <c r="BU34" s="166">
        <v>644</v>
      </c>
      <c r="BV34" s="166">
        <v>4.09</v>
      </c>
      <c r="BW34" s="81">
        <v>157.52000000000001</v>
      </c>
      <c r="BX34" s="81" t="s">
        <v>384</v>
      </c>
      <c r="BY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 t="shared" si="36"/>
        <v>0.61199999999999999</v>
      </c>
      <c r="CF34" s="167" t="s">
        <v>317</v>
      </c>
      <c r="CI34" s="81" t="s">
        <v>345</v>
      </c>
      <c r="CJ34" s="239">
        <f t="shared" si="1"/>
        <v>0.71196106932794179</v>
      </c>
      <c r="CK34" s="239">
        <f t="shared" si="2"/>
        <v>0.73</v>
      </c>
      <c r="CL34" s="239">
        <f t="shared" si="3"/>
        <v>0.61199999999999999</v>
      </c>
      <c r="CO34" s="243" t="s">
        <v>373</v>
      </c>
      <c r="CP34" s="243" t="s">
        <v>296</v>
      </c>
      <c r="CQ34" s="244">
        <v>93800000</v>
      </c>
      <c r="CR34" s="244">
        <v>2240000</v>
      </c>
      <c r="CS34" s="243">
        <v>41.95</v>
      </c>
      <c r="CT34" s="243" t="s">
        <v>420</v>
      </c>
      <c r="CU34" s="244">
        <v>2E-16</v>
      </c>
      <c r="CV34" s="81" t="s">
        <v>385</v>
      </c>
      <c r="CW34" s="245" t="s">
        <v>460</v>
      </c>
      <c r="CX34" s="250" t="s">
        <v>332</v>
      </c>
      <c r="CY34" s="246" t="s">
        <v>318</v>
      </c>
      <c r="CZ34" s="247">
        <f t="shared" si="37"/>
        <v>650</v>
      </c>
      <c r="DA34" s="245" t="s">
        <v>317</v>
      </c>
    </row>
    <row r="35" spans="2:105" ht="15" customHeight="1" thickTop="1" thickBot="1" x14ac:dyDescent="0.3">
      <c r="B35" s="73">
        <v>2</v>
      </c>
      <c r="C35" s="74">
        <f>C4-C34</f>
        <v>413.09986719787514</v>
      </c>
      <c r="D35" s="73"/>
      <c r="E35" s="73" t="s">
        <v>116</v>
      </c>
      <c r="F35" s="77">
        <v>18</v>
      </c>
      <c r="G35" s="77"/>
      <c r="H35" s="76">
        <f>VLOOKUP(E35,B7:C23,2,0)</f>
        <v>150.20000000000002</v>
      </c>
      <c r="L35" s="81"/>
      <c r="M35" s="81"/>
      <c r="N35" s="81"/>
      <c r="Q35" s="81"/>
      <c r="R35" s="81">
        <f>H4*Z37</f>
        <v>22.049999999999997</v>
      </c>
      <c r="Z35" s="221" t="s">
        <v>4</v>
      </c>
      <c r="AA35" s="221">
        <v>5</v>
      </c>
      <c r="AB35" s="221" t="s">
        <v>5</v>
      </c>
      <c r="AF35" s="222"/>
      <c r="AG35" s="222"/>
      <c r="AH35" s="222"/>
      <c r="AM35" s="158" t="s">
        <v>314</v>
      </c>
      <c r="AN35" s="81" t="s">
        <v>315</v>
      </c>
      <c r="AO35" s="81" t="s">
        <v>345</v>
      </c>
      <c r="AP35" s="81">
        <f>AP28*0.3+0.7</f>
        <v>0.71196106932794179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34"/>
        <v>0.71196106932794179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38"/>
        <v>0.73</v>
      </c>
      <c r="BQ35" s="167" t="s">
        <v>317</v>
      </c>
      <c r="BS35" s="81" t="s">
        <v>373</v>
      </c>
      <c r="BT35" s="81" t="s">
        <v>120</v>
      </c>
      <c r="BU35" s="166">
        <v>260</v>
      </c>
      <c r="BV35" s="166">
        <v>2.52</v>
      </c>
      <c r="BW35" s="81">
        <v>103.2</v>
      </c>
      <c r="BX35" s="81" t="s">
        <v>384</v>
      </c>
      <c r="BY35" s="81" t="s">
        <v>385</v>
      </c>
      <c r="CA35" s="167"/>
      <c r="CB35" s="167"/>
      <c r="CC35" s="167"/>
      <c r="CD35" s="168"/>
      <c r="CE35" s="161"/>
      <c r="CF35" s="167"/>
      <c r="CJ35" s="240"/>
      <c r="CK35" s="240"/>
      <c r="CL35" s="240"/>
      <c r="CO35" s="243" t="s">
        <v>373</v>
      </c>
      <c r="CP35" s="243" t="s">
        <v>298</v>
      </c>
      <c r="CQ35" s="244">
        <v>22300000</v>
      </c>
      <c r="CR35" s="244">
        <v>341000</v>
      </c>
      <c r="CS35" s="243">
        <v>65.39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37"/>
        <v>260</v>
      </c>
      <c r="DA35" s="245" t="s">
        <v>317</v>
      </c>
    </row>
    <row r="36" spans="2:105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91" t="s">
        <v>119</v>
      </c>
      <c r="G36" s="291"/>
      <c r="H36" s="76">
        <f>C17</f>
        <v>0</v>
      </c>
      <c r="L36" s="81"/>
      <c r="M36" s="81"/>
      <c r="N36" s="81"/>
      <c r="Q36" s="81"/>
      <c r="R36" s="81"/>
      <c r="X36" s="216" t="s">
        <v>115</v>
      </c>
      <c r="Y36" s="217"/>
      <c r="Z36" s="218" t="s">
        <v>21</v>
      </c>
      <c r="AA36" s="200">
        <v>1.1000000000000001</v>
      </c>
      <c r="AB36" s="217" t="s">
        <v>5</v>
      </c>
      <c r="AC36" s="217"/>
      <c r="AD36" s="217" t="s">
        <v>22</v>
      </c>
      <c r="AE36" s="220">
        <f>SUM(AE37:AE38)</f>
        <v>0</v>
      </c>
      <c r="AF36" s="222" t="s">
        <v>23</v>
      </c>
      <c r="AG36" s="222">
        <f>SUM(AE38:AE39)</f>
        <v>0</v>
      </c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409</v>
      </c>
      <c r="BU36" s="166">
        <v>-5.4</v>
      </c>
      <c r="BV36" s="166">
        <v>1.5699999999999999E-2</v>
      </c>
      <c r="BW36" s="81">
        <v>-344.27</v>
      </c>
      <c r="BX36" s="81" t="s">
        <v>384</v>
      </c>
      <c r="BY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BU69</f>
        <v>298</v>
      </c>
      <c r="CF36" s="167" t="s">
        <v>317</v>
      </c>
      <c r="CI36" s="81" t="s">
        <v>347</v>
      </c>
      <c r="CJ36" s="242">
        <f t="shared" si="1"/>
        <v>54.033777272514513</v>
      </c>
      <c r="CK36" s="242">
        <f t="shared" si="2"/>
        <v>1350</v>
      </c>
      <c r="CL36" s="242">
        <f t="shared" si="3"/>
        <v>298</v>
      </c>
      <c r="CO36" s="243" t="s">
        <v>373</v>
      </c>
      <c r="CP36" s="243" t="s">
        <v>396</v>
      </c>
      <c r="CQ36" s="244">
        <v>-7.96</v>
      </c>
      <c r="CR36" s="244">
        <v>0.20300000000000001</v>
      </c>
      <c r="CS36" s="243">
        <v>-39.18</v>
      </c>
      <c r="CT36" s="243" t="s">
        <v>420</v>
      </c>
      <c r="CU36" s="244">
        <v>2E-16</v>
      </c>
      <c r="CV36" s="81" t="s">
        <v>385</v>
      </c>
      <c r="CW36" s="245" t="s">
        <v>460</v>
      </c>
      <c r="CX36" s="251" t="s">
        <v>335</v>
      </c>
      <c r="CY36" s="246" t="s">
        <v>318</v>
      </c>
      <c r="CZ36" s="247">
        <f>CQ58</f>
        <v>477</v>
      </c>
      <c r="DA36" s="245" t="s">
        <v>317</v>
      </c>
    </row>
    <row r="37" spans="2:105" ht="15" customHeight="1" thickTop="1" thickBot="1" x14ac:dyDescent="0.3">
      <c r="L37" s="81"/>
      <c r="M37" s="81"/>
      <c r="N37" s="81"/>
      <c r="Q37" s="81"/>
      <c r="R37" s="81"/>
      <c r="X37" s="181"/>
      <c r="Y37" s="182" t="s">
        <v>435</v>
      </c>
      <c r="Z37" s="182">
        <v>0.7</v>
      </c>
      <c r="AA37" s="182" t="s">
        <v>5</v>
      </c>
      <c r="AB37" s="182"/>
      <c r="AC37" s="182"/>
      <c r="AD37" s="182">
        <f>(AA36-(1-AD38)*Z37)/AD38</f>
        <v>2.3000000000000007</v>
      </c>
      <c r="AE37" s="233"/>
      <c r="AF37" s="222"/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SUM(O17:O20)*(1/(SUM(AD18:AD19)*0.5+1/8))+O25*(1/(SUM(AD9:AD10)*0.5+1/8))</f>
        <v>54.033777272514513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54.033777272514513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410</v>
      </c>
      <c r="BU37" s="166">
        <v>-6.41</v>
      </c>
      <c r="BV37" s="166">
        <v>1.4999999999999999E-2</v>
      </c>
      <c r="BW37" s="81">
        <v>-427.68</v>
      </c>
      <c r="BX37" s="81" t="s">
        <v>384</v>
      </c>
      <c r="BY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 t="shared" ref="CE37:CE38" si="39">BU70</f>
        <v>120</v>
      </c>
      <c r="CF37" s="167" t="s">
        <v>317</v>
      </c>
      <c r="CI37" s="81" t="s">
        <v>349</v>
      </c>
      <c r="CJ37" s="242">
        <f t="shared" si="1"/>
        <v>0</v>
      </c>
      <c r="CK37" s="242">
        <f t="shared" si="2"/>
        <v>372</v>
      </c>
      <c r="CL37" s="242">
        <f t="shared" si="3"/>
        <v>120</v>
      </c>
      <c r="CO37" s="243" t="s">
        <v>373</v>
      </c>
      <c r="CP37" s="243" t="s">
        <v>397</v>
      </c>
      <c r="CQ37" s="244">
        <v>-35.799999999999997</v>
      </c>
      <c r="CR37" s="244">
        <v>10.4</v>
      </c>
      <c r="CS37" s="243">
        <v>-3.43</v>
      </c>
      <c r="CT37" s="243">
        <v>5.9999999999999995E-4</v>
      </c>
      <c r="CU37" s="243" t="s">
        <v>385</v>
      </c>
      <c r="CW37" s="245" t="s">
        <v>460</v>
      </c>
      <c r="CX37" s="251" t="s">
        <v>334</v>
      </c>
      <c r="CY37" s="246" t="s">
        <v>318</v>
      </c>
      <c r="CZ37" s="247">
        <f>1/CQ55</f>
        <v>1937.9844961240312</v>
      </c>
      <c r="DA37" s="245" t="s">
        <v>317</v>
      </c>
    </row>
    <row r="38" spans="2:105" ht="15" customHeight="1" thickTop="1" thickBot="1" x14ac:dyDescent="0.3">
      <c r="C38" s="152"/>
      <c r="L38" s="81"/>
      <c r="M38" s="81"/>
      <c r="N38" s="81" t="s">
        <v>114</v>
      </c>
      <c r="O38" s="152">
        <f>SUM(R6:R9,R15,R17:R20,R25)</f>
        <v>34.029384451562329</v>
      </c>
      <c r="P38" s="152"/>
      <c r="Q38" s="81"/>
      <c r="R38" s="81"/>
      <c r="X38" s="187"/>
      <c r="Y38" s="174" t="s">
        <v>436</v>
      </c>
      <c r="Z38" s="174">
        <v>0.3</v>
      </c>
      <c r="AA38" s="174"/>
      <c r="AB38" s="174"/>
      <c r="AC38" s="174"/>
      <c r="AD38" s="174">
        <v>0.25</v>
      </c>
      <c r="AE38" s="192"/>
      <c r="AF38" s="228" t="s">
        <v>274</v>
      </c>
      <c r="AG38" s="222"/>
      <c r="AH38" s="222"/>
      <c r="AM38" s="158" t="s">
        <v>314</v>
      </c>
      <c r="AN38" s="81" t="s">
        <v>315</v>
      </c>
      <c r="AO38" s="81" t="s">
        <v>349</v>
      </c>
      <c r="AP38" s="81">
        <f>4*AA21*O28</f>
        <v>0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40">AP38</f>
        <v>0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41">BE69</f>
        <v>372</v>
      </c>
      <c r="BQ38" s="167" t="s">
        <v>317</v>
      </c>
      <c r="BS38" s="81" t="s">
        <v>373</v>
      </c>
      <c r="BT38" s="81" t="s">
        <v>411</v>
      </c>
      <c r="BU38" s="166">
        <v>-5.92</v>
      </c>
      <c r="BV38" s="166">
        <v>1.8499999999999999E-2</v>
      </c>
      <c r="BW38" s="81">
        <v>-319.37</v>
      </c>
      <c r="BX38" s="81" t="s">
        <v>384</v>
      </c>
      <c r="BY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 t="shared" si="39"/>
        <v>69.5</v>
      </c>
      <c r="CF38" s="167" t="s">
        <v>317</v>
      </c>
      <c r="CI38" s="81" t="s">
        <v>350</v>
      </c>
      <c r="CJ38" s="242">
        <f t="shared" si="1"/>
        <v>82.60387479415671</v>
      </c>
      <c r="CK38" s="242">
        <f t="shared" si="2"/>
        <v>31.9</v>
      </c>
      <c r="CL38" s="242">
        <f t="shared" si="3"/>
        <v>69.5</v>
      </c>
      <c r="CO38" s="243" t="s">
        <v>373</v>
      </c>
      <c r="CP38" s="243" t="s">
        <v>399</v>
      </c>
      <c r="CQ38" s="244">
        <v>-12.1</v>
      </c>
      <c r="CR38" s="244">
        <v>16.5</v>
      </c>
      <c r="CS38" s="243">
        <v>-0.73</v>
      </c>
      <c r="CT38" s="243">
        <v>0.46393000000000001</v>
      </c>
      <c r="CW38" s="245" t="s">
        <v>460</v>
      </c>
      <c r="CX38" s="248" t="s">
        <v>326</v>
      </c>
      <c r="CY38" s="246" t="s">
        <v>318</v>
      </c>
      <c r="CZ38" s="247">
        <f>CQ41</f>
        <v>8.2900000000000001E-2</v>
      </c>
      <c r="DA38" s="245" t="s">
        <v>317</v>
      </c>
    </row>
    <row r="39" spans="2:105" ht="15" customHeight="1" thickTop="1" thickBot="1" x14ac:dyDescent="0.3">
      <c r="L39" s="81"/>
      <c r="M39" s="81"/>
      <c r="N39" s="81" t="s">
        <v>117</v>
      </c>
      <c r="O39" s="152">
        <f>SUM(R10:R13,R21:R24)</f>
        <v>34.650000000000006</v>
      </c>
      <c r="R39" s="81"/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2zone'!B139+SUM(R21:R24)</f>
        <v>82.60387479415671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40"/>
        <v>82.60387479415671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41"/>
        <v>31.9</v>
      </c>
      <c r="BQ39" s="167" t="s">
        <v>317</v>
      </c>
      <c r="BS39" s="81" t="s">
        <v>373</v>
      </c>
      <c r="BT39" s="81" t="s">
        <v>412</v>
      </c>
      <c r="BU39" s="166">
        <v>-5.28</v>
      </c>
      <c r="BV39" s="166">
        <v>1.7000000000000001E-2</v>
      </c>
      <c r="BW39" s="81">
        <v>-310.54000000000002</v>
      </c>
      <c r="BX39" s="81" t="s">
        <v>384</v>
      </c>
      <c r="BY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1/BU76</f>
        <v>9900.9900990099013</v>
      </c>
      <c r="CF39" s="167" t="s">
        <v>317</v>
      </c>
      <c r="CI39" s="81" t="s">
        <v>352</v>
      </c>
      <c r="CJ39" s="242">
        <f t="shared" si="1"/>
        <v>41.995688178078751</v>
      </c>
      <c r="CK39" s="242">
        <f t="shared" si="2"/>
        <v>110.74197120708749</v>
      </c>
      <c r="CL39" s="242">
        <f t="shared" si="3"/>
        <v>9900.9900990099013</v>
      </c>
      <c r="CO39" s="243" t="s">
        <v>373</v>
      </c>
      <c r="CP39" s="243" t="s">
        <v>400</v>
      </c>
      <c r="CQ39" s="244">
        <v>-21.7</v>
      </c>
      <c r="CR39" s="244">
        <v>0.20499999999999999</v>
      </c>
      <c r="CS39" s="243">
        <v>-105.66</v>
      </c>
      <c r="CT39" s="243" t="s">
        <v>420</v>
      </c>
      <c r="CU39" s="244">
        <v>2E-16</v>
      </c>
      <c r="CV39" s="81" t="s">
        <v>385</v>
      </c>
      <c r="CW39" s="245" t="s">
        <v>460</v>
      </c>
      <c r="CX39" s="249" t="s">
        <v>327</v>
      </c>
      <c r="CY39" s="246" t="s">
        <v>318</v>
      </c>
      <c r="CZ39" s="247">
        <f t="shared" ref="CZ39:CZ42" si="42">CQ42</f>
        <v>0.16600000000000001</v>
      </c>
      <c r="DA39" s="245" t="s">
        <v>317</v>
      </c>
    </row>
    <row r="40" spans="2:105" ht="15" customHeight="1" thickTop="1" thickBot="1" x14ac:dyDescent="0.3">
      <c r="B40" s="81" t="s">
        <v>275</v>
      </c>
      <c r="L40" s="81"/>
      <c r="M40" s="81"/>
      <c r="N40" s="81" t="s">
        <v>120</v>
      </c>
      <c r="O40" s="152">
        <f>'Verwarming Tabula'!B60</f>
        <v>138.03320000000002</v>
      </c>
      <c r="Q40" s="152">
        <f>SUM(U6:U9,U15)/1000000</f>
        <v>19.579925678618856</v>
      </c>
      <c r="R40" s="81"/>
      <c r="Z40" s="221" t="s">
        <v>4</v>
      </c>
      <c r="AA40" s="221">
        <v>0.85</v>
      </c>
      <c r="AB40" s="221" t="s">
        <v>5</v>
      </c>
      <c r="AF40" s="222"/>
      <c r="AG40" s="222"/>
      <c r="AH40" s="222"/>
      <c r="AM40" s="158" t="s">
        <v>314</v>
      </c>
      <c r="AN40" s="81" t="s">
        <v>315</v>
      </c>
      <c r="AO40" s="81" t="s">
        <v>352</v>
      </c>
      <c r="AP40" s="81">
        <f>SUM(O17:O20)*1/(SUM(AD15:AD17)+0.5*SUM(AD18:AD19)+1/23)+O25*1/(SUM(AD7:AD9)+0.5*SUM(AD10)+1/23)</f>
        <v>41.995688178078751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40"/>
        <v>41.995688178078751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413</v>
      </c>
      <c r="BU40" s="166">
        <v>-6.14</v>
      </c>
      <c r="BV40" s="166">
        <v>1.67E-2</v>
      </c>
      <c r="BW40" s="81">
        <v>-367.45</v>
      </c>
      <c r="BX40" s="81" t="s">
        <v>384</v>
      </c>
      <c r="BY40" s="81" t="s">
        <v>385</v>
      </c>
      <c r="CA40" s="167"/>
      <c r="CB40" s="167"/>
      <c r="CC40" s="167"/>
      <c r="CD40" s="168"/>
      <c r="CE40" s="161"/>
      <c r="CF40" s="167"/>
      <c r="CJ40" s="240"/>
      <c r="CK40" s="240"/>
      <c r="CL40" s="240"/>
      <c r="CO40" s="243" t="s">
        <v>373</v>
      </c>
      <c r="CP40" s="243" t="s">
        <v>401</v>
      </c>
      <c r="CQ40" s="244">
        <v>-18.600000000000001</v>
      </c>
      <c r="CR40" s="244">
        <v>14.8</v>
      </c>
      <c r="CS40" s="243">
        <v>-1.26</v>
      </c>
      <c r="CT40" s="243">
        <v>0.20687</v>
      </c>
      <c r="CW40" s="245" t="s">
        <v>460</v>
      </c>
      <c r="CX40" s="249" t="s">
        <v>328</v>
      </c>
      <c r="CY40" s="246" t="s">
        <v>318</v>
      </c>
      <c r="CZ40" s="247">
        <f t="shared" si="42"/>
        <v>0.71599999999999997</v>
      </c>
      <c r="DA40" s="245" t="s">
        <v>317</v>
      </c>
    </row>
    <row r="41" spans="2:105" ht="15" customHeight="1" thickTop="1" thickBot="1" x14ac:dyDescent="0.3">
      <c r="B41" s="149" t="s">
        <v>276</v>
      </c>
      <c r="L41" s="81"/>
      <c r="M41" s="81"/>
      <c r="N41" s="81"/>
      <c r="O41" s="152"/>
      <c r="Q41" s="152">
        <f>SUM(U26:U27)/1000000</f>
        <v>14.696346003634144</v>
      </c>
      <c r="R41" s="81"/>
      <c r="X41" s="216" t="s">
        <v>63</v>
      </c>
      <c r="Y41" s="217"/>
      <c r="Z41" s="218" t="s">
        <v>21</v>
      </c>
      <c r="AA41" s="219">
        <f>1/(1/10+SUM(AD43:AD47))</f>
        <v>0.17975604536700196</v>
      </c>
      <c r="AB41" s="217" t="s">
        <v>5</v>
      </c>
      <c r="AC41" s="217"/>
      <c r="AD41" s="217" t="s">
        <v>22</v>
      </c>
      <c r="AE41" s="220">
        <f>SUM(AE43:AE47)</f>
        <v>381072.5</v>
      </c>
      <c r="AF41" s="222" t="s">
        <v>23</v>
      </c>
      <c r="AG41" s="222">
        <f>SUM(AE43:AE44)</f>
        <v>110960</v>
      </c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414</v>
      </c>
      <c r="BU41" s="166">
        <v>5.0199999999999995E-4</v>
      </c>
      <c r="BV41" s="166">
        <v>9.6099999999999995E-6</v>
      </c>
      <c r="BW41" s="81">
        <v>52.22</v>
      </c>
      <c r="BX41" s="81" t="s">
        <v>384</v>
      </c>
      <c r="BY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BU15</f>
        <v>7.9000000000000001E-2</v>
      </c>
      <c r="CF41" s="167" t="s">
        <v>317</v>
      </c>
      <c r="CI41" s="81" t="s">
        <v>353</v>
      </c>
      <c r="CJ41" s="239">
        <f t="shared" si="1"/>
        <v>0.27547911233205047</v>
      </c>
      <c r="CK41" s="239">
        <f t="shared" si="2"/>
        <v>2.8899999999999999E-2</v>
      </c>
      <c r="CL41" s="239">
        <f t="shared" si="3"/>
        <v>7.9000000000000001E-2</v>
      </c>
      <c r="CO41" s="243" t="s">
        <v>373</v>
      </c>
      <c r="CP41" s="243" t="s">
        <v>402</v>
      </c>
      <c r="CQ41" s="244">
        <v>8.2900000000000001E-2</v>
      </c>
      <c r="CR41" s="244">
        <v>2.63E-4</v>
      </c>
      <c r="CS41" s="243">
        <v>315.56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42"/>
        <v>5.5E-2</v>
      </c>
      <c r="DA41" s="245" t="s">
        <v>317</v>
      </c>
    </row>
    <row r="42" spans="2:105" ht="15" customHeight="1" thickTop="1" thickBot="1" x14ac:dyDescent="0.3">
      <c r="B42" s="81" t="s">
        <v>277</v>
      </c>
      <c r="D42" s="81">
        <v>1</v>
      </c>
      <c r="L42" s="81"/>
      <c r="M42" s="81"/>
      <c r="N42" s="81" t="s">
        <v>122</v>
      </c>
      <c r="O42" s="152">
        <f>C4*1.204*1012*5/1000000</f>
        <v>3.7851087119999995</v>
      </c>
      <c r="P42" s="81" t="s">
        <v>123</v>
      </c>
      <c r="Q42" s="152">
        <f>U14/1000000</f>
        <v>8.3996719999999989</v>
      </c>
      <c r="R42" s="81"/>
      <c r="X42" s="224"/>
      <c r="Y42" s="225" t="s">
        <v>27</v>
      </c>
      <c r="Z42" s="225" t="s">
        <v>28</v>
      </c>
      <c r="AA42" s="225" t="s">
        <v>29</v>
      </c>
      <c r="AB42" s="225" t="s">
        <v>30</v>
      </c>
      <c r="AC42" s="225" t="s">
        <v>31</v>
      </c>
      <c r="AD42" s="225" t="s">
        <v>32</v>
      </c>
      <c r="AE42" s="226" t="s">
        <v>33</v>
      </c>
      <c r="AF42" s="222"/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SUM(O26)/SUM(O6:O14,O26:O27)</f>
        <v>0.27547911233205047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0.27547911233205047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415</v>
      </c>
      <c r="BU42" s="166">
        <v>115</v>
      </c>
      <c r="BV42" s="166">
        <v>1.17</v>
      </c>
      <c r="BW42" s="81">
        <v>98.05</v>
      </c>
      <c r="BX42" s="81" t="s">
        <v>384</v>
      </c>
      <c r="BY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BU56</f>
        <v>0.33100000000000002</v>
      </c>
      <c r="CF42" s="167" t="s">
        <v>317</v>
      </c>
      <c r="CI42" s="81" t="s">
        <v>355</v>
      </c>
      <c r="CJ42" s="239">
        <f t="shared" si="1"/>
        <v>0.19163025357146982</v>
      </c>
      <c r="CK42" s="239">
        <f t="shared" si="2"/>
        <v>9.7500000000000003E-2</v>
      </c>
      <c r="CL42" s="239">
        <f t="shared" si="3"/>
        <v>0.33100000000000002</v>
      </c>
      <c r="CO42" s="243" t="s">
        <v>373</v>
      </c>
      <c r="CP42" s="243" t="s">
        <v>403</v>
      </c>
      <c r="CQ42" s="244">
        <v>0.16600000000000001</v>
      </c>
      <c r="CR42" s="244">
        <v>5.2499999999999997E-4</v>
      </c>
      <c r="CS42" s="243">
        <v>315.49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42"/>
        <v>2.8899999999999999E-2</v>
      </c>
      <c r="DA42" s="245" t="s">
        <v>317</v>
      </c>
    </row>
    <row r="43" spans="2:105" ht="15" customHeight="1" thickTop="1" thickBot="1" x14ac:dyDescent="0.3">
      <c r="B43" s="81" t="s">
        <v>278</v>
      </c>
      <c r="D43" s="81">
        <f>C7/C6</f>
        <v>0.33510402833111991</v>
      </c>
      <c r="E43" s="81" t="s">
        <v>279</v>
      </c>
      <c r="L43" s="81"/>
      <c r="M43" s="81"/>
      <c r="N43" s="81" t="s">
        <v>124</v>
      </c>
      <c r="O43" s="152">
        <f>SUM(S6:S9,S15)/1000000</f>
        <v>26.297916536626822</v>
      </c>
      <c r="P43" s="81" t="s">
        <v>125</v>
      </c>
      <c r="Q43" s="81"/>
      <c r="R43" s="81"/>
      <c r="X43" s="181"/>
      <c r="Y43" s="182" t="s">
        <v>128</v>
      </c>
      <c r="Z43" s="182">
        <v>0.02</v>
      </c>
      <c r="AA43" s="182">
        <v>1.4</v>
      </c>
      <c r="AB43" s="182">
        <v>2100</v>
      </c>
      <c r="AC43" s="182">
        <v>840</v>
      </c>
      <c r="AD43" s="231">
        <f>Z43/AA43</f>
        <v>1.4285714285714287E-2</v>
      </c>
      <c r="AE43" s="232">
        <f>Z43*AB43*AC43</f>
        <v>35280</v>
      </c>
      <c r="AF43" s="222" t="s">
        <v>104</v>
      </c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SUM(O26)/SUM(O$17:O$25,O$28,O$26)</f>
        <v>0.19163025357146982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43">AP43</f>
        <v>0.19163025357146982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416</v>
      </c>
      <c r="BU43" s="166">
        <v>9960</v>
      </c>
      <c r="BV43" s="166">
        <v>166</v>
      </c>
      <c r="BW43" s="81">
        <v>60.14</v>
      </c>
      <c r="BX43" s="81" t="s">
        <v>384</v>
      </c>
      <c r="BY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BU88</f>
        <v>139000000</v>
      </c>
      <c r="CF43" s="167" t="s">
        <v>317</v>
      </c>
      <c r="CI43" s="81" t="s">
        <v>357</v>
      </c>
      <c r="CJ43" s="241">
        <f t="shared" si="1"/>
        <v>2185458.9999999995</v>
      </c>
      <c r="CK43" s="241">
        <f t="shared" si="2"/>
        <v>248000</v>
      </c>
      <c r="CL43" s="241">
        <f t="shared" si="3"/>
        <v>139000000</v>
      </c>
      <c r="CO43" s="243" t="s">
        <v>373</v>
      </c>
      <c r="CP43" s="243" t="s">
        <v>404</v>
      </c>
      <c r="CQ43" s="244">
        <v>0.71599999999999997</v>
      </c>
      <c r="CR43" s="244">
        <v>3.7299999999999998E-3</v>
      </c>
      <c r="CS43" s="243">
        <v>191.96</v>
      </c>
      <c r="CT43" s="243" t="s">
        <v>420</v>
      </c>
      <c r="CU43" s="244">
        <v>2E-16</v>
      </c>
      <c r="CV43" s="81" t="s">
        <v>385</v>
      </c>
      <c r="CY43" s="246"/>
    </row>
    <row r="44" spans="2:105" ht="15" customHeight="1" thickTop="1" thickBot="1" x14ac:dyDescent="0.3">
      <c r="B44" s="81" t="s">
        <v>282</v>
      </c>
      <c r="D44" s="81">
        <v>0.7</v>
      </c>
      <c r="F44" s="79"/>
      <c r="L44" s="81"/>
      <c r="M44" s="81"/>
      <c r="N44" s="81" t="s">
        <v>126</v>
      </c>
      <c r="O44" s="152">
        <f>SUM(S26:S27)/1000000</f>
        <v>14.696346003634144</v>
      </c>
      <c r="P44" s="81" t="s">
        <v>125</v>
      </c>
      <c r="Q44" s="81"/>
      <c r="R44" s="81"/>
      <c r="X44" s="175"/>
      <c r="Y44" s="176" t="s">
        <v>129</v>
      </c>
      <c r="Z44" s="176">
        <v>0.08</v>
      </c>
      <c r="AA44" s="176">
        <v>0.6</v>
      </c>
      <c r="AB44" s="176">
        <v>1100</v>
      </c>
      <c r="AC44" s="176">
        <v>860</v>
      </c>
      <c r="AD44" s="227">
        <f>Z44/AA44</f>
        <v>0.13333333333333333</v>
      </c>
      <c r="AE44" s="177">
        <f>Z44*AB44*AC44</f>
        <v>75680</v>
      </c>
      <c r="AF44" s="222"/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2185458.9999999995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43"/>
        <v>2185458.9999999995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BS44" s="81" t="s">
        <v>373</v>
      </c>
      <c r="BT44" s="81" t="s">
        <v>417</v>
      </c>
      <c r="BU44" s="166">
        <v>530</v>
      </c>
      <c r="BV44" s="166">
        <v>250</v>
      </c>
      <c r="BW44" s="81">
        <v>2.12</v>
      </c>
      <c r="BX44" s="81">
        <v>3.3700000000000001E-2</v>
      </c>
      <c r="BY44" s="81" t="s">
        <v>418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BU89</f>
        <v>18800000</v>
      </c>
      <c r="CF44" s="167" t="s">
        <v>317</v>
      </c>
      <c r="CI44" s="81" t="s">
        <v>359</v>
      </c>
      <c r="CJ44" s="241">
        <f t="shared" si="1"/>
        <v>2185458.9999999995</v>
      </c>
      <c r="CK44" s="241">
        <f t="shared" si="2"/>
        <v>6990000</v>
      </c>
      <c r="CL44" s="241">
        <f t="shared" si="3"/>
        <v>18800000</v>
      </c>
      <c r="CO44" s="243" t="s">
        <v>373</v>
      </c>
      <c r="CP44" s="243" t="s">
        <v>405</v>
      </c>
      <c r="CQ44" s="244">
        <v>5.5E-2</v>
      </c>
      <c r="CR44" s="244">
        <v>1.2E-4</v>
      </c>
      <c r="CS44" s="243">
        <v>459.01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0.312</v>
      </c>
      <c r="DA44" s="245" t="s">
        <v>317</v>
      </c>
    </row>
    <row r="45" spans="2:105" ht="15" customHeight="1" thickTop="1" thickBot="1" x14ac:dyDescent="0.3">
      <c r="B45" s="81" t="s">
        <v>283</v>
      </c>
      <c r="D45" s="81">
        <v>0.5</v>
      </c>
      <c r="F45" s="79"/>
      <c r="L45" s="81"/>
      <c r="M45" s="81"/>
      <c r="N45" s="81" t="s">
        <v>127</v>
      </c>
      <c r="O45" s="152">
        <f>S14/1000000</f>
        <v>28.847188249999995</v>
      </c>
      <c r="Q45" s="81"/>
      <c r="R45" s="81"/>
      <c r="X45" s="175"/>
      <c r="Y45" s="176" t="s">
        <v>280</v>
      </c>
      <c r="Z45" s="272">
        <v>0.125</v>
      </c>
      <c r="AA45" s="176">
        <v>2.4E-2</v>
      </c>
      <c r="AB45" s="176">
        <v>30</v>
      </c>
      <c r="AC45" s="176">
        <v>1470</v>
      </c>
      <c r="AD45" s="227">
        <f>Z45/AA45</f>
        <v>5.208333333333333</v>
      </c>
      <c r="AE45" s="177">
        <f>Z45*AB45*AC45</f>
        <v>5512.5</v>
      </c>
      <c r="AF45" s="228" t="s">
        <v>281</v>
      </c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2185458.9999999995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43"/>
        <v>2185458.9999999995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BU31</f>
        <v>2.8899999999999999E-2</v>
      </c>
      <c r="CF45" s="167" t="s">
        <v>317</v>
      </c>
      <c r="CI45" s="81" t="s">
        <v>361</v>
      </c>
      <c r="CJ45" s="239">
        <f t="shared" si="1"/>
        <v>8.2643733699615141E-2</v>
      </c>
      <c r="CK45" s="239">
        <f t="shared" si="2"/>
        <v>1.9E-2</v>
      </c>
      <c r="CL45" s="239">
        <f t="shared" si="3"/>
        <v>2.8899999999999999E-2</v>
      </c>
      <c r="CO45" s="243" t="s">
        <v>373</v>
      </c>
      <c r="CP45" s="243" t="s">
        <v>406</v>
      </c>
      <c r="CQ45" s="244">
        <v>2.8899999999999999E-2</v>
      </c>
      <c r="CR45" s="244">
        <v>2.5000000000000001E-4</v>
      </c>
      <c r="CS45" s="243">
        <v>115.69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44">CQ69</f>
        <v>5.7599999999999999E-6</v>
      </c>
      <c r="DA45" s="245" t="s">
        <v>317</v>
      </c>
    </row>
    <row r="46" spans="2:105" ht="15" customHeight="1" thickTop="1" thickBot="1" x14ac:dyDescent="0.3">
      <c r="L46" s="81"/>
      <c r="M46" s="81"/>
      <c r="N46" s="81"/>
      <c r="Q46" s="81"/>
      <c r="R46" s="81"/>
      <c r="X46" s="175"/>
      <c r="Y46" s="176" t="s">
        <v>131</v>
      </c>
      <c r="Z46" s="176">
        <v>0.15</v>
      </c>
      <c r="AA46" s="176">
        <v>1.4</v>
      </c>
      <c r="AB46" s="176">
        <v>2100</v>
      </c>
      <c r="AC46" s="176">
        <v>840</v>
      </c>
      <c r="AD46" s="227">
        <f>Z46/AA46</f>
        <v>0.10714285714285715</v>
      </c>
      <c r="AE46" s="177">
        <f>Z46*AB46*AC46</f>
        <v>264600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AP42*0.3</f>
        <v>8.2643733699615141E-2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43"/>
        <v>8.2643733699615141E-2</v>
      </c>
      <c r="BA46" s="167" t="s">
        <v>317</v>
      </c>
      <c r="BC46" s="81" t="s">
        <v>373</v>
      </c>
      <c r="BD46" s="81" t="s">
        <v>376</v>
      </c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374</v>
      </c>
      <c r="BU46" s="81" t="s">
        <v>419</v>
      </c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BU68</f>
        <v>0.11700000000000001</v>
      </c>
      <c r="CF46" s="167" t="s">
        <v>317</v>
      </c>
      <c r="CI46" s="81" t="s">
        <v>363</v>
      </c>
      <c r="CJ46" s="239">
        <f t="shared" si="1"/>
        <v>5.7489076071440944E-2</v>
      </c>
      <c r="CK46" s="239">
        <f t="shared" si="2"/>
        <v>0.184</v>
      </c>
      <c r="CL46" s="239">
        <f t="shared" si="3"/>
        <v>0.11700000000000001</v>
      </c>
      <c r="CO46" s="243" t="s">
        <v>373</v>
      </c>
      <c r="CP46" s="243" t="s">
        <v>407</v>
      </c>
      <c r="CQ46" s="244">
        <v>507</v>
      </c>
      <c r="CR46" s="244">
        <v>1.95</v>
      </c>
      <c r="CS46" s="243">
        <v>259.86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44"/>
        <v>0.64800000000000002</v>
      </c>
      <c r="DA46" s="245" t="s">
        <v>317</v>
      </c>
    </row>
    <row r="47" spans="2:105" ht="15" customHeight="1" thickTop="1" thickBot="1" x14ac:dyDescent="0.3">
      <c r="C47" s="152"/>
      <c r="L47" s="81"/>
      <c r="M47" s="81"/>
      <c r="N47" s="81"/>
      <c r="Q47" s="81"/>
      <c r="R47" s="81"/>
      <c r="X47" s="187"/>
      <c r="Y47" s="174" t="s">
        <v>132</v>
      </c>
      <c r="Z47" s="174">
        <v>0</v>
      </c>
      <c r="AA47" s="174">
        <v>0.02</v>
      </c>
      <c r="AB47" s="174">
        <v>30</v>
      </c>
      <c r="AC47" s="174">
        <v>1470</v>
      </c>
      <c r="AD47" s="229">
        <f>Z47/AA47</f>
        <v>0</v>
      </c>
      <c r="AE47" s="192">
        <f>Z47*AB47*AC47</f>
        <v>0</v>
      </c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AP43*0.3</f>
        <v>5.7489076071440944E-2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43"/>
        <v>5.7489076071440944E-2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376</v>
      </c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BU94</f>
        <v>192</v>
      </c>
      <c r="CF47" s="167" t="s">
        <v>317</v>
      </c>
      <c r="CI47" s="81" t="s">
        <v>365</v>
      </c>
      <c r="CJ47" s="242">
        <f t="shared" si="1"/>
        <v>0</v>
      </c>
      <c r="CK47" s="242">
        <f t="shared" si="2"/>
        <v>476</v>
      </c>
      <c r="CL47" s="242">
        <f t="shared" si="3"/>
        <v>192</v>
      </c>
      <c r="CO47" s="243" t="s">
        <v>373</v>
      </c>
      <c r="CP47" s="243" t="s">
        <v>408</v>
      </c>
      <c r="CQ47" s="244">
        <v>196</v>
      </c>
      <c r="CR47" s="244">
        <v>1.5</v>
      </c>
      <c r="CS47" s="243">
        <v>130.99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44"/>
        <v>0.53200000000000003</v>
      </c>
      <c r="DA47" s="245" t="s">
        <v>317</v>
      </c>
    </row>
    <row r="48" spans="2:105" ht="15" customHeight="1" thickTop="1" thickBot="1" x14ac:dyDescent="0.3">
      <c r="C48" s="152"/>
      <c r="L48" s="81"/>
      <c r="M48" s="81"/>
      <c r="N48" s="81"/>
      <c r="Q48" s="81"/>
      <c r="R48" s="81"/>
      <c r="X48" s="176"/>
      <c r="Y48" s="176"/>
      <c r="Z48" s="176"/>
      <c r="AA48" s="176"/>
      <c r="AB48" s="176"/>
      <c r="AC48" s="176"/>
      <c r="AD48" s="227"/>
      <c r="AE48" s="176"/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AA27*4*O26</f>
        <v>0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43"/>
        <v>0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377</v>
      </c>
      <c r="BU48" s="81" t="s">
        <v>378</v>
      </c>
      <c r="BV48" s="81" t="s">
        <v>379</v>
      </c>
      <c r="BW48" s="81" t="s">
        <v>380</v>
      </c>
      <c r="BX48" s="81" t="s">
        <v>381</v>
      </c>
      <c r="BY48" s="81" t="s">
        <v>382</v>
      </c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BU95</f>
        <v>2.63E-4</v>
      </c>
      <c r="CF48" s="167" t="s">
        <v>317</v>
      </c>
      <c r="CI48" s="81" t="s">
        <v>367</v>
      </c>
      <c r="CJ48" s="242">
        <f t="shared" si="1"/>
        <v>0</v>
      </c>
      <c r="CK48" s="242">
        <f t="shared" si="2"/>
        <v>3410</v>
      </c>
      <c r="CL48" s="242">
        <f t="shared" si="3"/>
        <v>2.63E-4</v>
      </c>
      <c r="CO48" s="243" t="s">
        <v>373</v>
      </c>
      <c r="CP48" s="243" t="s">
        <v>290</v>
      </c>
      <c r="CQ48" s="244">
        <v>650</v>
      </c>
      <c r="CR48" s="244">
        <v>4.8600000000000003</v>
      </c>
      <c r="CS48" s="243">
        <v>133.72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44"/>
        <v>0.21299999999999999</v>
      </c>
      <c r="DA48" s="245" t="s">
        <v>317</v>
      </c>
    </row>
    <row r="49" spans="3:105" ht="15" customHeight="1" thickTop="1" thickBot="1" x14ac:dyDescent="0.3">
      <c r="C49" s="152"/>
      <c r="L49" s="81"/>
      <c r="M49" s="81"/>
      <c r="N49" s="81"/>
      <c r="Q49" s="81"/>
      <c r="R49" s="81"/>
      <c r="Z49" s="221" t="s">
        <v>4</v>
      </c>
      <c r="AA49" s="221">
        <v>4</v>
      </c>
      <c r="AB49" s="221" t="s">
        <v>5</v>
      </c>
      <c r="AF49" s="222"/>
      <c r="AG49" s="222"/>
      <c r="AH49" s="222"/>
      <c r="AM49" s="158" t="s">
        <v>314</v>
      </c>
      <c r="AN49" s="81" t="s">
        <v>315</v>
      </c>
      <c r="AO49" s="81" t="s">
        <v>367</v>
      </c>
      <c r="AP49" s="81">
        <f>AP50/2</f>
        <v>0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43"/>
        <v>0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45">BE95</f>
        <v>3410</v>
      </c>
      <c r="BQ49" s="167" t="s">
        <v>317</v>
      </c>
      <c r="BS49" s="81" t="s">
        <v>373</v>
      </c>
      <c r="BT49" s="81" t="s">
        <v>383</v>
      </c>
      <c r="BU49" s="166">
        <v>289</v>
      </c>
      <c r="BV49" s="166">
        <v>0.14899999999999999</v>
      </c>
      <c r="BW49" s="81">
        <v>1944.91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BU96</f>
        <v>389</v>
      </c>
      <c r="CF49" s="167" t="s">
        <v>317</v>
      </c>
      <c r="CI49" s="81" t="s">
        <v>369</v>
      </c>
      <c r="CJ49" s="242">
        <f t="shared" si="1"/>
        <v>0</v>
      </c>
      <c r="CK49" s="242">
        <f t="shared" si="2"/>
        <v>989</v>
      </c>
      <c r="CL49" s="242">
        <f t="shared" si="3"/>
        <v>389</v>
      </c>
      <c r="CO49" s="243" t="s">
        <v>373</v>
      </c>
      <c r="CP49" s="243" t="s">
        <v>120</v>
      </c>
      <c r="CQ49" s="244">
        <v>260</v>
      </c>
      <c r="CR49" s="244">
        <v>2.9</v>
      </c>
      <c r="CS49" s="243">
        <v>89.41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44"/>
        <v>0.23300000000000001</v>
      </c>
      <c r="DA49" s="245" t="s">
        <v>317</v>
      </c>
    </row>
    <row r="50" spans="3:105" ht="15" customHeight="1" thickTop="1" thickBot="1" x14ac:dyDescent="0.3">
      <c r="L50" s="81"/>
      <c r="M50" s="81"/>
      <c r="N50" s="81"/>
      <c r="Q50" s="81"/>
      <c r="R50" s="81"/>
      <c r="X50" s="216" t="s">
        <v>68</v>
      </c>
      <c r="Y50" s="217"/>
      <c r="Z50" s="218" t="s">
        <v>21</v>
      </c>
      <c r="AA50" s="200">
        <v>4</v>
      </c>
      <c r="AB50" s="217" t="s">
        <v>5</v>
      </c>
      <c r="AC50" s="217"/>
      <c r="AD50" s="217" t="s">
        <v>22</v>
      </c>
      <c r="AE50" s="220">
        <f>0.04*550*1660</f>
        <v>36520</v>
      </c>
      <c r="AF50" s="222" t="s">
        <v>23</v>
      </c>
      <c r="AG50" s="222">
        <f>SUM(AE53:AE54)</f>
        <v>171780</v>
      </c>
      <c r="AH50" s="222"/>
      <c r="AM50" s="158" t="s">
        <v>314</v>
      </c>
      <c r="AN50" s="81" t="s">
        <v>315</v>
      </c>
      <c r="AO50" s="81" t="s">
        <v>369</v>
      </c>
      <c r="AP50" s="81">
        <f>AP48</f>
        <v>0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43"/>
        <v>0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45"/>
        <v>989</v>
      </c>
      <c r="BQ50" s="167" t="s">
        <v>317</v>
      </c>
      <c r="BS50" s="81" t="s">
        <v>373</v>
      </c>
      <c r="BT50" s="81" t="s">
        <v>386</v>
      </c>
      <c r="BU50" s="166">
        <v>282</v>
      </c>
      <c r="BV50" s="166">
        <v>0.17299999999999999</v>
      </c>
      <c r="BW50" s="81">
        <v>1635.35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-5.41</v>
      </c>
      <c r="CR50" s="244">
        <v>1.8700000000000001E-2</v>
      </c>
      <c r="CS50" s="243">
        <v>-289.08999999999997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44"/>
        <v>0.22800000000000001</v>
      </c>
      <c r="DA50" s="245" t="s">
        <v>317</v>
      </c>
    </row>
    <row r="51" spans="3:105" ht="15" customHeight="1" thickTop="1" thickBot="1" x14ac:dyDescent="0.3">
      <c r="L51" s="81"/>
      <c r="M51" s="81"/>
      <c r="N51" s="81"/>
      <c r="Q51" s="81"/>
      <c r="R51" s="81"/>
      <c r="X51" s="224"/>
      <c r="Y51" s="225" t="s">
        <v>27</v>
      </c>
      <c r="Z51" s="225" t="s">
        <v>28</v>
      </c>
      <c r="AA51" s="225" t="s">
        <v>29</v>
      </c>
      <c r="AB51" s="225" t="s">
        <v>30</v>
      </c>
      <c r="AC51" s="225" t="s">
        <v>31</v>
      </c>
      <c r="AD51" s="225" t="s">
        <v>32</v>
      </c>
      <c r="AE51" s="226" t="s">
        <v>33</v>
      </c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387</v>
      </c>
      <c r="BU51" s="166">
        <v>292</v>
      </c>
      <c r="BV51" s="166">
        <v>0.111</v>
      </c>
      <c r="BW51" s="81">
        <v>2622.7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-6.43</v>
      </c>
      <c r="CR51" s="244">
        <v>1.95E-2</v>
      </c>
      <c r="CS51" s="243">
        <v>-329.79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44"/>
        <v>0.14899999999999999</v>
      </c>
      <c r="DA51" s="245" t="s">
        <v>317</v>
      </c>
    </row>
    <row r="52" spans="3:105" thickTop="1" thickBot="1" x14ac:dyDescent="0.3">
      <c r="L52" s="81"/>
      <c r="M52" s="81"/>
      <c r="N52" s="81"/>
      <c r="X52" s="181"/>
      <c r="Y52" s="182" t="s">
        <v>16</v>
      </c>
      <c r="Z52" s="182">
        <v>4</v>
      </c>
      <c r="AA52" s="182" t="s">
        <v>5</v>
      </c>
      <c r="AB52" s="182"/>
      <c r="AC52" s="182" t="s">
        <v>308</v>
      </c>
      <c r="AD52" s="182">
        <f>0.11*(1/AA50-1/23-1/8)</f>
        <v>8.9673913043478264E-3</v>
      </c>
      <c r="AE52" s="233"/>
      <c r="AF52" s="222"/>
      <c r="AG52" s="22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388</v>
      </c>
      <c r="BU52" s="166">
        <v>294</v>
      </c>
      <c r="BV52" s="166">
        <v>0.13300000000000001</v>
      </c>
      <c r="BW52" s="81">
        <v>2217.33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-5.95</v>
      </c>
      <c r="CR52" s="244">
        <v>3.0800000000000001E-2</v>
      </c>
      <c r="CS52" s="243">
        <v>-193.3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44"/>
        <v>0.51</v>
      </c>
      <c r="DA52" s="245" t="s">
        <v>317</v>
      </c>
    </row>
    <row r="53" spans="3:105" thickTop="1" thickBot="1" x14ac:dyDescent="0.3">
      <c r="L53" s="81"/>
      <c r="M53" s="81"/>
      <c r="N53" s="81"/>
      <c r="X53" s="187"/>
      <c r="Y53" s="174" t="s">
        <v>121</v>
      </c>
      <c r="Z53" s="174">
        <v>0</v>
      </c>
      <c r="AA53" s="174"/>
      <c r="AB53" s="174"/>
      <c r="AC53" s="174"/>
      <c r="AD53" s="174"/>
      <c r="AE53" s="192"/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390</v>
      </c>
      <c r="BU53" s="166">
        <v>0.42799999999999999</v>
      </c>
      <c r="BV53" s="166">
        <v>6.11E-3</v>
      </c>
      <c r="BW53" s="81">
        <v>69.94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-5.29</v>
      </c>
      <c r="CR53" s="244">
        <v>2.0899999999999998E-2</v>
      </c>
      <c r="CS53" s="243">
        <v>-252.41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44"/>
        <v>1.08E-5</v>
      </c>
      <c r="DA53" s="245" t="s">
        <v>317</v>
      </c>
    </row>
    <row r="54" spans="3:105" thickTop="1" thickBot="1" x14ac:dyDescent="0.3">
      <c r="L54" s="81"/>
      <c r="M54" s="81"/>
      <c r="N54" s="81"/>
      <c r="X54" s="256" t="s">
        <v>505</v>
      </c>
      <c r="Y54" s="257"/>
      <c r="Z54" s="258" t="s">
        <v>21</v>
      </c>
      <c r="AA54" s="259">
        <f>(1/(1/8+SUM(AD56:AD58)+1/8))</f>
        <v>2.5352112676056335</v>
      </c>
      <c r="AB54" s="257" t="s">
        <v>5</v>
      </c>
      <c r="AC54" s="257"/>
      <c r="AD54" s="257" t="s">
        <v>22</v>
      </c>
      <c r="AE54" s="260">
        <f>SUM(AE56:AE60)</f>
        <v>171780</v>
      </c>
      <c r="AO54" s="169" t="s">
        <v>371</v>
      </c>
      <c r="AP54" s="169">
        <f>SUM(AP42,AP4:AP7)</f>
        <v>1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S54" s="81" t="s">
        <v>373</v>
      </c>
      <c r="BT54" s="81" t="s">
        <v>391</v>
      </c>
      <c r="BU54" s="166">
        <v>0.161</v>
      </c>
      <c r="BV54" s="166">
        <v>1.7899999999999999E-3</v>
      </c>
      <c r="BW54" s="81">
        <v>89.98</v>
      </c>
      <c r="BX54" s="81" t="s">
        <v>420</v>
      </c>
      <c r="BY54" s="166">
        <v>2E-16</v>
      </c>
      <c r="BZ54" s="81" t="s">
        <v>385</v>
      </c>
      <c r="CO54" s="243" t="s">
        <v>373</v>
      </c>
      <c r="CP54" s="243" t="s">
        <v>413</v>
      </c>
      <c r="CQ54" s="244">
        <v>-6.19</v>
      </c>
      <c r="CR54" s="244">
        <v>4.8099999999999997E-2</v>
      </c>
      <c r="CS54" s="243">
        <v>-128.69999999999999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44"/>
        <v>5.0499999999999999E-6</v>
      </c>
      <c r="DA54" s="245" t="s">
        <v>317</v>
      </c>
    </row>
    <row r="55" spans="3:105" thickTop="1" thickBot="1" x14ac:dyDescent="0.3">
      <c r="X55" s="261"/>
      <c r="Y55" s="225" t="s">
        <v>27</v>
      </c>
      <c r="Z55" s="225" t="s">
        <v>28</v>
      </c>
      <c r="AA55" s="225" t="s">
        <v>29</v>
      </c>
      <c r="AB55" s="225" t="s">
        <v>30</v>
      </c>
      <c r="AC55" s="225" t="s">
        <v>31</v>
      </c>
      <c r="AD55" s="225" t="s">
        <v>32</v>
      </c>
      <c r="AE55" s="262" t="s">
        <v>33</v>
      </c>
      <c r="AO55" s="169" t="s">
        <v>371</v>
      </c>
      <c r="AP55" s="169">
        <f>SUM(AP43,AP26:AP28)</f>
        <v>1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392</v>
      </c>
      <c r="BU55" s="166">
        <v>8.0100000000000005E-2</v>
      </c>
      <c r="BV55" s="166">
        <v>1.77E-2</v>
      </c>
      <c r="BW55" s="81">
        <v>4.53</v>
      </c>
      <c r="BX55" s="166">
        <v>6.1E-6</v>
      </c>
      <c r="BY55" s="81" t="s">
        <v>385</v>
      </c>
      <c r="CO55" s="243" t="s">
        <v>373</v>
      </c>
      <c r="CP55" s="243" t="s">
        <v>414</v>
      </c>
      <c r="CQ55" s="244">
        <v>5.1599999999999997E-4</v>
      </c>
      <c r="CR55" s="244">
        <v>1.0200000000000001E-5</v>
      </c>
      <c r="CS55" s="243">
        <v>50.68</v>
      </c>
      <c r="CT55" s="243" t="s">
        <v>420</v>
      </c>
      <c r="CU55" s="244">
        <v>2E-16</v>
      </c>
      <c r="CV55" s="81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44"/>
        <v>0.28999999999999998</v>
      </c>
      <c r="DA55" s="245" t="s">
        <v>317</v>
      </c>
    </row>
    <row r="56" spans="3:105" thickTop="1" thickBot="1" x14ac:dyDescent="0.3">
      <c r="X56" s="263"/>
      <c r="Y56" s="176" t="s">
        <v>90</v>
      </c>
      <c r="Z56" s="176">
        <v>0.02</v>
      </c>
      <c r="AA56" s="176">
        <v>0.6</v>
      </c>
      <c r="AB56" s="176">
        <v>975</v>
      </c>
      <c r="AC56" s="176">
        <v>840</v>
      </c>
      <c r="AD56" s="227">
        <f>Z56/AA56</f>
        <v>3.3333333333333333E-2</v>
      </c>
      <c r="AE56" s="264">
        <f>Z56*AB56*AC56</f>
        <v>16380</v>
      </c>
      <c r="AO56" s="169" t="s">
        <v>372</v>
      </c>
      <c r="AP56" s="169">
        <f>SUM(AP46,AP14:AP17)</f>
        <v>0.99999999999999978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S56" s="81" t="s">
        <v>373</v>
      </c>
      <c r="BT56" s="81" t="s">
        <v>393</v>
      </c>
      <c r="BU56" s="166">
        <v>0.33100000000000002</v>
      </c>
      <c r="BV56" s="166">
        <v>4.3699999999999998E-3</v>
      </c>
      <c r="BW56" s="81">
        <v>75.67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116</v>
      </c>
      <c r="CR56" s="244">
        <v>1.53</v>
      </c>
      <c r="CS56" s="243">
        <v>75.56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44"/>
        <v>0.42799999999999999</v>
      </c>
      <c r="DA56" s="245" t="s">
        <v>317</v>
      </c>
    </row>
    <row r="57" spans="3:105" thickTop="1" thickBot="1" x14ac:dyDescent="0.3">
      <c r="X57" s="263"/>
      <c r="Y57" s="176" t="s">
        <v>509</v>
      </c>
      <c r="Z57" s="176">
        <v>0.1</v>
      </c>
      <c r="AA57" s="176">
        <v>0.9</v>
      </c>
      <c r="AB57" s="176">
        <v>1850</v>
      </c>
      <c r="AC57" s="176">
        <v>840</v>
      </c>
      <c r="AD57" s="227">
        <f>Z57/AA57</f>
        <v>0.11111111111111112</v>
      </c>
      <c r="AE57" s="264">
        <f>Z57*AB57*AC57</f>
        <v>155400</v>
      </c>
      <c r="AO57" s="169" t="s">
        <v>372</v>
      </c>
      <c r="AP57" s="169">
        <f>SUM(AP47,AP33:AP35)</f>
        <v>1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S57" s="81" t="s">
        <v>373</v>
      </c>
      <c r="BT57" s="81" t="s">
        <v>303</v>
      </c>
      <c r="BU57" s="166">
        <v>976000000</v>
      </c>
      <c r="BV57" s="166">
        <v>20400000</v>
      </c>
      <c r="BW57" s="81">
        <v>47.85</v>
      </c>
      <c r="BX57" s="81" t="s">
        <v>420</v>
      </c>
      <c r="BY57" s="166">
        <v>2E-16</v>
      </c>
      <c r="BZ57" s="81" t="s">
        <v>385</v>
      </c>
      <c r="CO57" s="243" t="s">
        <v>373</v>
      </c>
      <c r="CP57" s="243" t="s">
        <v>416</v>
      </c>
      <c r="CQ57" s="244">
        <v>9980</v>
      </c>
      <c r="CR57" s="244">
        <v>78.3</v>
      </c>
      <c r="CS57" s="243">
        <v>127.37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44"/>
        <v>5.2100000000000001E-6</v>
      </c>
      <c r="DA57" s="245" t="s">
        <v>317</v>
      </c>
    </row>
    <row r="58" spans="3:105" thickTop="1" thickBot="1" x14ac:dyDescent="0.3">
      <c r="X58" s="265"/>
      <c r="Y58" s="266" t="s">
        <v>508</v>
      </c>
      <c r="Z58" s="267">
        <v>0</v>
      </c>
      <c r="AA58" s="267">
        <v>3.5999999999999997E-2</v>
      </c>
      <c r="AB58" s="267">
        <v>26</v>
      </c>
      <c r="AC58" s="267">
        <v>1470</v>
      </c>
      <c r="AD58" s="268">
        <f>Z58/AA58</f>
        <v>0</v>
      </c>
      <c r="AE58" s="269">
        <f>Z58*AB58*AC58</f>
        <v>0</v>
      </c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S58" s="81" t="s">
        <v>373</v>
      </c>
      <c r="BT58" s="81" t="s">
        <v>395</v>
      </c>
      <c r="BU58" s="166">
        <v>1470000</v>
      </c>
      <c r="BV58" s="166">
        <v>21800</v>
      </c>
      <c r="BW58" s="81">
        <v>67.430000000000007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477</v>
      </c>
      <c r="CR58" s="244">
        <v>214</v>
      </c>
      <c r="CS58" s="243">
        <v>2.23</v>
      </c>
      <c r="CT58" s="243">
        <v>2.562E-2</v>
      </c>
      <c r="CU58" s="243" t="s">
        <v>418</v>
      </c>
      <c r="CW58" s="245" t="s">
        <v>460</v>
      </c>
      <c r="CX58" s="251" t="s">
        <v>496</v>
      </c>
      <c r="CY58" s="246" t="s">
        <v>318</v>
      </c>
      <c r="CZ58" s="247">
        <f t="shared" si="44"/>
        <v>0.49099999999999999</v>
      </c>
      <c r="DA58" s="245" t="s">
        <v>317</v>
      </c>
    </row>
    <row r="59" spans="3:105" thickTop="1" thickBot="1" x14ac:dyDescent="0.3"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S59" s="81" t="s">
        <v>373</v>
      </c>
      <c r="BT59" s="81" t="s">
        <v>296</v>
      </c>
      <c r="BU59" s="166">
        <v>219000000</v>
      </c>
      <c r="BV59" s="166">
        <v>15400000</v>
      </c>
      <c r="BW59" s="81">
        <v>14.25</v>
      </c>
      <c r="BX59" s="81" t="s">
        <v>420</v>
      </c>
      <c r="BY59" s="166">
        <v>2E-16</v>
      </c>
      <c r="BZ59" s="81" t="s">
        <v>385</v>
      </c>
      <c r="CW59" s="245" t="s">
        <v>460</v>
      </c>
      <c r="CX59" s="251" t="s">
        <v>497</v>
      </c>
      <c r="CY59" s="246" t="s">
        <v>318</v>
      </c>
      <c r="CZ59" s="247">
        <f t="shared" si="44"/>
        <v>0.28100000000000003</v>
      </c>
      <c r="DA59" s="245" t="s">
        <v>317</v>
      </c>
    </row>
    <row r="60" spans="3:105" thickTop="1" thickBot="1" x14ac:dyDescent="0.3"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S60" s="81" t="s">
        <v>373</v>
      </c>
      <c r="BT60" s="81" t="s">
        <v>298</v>
      </c>
      <c r="BU60" s="166">
        <v>40000000</v>
      </c>
      <c r="BV60" s="166">
        <v>20300000</v>
      </c>
      <c r="BW60" s="81">
        <v>1.97</v>
      </c>
      <c r="BX60" s="81">
        <v>4.9000000000000002E-2</v>
      </c>
      <c r="BY60" s="81" t="s">
        <v>418</v>
      </c>
      <c r="CX60" s="251"/>
      <c r="CY60" s="246"/>
      <c r="CZ60" s="247"/>
    </row>
    <row r="61" spans="3:105" thickTop="1" thickBot="1" x14ac:dyDescent="0.3"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S61" s="81" t="s">
        <v>373</v>
      </c>
      <c r="BT61" s="81" t="s">
        <v>396</v>
      </c>
      <c r="BU61" s="166">
        <v>-36.9</v>
      </c>
      <c r="BV61" s="166">
        <v>1.4</v>
      </c>
      <c r="BW61" s="81">
        <v>-26.39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W61" s="245" t="s">
        <v>460</v>
      </c>
      <c r="CX61" s="251" t="s">
        <v>339</v>
      </c>
      <c r="CY61" s="246" t="s">
        <v>318</v>
      </c>
      <c r="CZ61" s="247">
        <f>CQ85</f>
        <v>1470000</v>
      </c>
      <c r="DA61" s="245" t="s">
        <v>317</v>
      </c>
    </row>
    <row r="62" spans="3:105" thickTop="1" thickBot="1" x14ac:dyDescent="0.3"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S62" s="81" t="s">
        <v>373</v>
      </c>
      <c r="BT62" s="81" t="s">
        <v>397</v>
      </c>
      <c r="BU62" s="166">
        <v>-40.700000000000003</v>
      </c>
      <c r="BV62" s="166">
        <v>1.36</v>
      </c>
      <c r="BW62" s="81">
        <v>-29.88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W62" s="245" t="s">
        <v>460</v>
      </c>
      <c r="CX62" s="251" t="s">
        <v>340</v>
      </c>
      <c r="CY62" s="246" t="s">
        <v>318</v>
      </c>
      <c r="CZ62" s="247">
        <f t="shared" ref="CZ62:CZ63" si="46">CQ86</f>
        <v>209000000</v>
      </c>
      <c r="DA62" s="245" t="s">
        <v>317</v>
      </c>
    </row>
    <row r="63" spans="3:105" thickTop="1" thickBot="1" x14ac:dyDescent="0.3"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S63" s="81" t="s">
        <v>373</v>
      </c>
      <c r="BT63" s="81" t="s">
        <v>399</v>
      </c>
      <c r="BU63" s="166">
        <v>-37.1</v>
      </c>
      <c r="BV63" s="166">
        <v>1.59</v>
      </c>
      <c r="BW63" s="81">
        <v>-23.36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W63" s="245" t="s">
        <v>460</v>
      </c>
      <c r="CX63" s="251" t="s">
        <v>341</v>
      </c>
      <c r="CY63" s="246" t="s">
        <v>318</v>
      </c>
      <c r="CZ63" s="247">
        <f t="shared" si="46"/>
        <v>44900000</v>
      </c>
      <c r="DA63" s="245" t="s">
        <v>317</v>
      </c>
    </row>
    <row r="64" spans="3:105" thickTop="1" thickBot="1" x14ac:dyDescent="0.3"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S64" s="81" t="s">
        <v>373</v>
      </c>
      <c r="BT64" s="81" t="s">
        <v>400</v>
      </c>
      <c r="BU64" s="166">
        <v>-24.8</v>
      </c>
      <c r="BV64" s="166">
        <v>7.4200000000000002E-2</v>
      </c>
      <c r="BW64" s="81">
        <v>-334.42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289</v>
      </c>
      <c r="CR64" s="244">
        <v>0.14399999999999999</v>
      </c>
      <c r="CS64" s="243">
        <v>2009.13</v>
      </c>
      <c r="CT64" s="243" t="s">
        <v>420</v>
      </c>
      <c r="CU64" s="244">
        <v>2E-16</v>
      </c>
      <c r="CV64" s="81" t="s">
        <v>385</v>
      </c>
      <c r="CY64" s="246"/>
    </row>
    <row r="65" spans="55:105" thickTop="1" thickBot="1" x14ac:dyDescent="0.3"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S65" s="81" t="s">
        <v>373</v>
      </c>
      <c r="BT65" s="81" t="s">
        <v>402</v>
      </c>
      <c r="BU65" s="166">
        <v>0.16500000000000001</v>
      </c>
      <c r="BV65" s="166">
        <v>4.6200000000000001E-4</v>
      </c>
      <c r="BW65" s="81">
        <v>357.36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282</v>
      </c>
      <c r="CR65" s="244">
        <v>0.16800000000000001</v>
      </c>
      <c r="CS65" s="243">
        <v>1680.3</v>
      </c>
      <c r="CT65" s="243" t="s">
        <v>420</v>
      </c>
      <c r="CU65" s="244">
        <v>2E-16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0.16500000000000001</v>
      </c>
      <c r="DA65" s="245" t="s">
        <v>317</v>
      </c>
    </row>
    <row r="66" spans="55:105" thickTop="1" thickBot="1" x14ac:dyDescent="0.3"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403</v>
      </c>
      <c r="BU66" s="166">
        <v>5.8500000000000003E-2</v>
      </c>
      <c r="BV66" s="166">
        <v>1.2799999999999999E-4</v>
      </c>
      <c r="BW66" s="81">
        <v>455.64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292</v>
      </c>
      <c r="CR66" s="244">
        <v>0.114</v>
      </c>
      <c r="CS66" s="243">
        <v>2568.6999999999998</v>
      </c>
      <c r="CT66" s="243" t="s">
        <v>420</v>
      </c>
      <c r="CU66" s="244">
        <v>2E-16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47">CQ93</f>
        <v>5.8400000000000001E-2</v>
      </c>
      <c r="DA66" s="245" t="s">
        <v>317</v>
      </c>
    </row>
    <row r="67" spans="55:105" thickTop="1" thickBot="1" x14ac:dyDescent="0.3"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S67" s="81" t="s">
        <v>373</v>
      </c>
      <c r="BT67" s="81" t="s">
        <v>404</v>
      </c>
      <c r="BU67" s="166">
        <v>0.61199999999999999</v>
      </c>
      <c r="BV67" s="166">
        <v>6.6400000000000001E-3</v>
      </c>
      <c r="BW67" s="81">
        <v>92.16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294</v>
      </c>
      <c r="CR67" s="244">
        <v>0.13500000000000001</v>
      </c>
      <c r="CS67" s="243">
        <v>2186.15</v>
      </c>
      <c r="CT67" s="243" t="s">
        <v>420</v>
      </c>
      <c r="CU67" s="244">
        <v>2E-16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47"/>
        <v>0.61099999999999999</v>
      </c>
      <c r="DA67" s="245" t="s">
        <v>317</v>
      </c>
    </row>
    <row r="68" spans="55:105" thickTop="1" thickBot="1" x14ac:dyDescent="0.3"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S68" s="81" t="s">
        <v>373</v>
      </c>
      <c r="BT68" s="81" t="s">
        <v>405</v>
      </c>
      <c r="BU68" s="166">
        <v>0.11700000000000001</v>
      </c>
      <c r="BV68" s="166">
        <v>3.1700000000000001E-4</v>
      </c>
      <c r="BW68" s="81">
        <v>369.23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0.312</v>
      </c>
      <c r="CR68" s="244">
        <v>3.7699999999999997E-2</v>
      </c>
      <c r="CS68" s="243">
        <v>8.3000000000000007</v>
      </c>
      <c r="CT68" s="244">
        <v>2.2E-16</v>
      </c>
      <c r="CU68" s="243" t="s">
        <v>385</v>
      </c>
      <c r="CW68" s="245" t="s">
        <v>460</v>
      </c>
      <c r="CX68" s="251" t="s">
        <v>431</v>
      </c>
      <c r="CY68" s="246" t="s">
        <v>318</v>
      </c>
      <c r="CZ68" s="247">
        <f t="shared" si="47"/>
        <v>0.11700000000000001</v>
      </c>
      <c r="DA68" s="245" t="s">
        <v>317</v>
      </c>
    </row>
    <row r="69" spans="55:105" thickTop="1" thickBot="1" x14ac:dyDescent="0.3"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S69" s="81" t="s">
        <v>373</v>
      </c>
      <c r="BT69" s="81" t="s">
        <v>407</v>
      </c>
      <c r="BU69" s="166">
        <v>298</v>
      </c>
      <c r="BV69" s="166">
        <v>1.43</v>
      </c>
      <c r="BW69" s="81">
        <v>208.33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5.7599999999999999E-6</v>
      </c>
      <c r="CR69" s="244">
        <v>8.6799999999999996E-5</v>
      </c>
      <c r="CS69" s="243">
        <v>7.0000000000000007E-2</v>
      </c>
      <c r="CT69" s="243">
        <v>0.94711000000000001</v>
      </c>
      <c r="CY69" s="246"/>
    </row>
    <row r="70" spans="55:105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S70" s="81" t="s">
        <v>373</v>
      </c>
      <c r="BT70" s="81" t="s">
        <v>290</v>
      </c>
      <c r="BU70" s="166">
        <v>120</v>
      </c>
      <c r="BV70" s="166">
        <v>0.72799999999999998</v>
      </c>
      <c r="BW70" s="81">
        <v>164.9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0.64800000000000002</v>
      </c>
      <c r="CR70" s="244">
        <v>2.0899999999999998E-2</v>
      </c>
      <c r="CS70" s="243">
        <v>31</v>
      </c>
      <c r="CT70" s="243" t="s">
        <v>420</v>
      </c>
      <c r="CU70" s="244">
        <v>2E-16</v>
      </c>
      <c r="CV70" s="81" t="s">
        <v>385</v>
      </c>
      <c r="CW70" s="245" t="s">
        <v>460</v>
      </c>
      <c r="CX70" s="251" t="s">
        <v>498</v>
      </c>
      <c r="CY70" s="246" t="s">
        <v>318</v>
      </c>
      <c r="CZ70" s="247">
        <f>CQ96</f>
        <v>299</v>
      </c>
      <c r="DA70" s="245" t="s">
        <v>317</v>
      </c>
    </row>
    <row r="71" spans="55:105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120</v>
      </c>
      <c r="BU71" s="166">
        <v>69.5</v>
      </c>
      <c r="BV71" s="166">
        <v>2.5499999999999998</v>
      </c>
      <c r="BW71" s="81">
        <v>27.22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0.53200000000000003</v>
      </c>
      <c r="CR71" s="244">
        <v>3.3500000000000002E-2</v>
      </c>
      <c r="CS71" s="243">
        <v>15.89</v>
      </c>
      <c r="CT71" s="243" t="s">
        <v>420</v>
      </c>
      <c r="CU71" s="244">
        <v>2E-16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48">CQ97</f>
        <v>120</v>
      </c>
      <c r="DA71" s="245" t="s">
        <v>317</v>
      </c>
    </row>
    <row r="72" spans="55:105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409</v>
      </c>
      <c r="BU72" s="166">
        <v>-5.14</v>
      </c>
      <c r="BV72" s="166">
        <v>1.41E-2</v>
      </c>
      <c r="BW72" s="81">
        <v>-364.74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0.21299999999999999</v>
      </c>
      <c r="CR72" s="244">
        <v>1.09E-2</v>
      </c>
      <c r="CS72" s="243">
        <v>19.55</v>
      </c>
      <c r="CT72" s="243" t="s">
        <v>420</v>
      </c>
      <c r="CU72" s="244">
        <v>2E-16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48"/>
        <v>69.3</v>
      </c>
      <c r="DA72" s="245" t="s">
        <v>317</v>
      </c>
    </row>
    <row r="73" spans="55:105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410</v>
      </c>
      <c r="BU73" s="166">
        <v>-5.22</v>
      </c>
      <c r="BV73" s="166">
        <v>1.5100000000000001E-2</v>
      </c>
      <c r="BW73" s="81">
        <v>-345.49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0.23300000000000001</v>
      </c>
      <c r="CR73" s="244">
        <v>3.9800000000000002E-2</v>
      </c>
      <c r="CS73" s="243">
        <v>5.85</v>
      </c>
      <c r="CT73" s="244">
        <v>5.1000000000000002E-9</v>
      </c>
      <c r="CU73" s="243" t="s">
        <v>385</v>
      </c>
      <c r="CW73" s="245" t="s">
        <v>460</v>
      </c>
      <c r="CX73" s="251" t="s">
        <v>352</v>
      </c>
      <c r="CY73" s="246" t="s">
        <v>318</v>
      </c>
      <c r="CZ73" s="247">
        <f>1/CQ103</f>
        <v>9900.9900990099013</v>
      </c>
      <c r="DA73" s="245" t="s">
        <v>317</v>
      </c>
    </row>
    <row r="74" spans="55:105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S74" s="81" t="s">
        <v>373</v>
      </c>
      <c r="BT74" s="81" t="s">
        <v>411</v>
      </c>
      <c r="BU74" s="166">
        <v>-5.62</v>
      </c>
      <c r="BV74" s="166">
        <v>1.6E-2</v>
      </c>
      <c r="BW74" s="81">
        <v>-351.63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0.22800000000000001</v>
      </c>
      <c r="CR74" s="244">
        <v>5.79E-3</v>
      </c>
      <c r="CS74" s="243">
        <v>39.31</v>
      </c>
      <c r="CT74" s="243" t="s">
        <v>420</v>
      </c>
      <c r="CU74" s="244">
        <v>2E-16</v>
      </c>
      <c r="CV74" s="81" t="s">
        <v>385</v>
      </c>
      <c r="CY74" s="246"/>
    </row>
    <row r="75" spans="55:105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412</v>
      </c>
      <c r="BU75" s="166">
        <v>-5.44</v>
      </c>
      <c r="BV75" s="166">
        <v>1.4999999999999999E-2</v>
      </c>
      <c r="BW75" s="81">
        <v>-361.47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0.14899999999999999</v>
      </c>
      <c r="CR75" s="244">
        <v>9.1000000000000004E-3</v>
      </c>
      <c r="CS75" s="243">
        <v>16.38</v>
      </c>
      <c r="CT75" s="243" t="s">
        <v>420</v>
      </c>
      <c r="CU75" s="244">
        <v>2E-16</v>
      </c>
      <c r="CV75" s="81" t="s">
        <v>385</v>
      </c>
      <c r="CW75" s="245" t="s">
        <v>460</v>
      </c>
      <c r="CX75" s="251" t="s">
        <v>424</v>
      </c>
      <c r="CY75" s="246" t="s">
        <v>318</v>
      </c>
      <c r="CZ75" s="247">
        <f>CQ112</f>
        <v>139000000</v>
      </c>
      <c r="DA75" s="245" t="s">
        <v>317</v>
      </c>
    </row>
    <row r="76" spans="55:105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S76" s="81" t="s">
        <v>373</v>
      </c>
      <c r="BT76" s="81" t="s">
        <v>414</v>
      </c>
      <c r="BU76" s="166">
        <v>1.01E-4</v>
      </c>
      <c r="BV76" s="166">
        <v>3.2899999999999998E-6</v>
      </c>
      <c r="BW76" s="81">
        <v>30.66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0.51</v>
      </c>
      <c r="CR76" s="244">
        <v>9.8400000000000001E-2</v>
      </c>
      <c r="CS76" s="243">
        <v>5.19</v>
      </c>
      <c r="CT76" s="244">
        <v>2.2000000000000001E-7</v>
      </c>
      <c r="CU76" s="243" t="s">
        <v>385</v>
      </c>
      <c r="CW76" s="245" t="s">
        <v>460</v>
      </c>
      <c r="CX76" s="251" t="s">
        <v>359</v>
      </c>
      <c r="CY76" s="246" t="s">
        <v>318</v>
      </c>
      <c r="CZ76" s="247">
        <f>CQ113</f>
        <v>18800000</v>
      </c>
      <c r="DA76" s="245" t="s">
        <v>317</v>
      </c>
    </row>
    <row r="77" spans="55:105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S77" s="81" t="s">
        <v>373</v>
      </c>
      <c r="BT77" s="81" t="s">
        <v>415</v>
      </c>
      <c r="BU77" s="166">
        <v>252</v>
      </c>
      <c r="BV77" s="166">
        <v>1.62</v>
      </c>
      <c r="BW77" s="81">
        <v>155.62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1.08E-5</v>
      </c>
      <c r="CR77" s="244">
        <v>2.3499999999999999E-4</v>
      </c>
      <c r="CS77" s="243">
        <v>0.05</v>
      </c>
      <c r="CT77" s="243">
        <v>0.96321000000000001</v>
      </c>
      <c r="CW77" s="245" t="s">
        <v>460</v>
      </c>
      <c r="CX77" s="251" t="s">
        <v>365</v>
      </c>
      <c r="CY77" s="246" t="s">
        <v>318</v>
      </c>
      <c r="CZ77" s="247">
        <f>CQ118</f>
        <v>192</v>
      </c>
      <c r="DA77" s="245" t="s">
        <v>317</v>
      </c>
    </row>
    <row r="78" spans="55:105" thickTop="1" thickBot="1" x14ac:dyDescent="0.3">
      <c r="BS78" s="81" t="s">
        <v>373</v>
      </c>
      <c r="BT78" s="81" t="s">
        <v>416</v>
      </c>
      <c r="BU78" s="166">
        <v>5430</v>
      </c>
      <c r="BV78" s="166">
        <v>185</v>
      </c>
      <c r="BW78" s="81">
        <v>29.43</v>
      </c>
      <c r="BX78" s="81" t="s">
        <v>420</v>
      </c>
      <c r="BY78" s="166">
        <v>2E-16</v>
      </c>
      <c r="BZ78" s="81" t="s">
        <v>385</v>
      </c>
      <c r="CO78" s="243" t="s">
        <v>373</v>
      </c>
      <c r="CP78" s="243" t="s">
        <v>449</v>
      </c>
      <c r="CQ78" s="244">
        <v>5.0499999999999999E-6</v>
      </c>
      <c r="CR78" s="244">
        <v>1.08E-4</v>
      </c>
      <c r="CS78" s="243">
        <v>0.05</v>
      </c>
      <c r="CT78" s="243">
        <v>0.96272999999999997</v>
      </c>
      <c r="CW78" s="245" t="s">
        <v>460</v>
      </c>
      <c r="CX78" s="251" t="s">
        <v>367</v>
      </c>
      <c r="CY78" s="246" t="s">
        <v>318</v>
      </c>
      <c r="CZ78" s="247">
        <f>CQ119</f>
        <v>2.63E-4</v>
      </c>
      <c r="DA78" s="245" t="s">
        <v>317</v>
      </c>
    </row>
    <row r="79" spans="55:105" thickTop="1" thickBot="1" x14ac:dyDescent="0.3">
      <c r="BC79" s="81" t="s">
        <v>373</v>
      </c>
      <c r="BD79" s="81" t="s">
        <v>374</v>
      </c>
      <c r="BE79" s="81" t="s">
        <v>429</v>
      </c>
      <c r="CO79" s="243" t="s">
        <v>373</v>
      </c>
      <c r="CP79" s="243" t="s">
        <v>450</v>
      </c>
      <c r="CQ79" s="244">
        <v>0.28999999999999998</v>
      </c>
      <c r="CR79" s="244">
        <v>8.9499999999999996E-2</v>
      </c>
      <c r="CS79" s="243">
        <v>3.24</v>
      </c>
      <c r="CT79" s="243">
        <v>1.1999999999999999E-3</v>
      </c>
      <c r="CU79" s="243" t="s">
        <v>398</v>
      </c>
      <c r="CW79" s="245" t="s">
        <v>460</v>
      </c>
      <c r="CX79" s="251" t="s">
        <v>369</v>
      </c>
      <c r="CY79" s="246" t="s">
        <v>318</v>
      </c>
      <c r="CZ79" s="247">
        <f>CQ120</f>
        <v>389</v>
      </c>
      <c r="DA79" s="245" t="s">
        <v>317</v>
      </c>
    </row>
    <row r="80" spans="55:105" thickTop="1" thickBot="1" x14ac:dyDescent="0.3">
      <c r="BC80" s="81" t="s">
        <v>373</v>
      </c>
      <c r="BD80" s="81" t="s">
        <v>376</v>
      </c>
      <c r="CO80" s="243" t="s">
        <v>373</v>
      </c>
      <c r="CP80" s="243" t="s">
        <v>451</v>
      </c>
      <c r="CQ80" s="244">
        <v>0.42799999999999999</v>
      </c>
      <c r="CR80" s="244">
        <v>2.5999999999999999E-2</v>
      </c>
      <c r="CS80" s="243">
        <v>16.47</v>
      </c>
      <c r="CT80" s="243" t="s">
        <v>420</v>
      </c>
      <c r="CU80" s="244">
        <v>2E-16</v>
      </c>
      <c r="CV80" s="81" t="s">
        <v>385</v>
      </c>
    </row>
    <row r="81" spans="55:100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S81" s="81" t="s">
        <v>373</v>
      </c>
      <c r="BT81" s="81" t="s">
        <v>374</v>
      </c>
      <c r="BU81" s="81" t="s">
        <v>421</v>
      </c>
      <c r="CO81" s="243" t="s">
        <v>373</v>
      </c>
      <c r="CP81" s="243" t="s">
        <v>452</v>
      </c>
      <c r="CQ81" s="244">
        <v>5.2100000000000001E-6</v>
      </c>
      <c r="CR81" s="244">
        <v>1.01E-4</v>
      </c>
      <c r="CS81" s="243">
        <v>0.05</v>
      </c>
      <c r="CT81" s="243">
        <v>0.95894999999999997</v>
      </c>
    </row>
    <row r="82" spans="55:100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376</v>
      </c>
      <c r="CO82" s="243" t="s">
        <v>373</v>
      </c>
      <c r="CP82" s="243" t="s">
        <v>453</v>
      </c>
      <c r="CQ82" s="244">
        <v>0.49099999999999999</v>
      </c>
      <c r="CR82" s="244">
        <v>1.26E-2</v>
      </c>
      <c r="CS82" s="243">
        <v>39.04</v>
      </c>
      <c r="CT82" s="243" t="s">
        <v>420</v>
      </c>
      <c r="CU82" s="244">
        <v>2E-16</v>
      </c>
      <c r="CV82" s="81" t="s">
        <v>385</v>
      </c>
    </row>
    <row r="83" spans="55:100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377</v>
      </c>
      <c r="BU83" s="81" t="s">
        <v>378</v>
      </c>
      <c r="BV83" s="81" t="s">
        <v>379</v>
      </c>
      <c r="BW83" s="81" t="s">
        <v>380</v>
      </c>
      <c r="BX83" s="81" t="s">
        <v>381</v>
      </c>
      <c r="BY83" s="81" t="s">
        <v>382</v>
      </c>
      <c r="CO83" s="243" t="s">
        <v>373</v>
      </c>
      <c r="CP83" s="243" t="s">
        <v>454</v>
      </c>
      <c r="CQ83" s="244">
        <v>0.28100000000000003</v>
      </c>
      <c r="CR83" s="244">
        <v>2.1999999999999999E-2</v>
      </c>
      <c r="CS83" s="243">
        <v>12.8</v>
      </c>
      <c r="CT83" s="243" t="s">
        <v>420</v>
      </c>
      <c r="CU83" s="244">
        <v>2E-16</v>
      </c>
      <c r="CV83" s="81" t="s">
        <v>385</v>
      </c>
    </row>
    <row r="84" spans="55:100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422</v>
      </c>
      <c r="BU84" s="166">
        <v>289</v>
      </c>
      <c r="BV84" s="166">
        <v>0.34499999999999997</v>
      </c>
      <c r="BW84" s="81">
        <v>837.17</v>
      </c>
      <c r="BX84" s="81" t="s">
        <v>420</v>
      </c>
      <c r="BY84" s="166">
        <v>2E-16</v>
      </c>
      <c r="BZ84" s="81" t="s">
        <v>385</v>
      </c>
      <c r="CO84" s="243" t="s">
        <v>373</v>
      </c>
      <c r="CP84" s="243" t="s">
        <v>303</v>
      </c>
      <c r="CQ84" s="244">
        <v>983000000</v>
      </c>
      <c r="CR84" s="244">
        <v>254000000</v>
      </c>
      <c r="CS84" s="243">
        <v>3.86</v>
      </c>
      <c r="CT84" s="243">
        <v>1.1E-4</v>
      </c>
      <c r="CU84" s="243" t="s">
        <v>385</v>
      </c>
    </row>
    <row r="85" spans="55:100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423</v>
      </c>
      <c r="BU85" s="166">
        <v>292</v>
      </c>
      <c r="BV85" s="166">
        <v>0.36699999999999999</v>
      </c>
      <c r="BW85" s="81">
        <v>796.26</v>
      </c>
      <c r="BX85" s="81" t="s">
        <v>420</v>
      </c>
      <c r="BY85" s="166">
        <v>2E-16</v>
      </c>
      <c r="BZ85" s="81" t="s">
        <v>385</v>
      </c>
      <c r="CO85" s="243" t="s">
        <v>373</v>
      </c>
      <c r="CP85" s="243" t="s">
        <v>395</v>
      </c>
      <c r="CQ85" s="244">
        <v>1470000</v>
      </c>
      <c r="CR85" s="244">
        <v>22600</v>
      </c>
      <c r="CS85" s="243">
        <v>65.06</v>
      </c>
      <c r="CT85" s="243" t="s">
        <v>420</v>
      </c>
      <c r="CU85" s="244">
        <v>2E-16</v>
      </c>
      <c r="CV85" s="81" t="s">
        <v>385</v>
      </c>
    </row>
    <row r="86" spans="55:100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353</v>
      </c>
      <c r="BU86" s="166">
        <v>9.84</v>
      </c>
      <c r="BV86" s="166">
        <v>1.27</v>
      </c>
      <c r="BW86" s="81">
        <v>7.73</v>
      </c>
      <c r="BX86" s="166">
        <v>1.4E-14</v>
      </c>
      <c r="BY86" s="81" t="s">
        <v>385</v>
      </c>
      <c r="CO86" s="243" t="s">
        <v>373</v>
      </c>
      <c r="CP86" s="243" t="s">
        <v>296</v>
      </c>
      <c r="CQ86" s="244">
        <v>209000000</v>
      </c>
      <c r="CR86" s="244">
        <v>18900000</v>
      </c>
      <c r="CS86" s="243">
        <v>11.04</v>
      </c>
      <c r="CT86" s="243" t="s">
        <v>420</v>
      </c>
      <c r="CU86" s="244">
        <v>2E-16</v>
      </c>
      <c r="CV86" s="81" t="s">
        <v>385</v>
      </c>
    </row>
    <row r="87" spans="55:100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355</v>
      </c>
      <c r="BU87" s="166">
        <v>1.35</v>
      </c>
      <c r="BV87" s="166">
        <v>0.24399999999999999</v>
      </c>
      <c r="BW87" s="81">
        <v>5.54</v>
      </c>
      <c r="BX87" s="166">
        <v>3.1E-8</v>
      </c>
      <c r="BY87" s="81" t="s">
        <v>385</v>
      </c>
      <c r="CO87" s="243" t="s">
        <v>373</v>
      </c>
      <c r="CP87" s="243" t="s">
        <v>298</v>
      </c>
      <c r="CQ87" s="244">
        <v>44900000</v>
      </c>
      <c r="CR87" s="244">
        <v>46000000</v>
      </c>
      <c r="CS87" s="243">
        <v>0.98</v>
      </c>
      <c r="CT87" s="243">
        <v>0.32911000000000001</v>
      </c>
    </row>
    <row r="88" spans="55:100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S88" s="81" t="s">
        <v>373</v>
      </c>
      <c r="BT88" s="81" t="s">
        <v>424</v>
      </c>
      <c r="BU88" s="166">
        <v>139000000</v>
      </c>
      <c r="BV88" s="166">
        <v>35000000</v>
      </c>
      <c r="BW88" s="81">
        <v>3.98</v>
      </c>
      <c r="BX88" s="166">
        <v>6.8999999999999997E-5</v>
      </c>
      <c r="BY88" s="81" t="s">
        <v>385</v>
      </c>
      <c r="CO88" s="243" t="s">
        <v>373</v>
      </c>
      <c r="CP88" s="243" t="s">
        <v>396</v>
      </c>
      <c r="CQ88" s="244">
        <v>-23.7</v>
      </c>
      <c r="CR88" s="244">
        <v>34.4</v>
      </c>
      <c r="CS88" s="243">
        <v>-0.69</v>
      </c>
      <c r="CT88" s="243">
        <v>0.49064999999999998</v>
      </c>
    </row>
    <row r="89" spans="55:100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S89" s="81" t="s">
        <v>373</v>
      </c>
      <c r="BT89" s="81" t="s">
        <v>359</v>
      </c>
      <c r="BU89" s="166">
        <v>18800000</v>
      </c>
      <c r="BV89" s="166">
        <v>2330000</v>
      </c>
      <c r="BW89" s="81">
        <v>8.09</v>
      </c>
      <c r="BX89" s="166">
        <v>6.7000000000000004E-16</v>
      </c>
      <c r="BY89" s="81" t="s">
        <v>385</v>
      </c>
      <c r="CO89" s="243" t="s">
        <v>373</v>
      </c>
      <c r="CP89" s="243" t="s">
        <v>397</v>
      </c>
      <c r="CQ89" s="244">
        <v>-27.2</v>
      </c>
      <c r="CR89" s="244">
        <v>55.6</v>
      </c>
      <c r="CS89" s="243">
        <v>-0.49</v>
      </c>
      <c r="CT89" s="243">
        <v>0.62444999999999995</v>
      </c>
    </row>
    <row r="90" spans="55:100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401</v>
      </c>
      <c r="BU90" s="166">
        <v>8.0500000000000007</v>
      </c>
      <c r="BV90" s="166">
        <v>5.5100000000000003E-2</v>
      </c>
      <c r="BW90" s="81">
        <v>146.16999999999999</v>
      </c>
      <c r="BX90" s="81" t="s">
        <v>420</v>
      </c>
      <c r="BY90" s="166">
        <v>2E-16</v>
      </c>
      <c r="BZ90" s="81" t="s">
        <v>385</v>
      </c>
      <c r="CO90" s="243" t="s">
        <v>373</v>
      </c>
      <c r="CP90" s="243" t="s">
        <v>399</v>
      </c>
      <c r="CQ90" s="244">
        <v>-27</v>
      </c>
      <c r="CR90" s="244">
        <v>52.1</v>
      </c>
      <c r="CS90" s="243">
        <v>-0.52</v>
      </c>
      <c r="CT90" s="243">
        <v>0.60479000000000005</v>
      </c>
    </row>
    <row r="91" spans="55:100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425</v>
      </c>
      <c r="BU91" s="166">
        <v>10</v>
      </c>
      <c r="BV91" s="166">
        <v>2.14E-3</v>
      </c>
      <c r="BW91" s="81">
        <v>4675.1499999999996</v>
      </c>
      <c r="BX91" s="81" t="s">
        <v>420</v>
      </c>
      <c r="BY91" s="166">
        <v>2E-16</v>
      </c>
      <c r="BZ91" s="81" t="s">
        <v>385</v>
      </c>
      <c r="CO91" s="243" t="s">
        <v>373</v>
      </c>
      <c r="CP91" s="243" t="s">
        <v>400</v>
      </c>
      <c r="CQ91" s="244">
        <v>-22.2</v>
      </c>
      <c r="CR91" s="244">
        <v>44.5</v>
      </c>
      <c r="CS91" s="243">
        <v>-0.5</v>
      </c>
      <c r="CT91" s="243">
        <v>0.61756</v>
      </c>
    </row>
    <row r="92" spans="55:100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413</v>
      </c>
      <c r="BU92" s="166">
        <v>-4.74</v>
      </c>
      <c r="BV92" s="166">
        <v>3.8199999999999998E-2</v>
      </c>
      <c r="BW92" s="81">
        <v>-124.2</v>
      </c>
      <c r="BX92" s="81" t="s">
        <v>420</v>
      </c>
      <c r="BY92" s="166">
        <v>2E-16</v>
      </c>
      <c r="BZ92" s="81" t="s">
        <v>385</v>
      </c>
      <c r="CO92" s="243" t="s">
        <v>373</v>
      </c>
      <c r="CP92" s="243" t="s">
        <v>402</v>
      </c>
      <c r="CQ92" s="244">
        <v>0.16500000000000001</v>
      </c>
      <c r="CR92" s="244">
        <v>4.6799999999999999E-4</v>
      </c>
      <c r="CS92" s="243">
        <v>353.04</v>
      </c>
      <c r="CT92" s="243" t="s">
        <v>420</v>
      </c>
      <c r="CU92" s="244">
        <v>2E-16</v>
      </c>
      <c r="CV92" s="81" t="s">
        <v>385</v>
      </c>
    </row>
    <row r="93" spans="55:100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426</v>
      </c>
      <c r="BU93" s="166">
        <v>-4.71</v>
      </c>
      <c r="BV93" s="166">
        <v>4.3700000000000003E-2</v>
      </c>
      <c r="BW93" s="81">
        <v>-107.8</v>
      </c>
      <c r="BX93" s="81" t="s">
        <v>420</v>
      </c>
      <c r="BY93" s="166">
        <v>2E-16</v>
      </c>
      <c r="BZ93" s="81" t="s">
        <v>385</v>
      </c>
      <c r="CO93" s="243" t="s">
        <v>373</v>
      </c>
      <c r="CP93" s="243" t="s">
        <v>403</v>
      </c>
      <c r="CQ93" s="244">
        <v>5.8400000000000001E-2</v>
      </c>
      <c r="CR93" s="244">
        <v>1.4899999999999999E-4</v>
      </c>
      <c r="CS93" s="243">
        <v>393.04</v>
      </c>
      <c r="CT93" s="243" t="s">
        <v>420</v>
      </c>
      <c r="CU93" s="244">
        <v>2E-16</v>
      </c>
      <c r="CV93" s="81" t="s">
        <v>385</v>
      </c>
    </row>
    <row r="94" spans="55:100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365</v>
      </c>
      <c r="BU94" s="166">
        <v>192</v>
      </c>
      <c r="BV94" s="166">
        <v>3.81</v>
      </c>
      <c r="BW94" s="81">
        <v>50.34</v>
      </c>
      <c r="BX94" s="81" t="s">
        <v>420</v>
      </c>
      <c r="BY94" s="166">
        <v>2E-16</v>
      </c>
      <c r="BZ94" s="81" t="s">
        <v>385</v>
      </c>
      <c r="CO94" s="243" t="s">
        <v>373</v>
      </c>
      <c r="CP94" s="243" t="s">
        <v>404</v>
      </c>
      <c r="CQ94" s="244">
        <v>0.61099999999999999</v>
      </c>
      <c r="CR94" s="244">
        <v>6.2500000000000003E-3</v>
      </c>
      <c r="CS94" s="243">
        <v>97.86</v>
      </c>
      <c r="CT94" s="243" t="s">
        <v>420</v>
      </c>
      <c r="CU94" s="244">
        <v>2E-16</v>
      </c>
      <c r="CV94" s="81" t="s">
        <v>385</v>
      </c>
    </row>
    <row r="95" spans="55:100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367</v>
      </c>
      <c r="BU95" s="166">
        <v>2.63E-4</v>
      </c>
      <c r="BV95" s="166">
        <v>6.5899999999999997E-4</v>
      </c>
      <c r="BW95" s="81">
        <v>0.4</v>
      </c>
      <c r="BX95" s="81">
        <v>0.69</v>
      </c>
      <c r="CO95" s="243" t="s">
        <v>373</v>
      </c>
      <c r="CP95" s="243" t="s">
        <v>405</v>
      </c>
      <c r="CQ95" s="244">
        <v>0.11700000000000001</v>
      </c>
      <c r="CR95" s="244">
        <v>3.21E-4</v>
      </c>
      <c r="CS95" s="243">
        <v>365</v>
      </c>
      <c r="CT95" s="243" t="s">
        <v>420</v>
      </c>
      <c r="CU95" s="244">
        <v>2E-16</v>
      </c>
      <c r="CV95" s="81" t="s">
        <v>385</v>
      </c>
    </row>
    <row r="96" spans="55:100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369</v>
      </c>
      <c r="BU96" s="166">
        <v>389</v>
      </c>
      <c r="BV96" s="166">
        <v>9.27</v>
      </c>
      <c r="BW96" s="81">
        <v>41.99</v>
      </c>
      <c r="BX96" s="81" t="s">
        <v>420</v>
      </c>
      <c r="BY96" s="166">
        <v>2E-16</v>
      </c>
      <c r="BZ96" s="81" t="s">
        <v>385</v>
      </c>
      <c r="CO96" s="243" t="s">
        <v>373</v>
      </c>
      <c r="CP96" s="243" t="s">
        <v>407</v>
      </c>
      <c r="CQ96" s="244">
        <v>299</v>
      </c>
      <c r="CR96" s="244">
        <v>1.56</v>
      </c>
      <c r="CS96" s="243">
        <v>191.52</v>
      </c>
      <c r="CT96" s="243" t="s">
        <v>420</v>
      </c>
      <c r="CU96" s="244">
        <v>2E-16</v>
      </c>
      <c r="CV96" s="81" t="s">
        <v>385</v>
      </c>
    </row>
    <row r="97" spans="93:100" thickTop="1" thickBot="1" x14ac:dyDescent="0.3">
      <c r="CO97" s="243" t="s">
        <v>373</v>
      </c>
      <c r="CP97" s="243" t="s">
        <v>290</v>
      </c>
      <c r="CQ97" s="244">
        <v>120</v>
      </c>
      <c r="CR97" s="244">
        <v>0.91400000000000003</v>
      </c>
      <c r="CS97" s="243">
        <v>131.32</v>
      </c>
      <c r="CT97" s="243" t="s">
        <v>420</v>
      </c>
      <c r="CU97" s="244">
        <v>2E-16</v>
      </c>
      <c r="CV97" s="81" t="s">
        <v>385</v>
      </c>
    </row>
    <row r="98" spans="93:100" thickTop="1" thickBot="1" x14ac:dyDescent="0.3">
      <c r="CO98" s="243" t="s">
        <v>373</v>
      </c>
      <c r="CP98" s="243" t="s">
        <v>120</v>
      </c>
      <c r="CQ98" s="244">
        <v>69.3</v>
      </c>
      <c r="CR98" s="244">
        <v>2.36</v>
      </c>
      <c r="CS98" s="243">
        <v>29.37</v>
      </c>
      <c r="CT98" s="243" t="s">
        <v>420</v>
      </c>
      <c r="CU98" s="244">
        <v>2E-16</v>
      </c>
      <c r="CV98" s="81" t="s">
        <v>385</v>
      </c>
    </row>
    <row r="99" spans="93:100" thickTop="1" thickBot="1" x14ac:dyDescent="0.3">
      <c r="CO99" s="243" t="s">
        <v>373</v>
      </c>
      <c r="CP99" s="243" t="s">
        <v>409</v>
      </c>
      <c r="CQ99" s="244">
        <v>-5.15</v>
      </c>
      <c r="CR99" s="244">
        <v>1.44E-2</v>
      </c>
      <c r="CS99" s="243">
        <v>-357.79</v>
      </c>
      <c r="CT99" s="243" t="s">
        <v>420</v>
      </c>
      <c r="CU99" s="244">
        <v>2E-16</v>
      </c>
      <c r="CV99" s="81" t="s">
        <v>385</v>
      </c>
    </row>
    <row r="100" spans="93:100" thickTop="1" thickBot="1" x14ac:dyDescent="0.3">
      <c r="CO100" s="243" t="s">
        <v>373</v>
      </c>
      <c r="CP100" s="243" t="s">
        <v>410</v>
      </c>
      <c r="CQ100" s="244">
        <v>-5.23</v>
      </c>
      <c r="CR100" s="244">
        <v>1.43E-2</v>
      </c>
      <c r="CS100" s="243">
        <v>-365.46</v>
      </c>
      <c r="CT100" s="243" t="s">
        <v>420</v>
      </c>
      <c r="CU100" s="244">
        <v>2E-16</v>
      </c>
      <c r="CV100" s="81" t="s">
        <v>385</v>
      </c>
    </row>
    <row r="101" spans="93:100" thickTop="1" thickBot="1" x14ac:dyDescent="0.3">
      <c r="CO101" s="243" t="s">
        <v>373</v>
      </c>
      <c r="CP101" s="243" t="s">
        <v>411</v>
      </c>
      <c r="CQ101" s="244">
        <v>-5.62</v>
      </c>
      <c r="CR101" s="244">
        <v>1.52E-2</v>
      </c>
      <c r="CS101" s="243">
        <v>-368.65</v>
      </c>
      <c r="CT101" s="243" t="s">
        <v>420</v>
      </c>
      <c r="CU101" s="244">
        <v>2E-16</v>
      </c>
      <c r="CV101" s="81" t="s">
        <v>385</v>
      </c>
    </row>
    <row r="102" spans="93:100" thickTop="1" thickBot="1" x14ac:dyDescent="0.3">
      <c r="CO102" s="243" t="s">
        <v>373</v>
      </c>
      <c r="CP102" s="243" t="s">
        <v>412</v>
      </c>
      <c r="CQ102" s="244">
        <v>-5.45</v>
      </c>
      <c r="CR102" s="244">
        <v>1.5299999999999999E-2</v>
      </c>
      <c r="CS102" s="243">
        <v>-356.26</v>
      </c>
      <c r="CT102" s="243" t="s">
        <v>420</v>
      </c>
      <c r="CU102" s="244">
        <v>2E-16</v>
      </c>
      <c r="CV102" s="81" t="s">
        <v>385</v>
      </c>
    </row>
    <row r="103" spans="93:100" thickTop="1" thickBot="1" x14ac:dyDescent="0.3">
      <c r="CO103" s="243" t="s">
        <v>373</v>
      </c>
      <c r="CP103" s="243" t="s">
        <v>414</v>
      </c>
      <c r="CQ103" s="244">
        <v>1.01E-4</v>
      </c>
      <c r="CR103" s="244">
        <v>3.6799999999999999E-6</v>
      </c>
      <c r="CS103" s="243">
        <v>27.33</v>
      </c>
      <c r="CT103" s="243" t="s">
        <v>420</v>
      </c>
      <c r="CU103" s="244">
        <v>2E-16</v>
      </c>
      <c r="CV103" s="81" t="s">
        <v>385</v>
      </c>
    </row>
    <row r="104" spans="93:100" thickTop="1" thickBot="1" x14ac:dyDescent="0.3">
      <c r="CO104" s="243" t="s">
        <v>373</v>
      </c>
      <c r="CP104" s="243" t="s">
        <v>415</v>
      </c>
      <c r="CQ104" s="244">
        <v>252</v>
      </c>
      <c r="CR104" s="244">
        <v>1.6</v>
      </c>
      <c r="CS104" s="243">
        <v>157.04</v>
      </c>
      <c r="CT104" s="243" t="s">
        <v>420</v>
      </c>
      <c r="CU104" s="244">
        <v>2E-16</v>
      </c>
      <c r="CV104" s="81" t="s">
        <v>385</v>
      </c>
    </row>
    <row r="105" spans="93:100" thickTop="1" thickBot="1" x14ac:dyDescent="0.3">
      <c r="CO105" s="243" t="s">
        <v>373</v>
      </c>
      <c r="CP105" s="243" t="s">
        <v>416</v>
      </c>
      <c r="CQ105" s="244">
        <v>5610</v>
      </c>
      <c r="CR105" s="244">
        <v>2280</v>
      </c>
      <c r="CS105" s="243">
        <v>2.46</v>
      </c>
      <c r="CT105" s="243">
        <v>1.3979999999999999E-2</v>
      </c>
      <c r="CU105" s="243" t="s">
        <v>418</v>
      </c>
    </row>
    <row r="108" spans="93:100" thickTop="1" thickBot="1" x14ac:dyDescent="0.3">
      <c r="CP108" s="243" t="s">
        <v>422</v>
      </c>
      <c r="CQ108" s="244">
        <v>289</v>
      </c>
      <c r="CR108" s="244">
        <v>0.34499999999999997</v>
      </c>
      <c r="CS108" s="243">
        <v>837.17</v>
      </c>
      <c r="CT108" s="243" t="s">
        <v>420</v>
      </c>
      <c r="CU108" s="244">
        <v>2E-16</v>
      </c>
      <c r="CV108" s="243" t="s">
        <v>385</v>
      </c>
    </row>
    <row r="109" spans="93:100" thickTop="1" thickBot="1" x14ac:dyDescent="0.3">
      <c r="CO109" s="243" t="s">
        <v>373</v>
      </c>
      <c r="CP109" s="243" t="s">
        <v>423</v>
      </c>
      <c r="CQ109" s="244">
        <v>292</v>
      </c>
      <c r="CR109" s="244">
        <v>0.36699999999999999</v>
      </c>
      <c r="CS109" s="243">
        <v>796.26</v>
      </c>
      <c r="CT109" s="243" t="s">
        <v>420</v>
      </c>
      <c r="CU109" s="244">
        <v>2E-16</v>
      </c>
      <c r="CV109" s="81" t="s">
        <v>385</v>
      </c>
    </row>
    <row r="110" spans="93:100" thickTop="1" thickBot="1" x14ac:dyDescent="0.3">
      <c r="CO110" s="243" t="s">
        <v>373</v>
      </c>
      <c r="CP110" s="243" t="s">
        <v>353</v>
      </c>
      <c r="CQ110" s="244">
        <v>9.84</v>
      </c>
      <c r="CR110" s="244">
        <v>1.27</v>
      </c>
      <c r="CS110" s="243">
        <v>7.73</v>
      </c>
      <c r="CT110" s="244">
        <v>1.4E-14</v>
      </c>
      <c r="CU110" s="243" t="s">
        <v>385</v>
      </c>
    </row>
    <row r="111" spans="93:100" thickTop="1" thickBot="1" x14ac:dyDescent="0.3">
      <c r="CO111" s="243" t="s">
        <v>373</v>
      </c>
      <c r="CP111" s="243" t="s">
        <v>355</v>
      </c>
      <c r="CQ111" s="244">
        <v>1.35</v>
      </c>
      <c r="CR111" s="244">
        <v>0.24399999999999999</v>
      </c>
      <c r="CS111" s="243">
        <v>5.54</v>
      </c>
      <c r="CT111" s="244">
        <v>3.1E-8</v>
      </c>
      <c r="CU111" s="243" t="s">
        <v>385</v>
      </c>
    </row>
    <row r="112" spans="93:100" thickTop="1" thickBot="1" x14ac:dyDescent="0.3">
      <c r="CO112" s="243" t="s">
        <v>373</v>
      </c>
      <c r="CP112" s="243" t="s">
        <v>424</v>
      </c>
      <c r="CQ112" s="244">
        <v>139000000</v>
      </c>
      <c r="CR112" s="244">
        <v>35000000</v>
      </c>
      <c r="CS112" s="243">
        <v>3.98</v>
      </c>
      <c r="CT112" s="244">
        <v>6.8999999999999997E-5</v>
      </c>
      <c r="CU112" s="243" t="s">
        <v>385</v>
      </c>
    </row>
    <row r="113" spans="93:100" thickTop="1" thickBot="1" x14ac:dyDescent="0.3">
      <c r="CO113" s="243" t="s">
        <v>373</v>
      </c>
      <c r="CP113" s="243" t="s">
        <v>359</v>
      </c>
      <c r="CQ113" s="244">
        <v>18800000</v>
      </c>
      <c r="CR113" s="244">
        <v>2330000</v>
      </c>
      <c r="CS113" s="243">
        <v>8.09</v>
      </c>
      <c r="CT113" s="244">
        <v>6.7000000000000004E-16</v>
      </c>
      <c r="CU113" s="243" t="s">
        <v>385</v>
      </c>
    </row>
    <row r="114" spans="93:100" thickTop="1" thickBot="1" x14ac:dyDescent="0.3">
      <c r="CO114" s="243" t="s">
        <v>373</v>
      </c>
      <c r="CP114" s="243" t="s">
        <v>401</v>
      </c>
      <c r="CQ114" s="244">
        <v>8.0500000000000007</v>
      </c>
      <c r="CR114" s="244">
        <v>5.5100000000000003E-2</v>
      </c>
      <c r="CS114" s="243">
        <v>146.16999999999999</v>
      </c>
      <c r="CT114" s="243" t="s">
        <v>420</v>
      </c>
      <c r="CU114" s="244">
        <v>2E-16</v>
      </c>
      <c r="CV114" s="81" t="s">
        <v>385</v>
      </c>
    </row>
    <row r="115" spans="93:100" thickTop="1" thickBot="1" x14ac:dyDescent="0.3">
      <c r="CO115" s="243" t="s">
        <v>373</v>
      </c>
      <c r="CP115" s="243" t="s">
        <v>425</v>
      </c>
      <c r="CQ115" s="244">
        <v>10</v>
      </c>
      <c r="CR115" s="244">
        <v>2.14E-3</v>
      </c>
      <c r="CS115" s="243">
        <v>4675.1499999999996</v>
      </c>
      <c r="CT115" s="243" t="s">
        <v>420</v>
      </c>
      <c r="CU115" s="244">
        <v>2E-16</v>
      </c>
      <c r="CV115" s="81" t="s">
        <v>385</v>
      </c>
    </row>
    <row r="116" spans="93:100" thickTop="1" thickBot="1" x14ac:dyDescent="0.3">
      <c r="CO116" s="243" t="s">
        <v>373</v>
      </c>
      <c r="CP116" s="243" t="s">
        <v>413</v>
      </c>
      <c r="CQ116" s="244">
        <v>-4.74</v>
      </c>
      <c r="CR116" s="244">
        <v>3.8199999999999998E-2</v>
      </c>
      <c r="CS116" s="243">
        <v>-124.2</v>
      </c>
      <c r="CT116" s="243" t="s">
        <v>420</v>
      </c>
      <c r="CU116" s="244">
        <v>2E-16</v>
      </c>
      <c r="CV116" s="81" t="s">
        <v>385</v>
      </c>
    </row>
    <row r="117" spans="93:100" thickTop="1" thickBot="1" x14ac:dyDescent="0.3">
      <c r="CO117" s="243" t="s">
        <v>373</v>
      </c>
      <c r="CP117" s="243" t="s">
        <v>426</v>
      </c>
      <c r="CQ117" s="244">
        <v>-4.71</v>
      </c>
      <c r="CR117" s="244">
        <v>4.3700000000000003E-2</v>
      </c>
      <c r="CS117" s="243">
        <v>-107.8</v>
      </c>
      <c r="CT117" s="243" t="s">
        <v>420</v>
      </c>
      <c r="CU117" s="244">
        <v>2E-16</v>
      </c>
      <c r="CV117" s="81" t="s">
        <v>385</v>
      </c>
    </row>
    <row r="118" spans="93:100" thickTop="1" thickBot="1" x14ac:dyDescent="0.3">
      <c r="CO118" s="243" t="s">
        <v>373</v>
      </c>
      <c r="CP118" s="243" t="s">
        <v>365</v>
      </c>
      <c r="CQ118" s="244">
        <v>192</v>
      </c>
      <c r="CR118" s="244">
        <v>3.81</v>
      </c>
      <c r="CS118" s="243">
        <v>50.34</v>
      </c>
      <c r="CT118" s="243" t="s">
        <v>420</v>
      </c>
      <c r="CU118" s="244">
        <v>2E-16</v>
      </c>
      <c r="CV118" s="81" t="s">
        <v>385</v>
      </c>
    </row>
    <row r="119" spans="93:100" thickTop="1" thickBot="1" x14ac:dyDescent="0.3">
      <c r="CO119" s="243" t="s">
        <v>373</v>
      </c>
      <c r="CP119" s="243" t="s">
        <v>367</v>
      </c>
      <c r="CQ119" s="244">
        <v>2.63E-4</v>
      </c>
      <c r="CR119" s="244">
        <v>6.5899999999999997E-4</v>
      </c>
      <c r="CS119" s="243">
        <v>0.4</v>
      </c>
      <c r="CT119" s="243">
        <v>0.69</v>
      </c>
    </row>
    <row r="120" spans="93:100" thickTop="1" thickBot="1" x14ac:dyDescent="0.3">
      <c r="CO120" s="243" t="s">
        <v>373</v>
      </c>
      <c r="CP120" s="243" t="s">
        <v>369</v>
      </c>
      <c r="CQ120" s="244">
        <v>389</v>
      </c>
      <c r="CR120" s="244">
        <v>9.27</v>
      </c>
      <c r="CS120" s="243">
        <v>41.99</v>
      </c>
      <c r="CT120" s="243" t="s">
        <v>420</v>
      </c>
      <c r="CU120" s="244">
        <v>2E-16</v>
      </c>
      <c r="CV120" s="81" t="s">
        <v>385</v>
      </c>
    </row>
  </sheetData>
  <mergeCells count="8">
    <mergeCell ref="F36:G36"/>
    <mergeCell ref="B1:H1"/>
    <mergeCell ref="B3:I3"/>
    <mergeCell ref="K3:U3"/>
    <mergeCell ref="W3:AH3"/>
    <mergeCell ref="L4:P4"/>
    <mergeCell ref="F33:G33"/>
    <mergeCell ref="F34:G34"/>
  </mergeCells>
  <pageMargins left="0.25" right="0.25" top="0.75" bottom="0.75" header="0.51180555555555496" footer="0.51180555555555496"/>
  <pageSetup paperSize="9" firstPageNumber="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DV122"/>
  <sheetViews>
    <sheetView topLeftCell="U4" zoomScale="85" zoomScaleNormal="85" workbookViewId="0">
      <selection activeCell="AP25" sqref="AP25"/>
    </sheetView>
  </sheetViews>
  <sheetFormatPr defaultRowHeight="16.5" thickTop="1" thickBottom="1" x14ac:dyDescent="0.3"/>
  <cols>
    <col min="1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2"/>
    <col min="19" max="21" width="9.140625" style="81"/>
    <col min="22" max="22" width="9.140625" style="1"/>
    <col min="23" max="34" width="9.140625" style="172" customWidth="1"/>
    <col min="35" max="35" width="9.140625" style="81" customWidth="1"/>
    <col min="36" max="37" width="9.140625" style="157" customWidth="1"/>
    <col min="38" max="38" width="9.140625" style="158" customWidth="1"/>
    <col min="39" max="39" width="10.28515625" style="158" customWidth="1"/>
    <col min="40" max="41" width="9.140625" style="81" customWidth="1"/>
    <col min="42" max="43" width="12.7109375" style="81" customWidth="1"/>
    <col min="44" max="47" width="9.140625" style="81" customWidth="1"/>
    <col min="48" max="51" width="9.140625" style="160" customWidth="1"/>
    <col min="52" max="52" width="14.7109375" style="161" customWidth="1"/>
    <col min="53" max="53" width="9.140625" style="160" customWidth="1"/>
    <col min="54" max="54" width="9.140625" style="170" customWidth="1"/>
    <col min="55" max="67" width="9.140625" style="81" customWidth="1"/>
    <col min="68" max="68" width="15.42578125" style="81" customWidth="1"/>
    <col min="69" max="69" width="9.140625" style="81" customWidth="1"/>
    <col min="70" max="70" width="9.140625" style="170" customWidth="1"/>
    <col min="71" max="82" width="9.140625" style="81" customWidth="1"/>
    <col min="83" max="83" width="15" style="81" customWidth="1"/>
    <col min="84" max="85" width="9.140625" style="81" customWidth="1"/>
    <col min="86" max="86" width="9.140625" style="238" customWidth="1"/>
    <col min="87" max="92" width="9.140625" style="81" customWidth="1"/>
    <col min="93" max="99" width="9.140625" style="243" customWidth="1"/>
    <col min="100" max="100" width="9.140625" style="81" customWidth="1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6" max="107" width="9.140625" style="81"/>
    <col min="108" max="112" width="9.140625" style="169"/>
    <col min="113" max="113" width="9.140625" style="81"/>
    <col min="114" max="121" width="9.140625" style="280" customWidth="1"/>
    <col min="122" max="122" width="15.5703125" style="281" bestFit="1" customWidth="1"/>
    <col min="123" max="124" width="9.140625" style="281"/>
    <col min="125" max="125" width="10.28515625" style="281" customWidth="1"/>
    <col min="126" max="126" width="9.140625" style="281"/>
    <col min="127" max="16384" width="9.140625" style="81"/>
  </cols>
  <sheetData>
    <row r="1" spans="2:126" ht="20.25" customHeight="1" thickTop="1" thickBot="1" x14ac:dyDescent="0.35">
      <c r="B1" s="292" t="s">
        <v>307</v>
      </c>
      <c r="C1" s="292"/>
      <c r="D1" s="292"/>
      <c r="E1" s="292"/>
      <c r="F1" s="292"/>
      <c r="G1" s="292"/>
      <c r="H1" s="292"/>
      <c r="AO1" s="159" t="s">
        <v>309</v>
      </c>
      <c r="BS1" s="81" t="s">
        <v>427</v>
      </c>
    </row>
    <row r="2" spans="2:126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  <c r="DJ2" s="280" t="s">
        <v>440</v>
      </c>
    </row>
    <row r="3" spans="2:126" thickTop="1" thickBot="1" x14ac:dyDescent="0.3">
      <c r="B3" s="296" t="s">
        <v>1</v>
      </c>
      <c r="C3" s="297"/>
      <c r="D3" s="297"/>
      <c r="E3" s="297"/>
      <c r="F3" s="297"/>
      <c r="G3" s="297"/>
      <c r="H3" s="297"/>
      <c r="I3" s="298"/>
      <c r="K3" s="289" t="s">
        <v>2</v>
      </c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4"/>
      <c r="W3" s="295" t="s">
        <v>3</v>
      </c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0.22</v>
      </c>
      <c r="CF3" s="167" t="s">
        <v>317</v>
      </c>
      <c r="CI3" s="81" t="s">
        <v>316</v>
      </c>
      <c r="CJ3" s="239">
        <f>AZ4</f>
        <v>9.673910950452673E-2</v>
      </c>
      <c r="CK3" s="239">
        <f>BP4</f>
        <v>0.18</v>
      </c>
      <c r="CL3" s="239">
        <f>CE3</f>
        <v>0.22</v>
      </c>
      <c r="CO3" s="243" t="s">
        <v>513</v>
      </c>
      <c r="CP3" s="243" t="s">
        <v>374</v>
      </c>
      <c r="CQ3" s="243" t="s">
        <v>441</v>
      </c>
      <c r="CW3" s="245" t="s">
        <v>459</v>
      </c>
      <c r="DD3" s="245" t="s">
        <v>514</v>
      </c>
      <c r="DJ3" s="280" t="s">
        <v>513</v>
      </c>
      <c r="DK3" s="280" t="s">
        <v>374</v>
      </c>
      <c r="DL3" s="280" t="s">
        <v>441</v>
      </c>
      <c r="DR3" s="281" t="s">
        <v>459</v>
      </c>
    </row>
    <row r="4" spans="2:126" ht="15.75" customHeight="1" thickTop="1" thickBot="1" x14ac:dyDescent="0.3">
      <c r="B4" s="234" t="s">
        <v>6</v>
      </c>
      <c r="C4" s="235">
        <f>'Tabula data'!B5</f>
        <v>621.29999999999995</v>
      </c>
      <c r="D4" s="235" t="s">
        <v>7</v>
      </c>
      <c r="E4" s="234" t="s">
        <v>8</v>
      </c>
      <c r="F4" s="235"/>
      <c r="G4" s="235"/>
      <c r="H4" s="236">
        <f>SUM(I6:I13)</f>
        <v>31.5</v>
      </c>
      <c r="I4" s="237" t="s">
        <v>9</v>
      </c>
      <c r="L4" s="299" t="s">
        <v>432</v>
      </c>
      <c r="M4" s="300"/>
      <c r="N4" s="300"/>
      <c r="O4" s="300"/>
      <c r="P4" s="301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SUM(O6:O9)/(SUM($O$6:$O$14,$O$26,O30)+2*SUM($O$27))</f>
        <v>9.673910950452673E-2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9.673910950452673E-2</v>
      </c>
      <c r="BA4" s="167" t="s">
        <v>317</v>
      </c>
      <c r="BC4" s="81" t="s">
        <v>373</v>
      </c>
      <c r="BD4" s="81" t="s">
        <v>376</v>
      </c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0.45400000000000001</v>
      </c>
      <c r="CF4" s="167" t="s">
        <v>317</v>
      </c>
      <c r="CI4" s="81" t="s">
        <v>319</v>
      </c>
      <c r="CJ4" s="239">
        <f t="shared" ref="CJ4:CJ49" si="1">AZ5</f>
        <v>0.48835547545639596</v>
      </c>
      <c r="CK4" s="239">
        <f t="shared" ref="CK4:CK49" si="2">BP5</f>
        <v>0.33600000000000002</v>
      </c>
      <c r="CL4" s="239">
        <f t="shared" ref="CL4:CL49" si="3">CE4</f>
        <v>0.45400000000000001</v>
      </c>
      <c r="CO4" s="243" t="s">
        <v>373</v>
      </c>
      <c r="CP4" s="243" t="s">
        <v>376</v>
      </c>
      <c r="DJ4" s="280" t="s">
        <v>373</v>
      </c>
      <c r="DK4" s="280" t="s">
        <v>376</v>
      </c>
    </row>
    <row r="5" spans="2:126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s="81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1/(1/10+SUM(AD7:AD11)+1/23)</f>
        <v>0.27481053799679722</v>
      </c>
      <c r="AB5" s="217" t="s">
        <v>5</v>
      </c>
      <c r="AC5" s="217"/>
      <c r="AD5" s="217" t="s">
        <v>22</v>
      </c>
      <c r="AE5" s="220">
        <f>SUM(AE7:AE11)</f>
        <v>85322</v>
      </c>
      <c r="AF5" s="222" t="s">
        <v>23</v>
      </c>
      <c r="AG5" s="222">
        <f>SUM(AE10:AE11)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(2*O27+O30)/(SUM($O$6:$O$14,$O$26,O30)+2*SUM($O$27))</f>
        <v>0.48835547545639596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0.48835547545639596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5.8500000000000003E-2</v>
      </c>
      <c r="CF5" s="167" t="s">
        <v>317</v>
      </c>
      <c r="CI5" s="81" t="s">
        <v>320</v>
      </c>
      <c r="CJ5" s="239">
        <f t="shared" si="1"/>
        <v>3.9095185682712946E-2</v>
      </c>
      <c r="CK5" s="239">
        <f t="shared" si="2"/>
        <v>0.33700000000000002</v>
      </c>
      <c r="CL5" s="239">
        <f t="shared" si="3"/>
        <v>5.8500000000000003E-2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W5" s="245" t="s">
        <v>460</v>
      </c>
      <c r="CX5" s="246" t="s">
        <v>461</v>
      </c>
      <c r="CY5" s="246" t="s">
        <v>318</v>
      </c>
      <c r="CZ5" s="247">
        <f>CQ11</f>
        <v>3.8600000000000002E-2</v>
      </c>
      <c r="DA5" s="245" t="s">
        <v>317</v>
      </c>
      <c r="DD5" s="278" t="s">
        <v>460</v>
      </c>
      <c r="DE5" s="274" t="s">
        <v>461</v>
      </c>
      <c r="DF5" s="274" t="s">
        <v>318</v>
      </c>
      <c r="DG5" s="278">
        <f>O$11*$Z$37*$AP$4</f>
        <v>0.17959615679515387</v>
      </c>
      <c r="DH5" s="278" t="s">
        <v>317</v>
      </c>
      <c r="DJ5" s="280" t="s">
        <v>373</v>
      </c>
      <c r="DK5" s="280" t="s">
        <v>377</v>
      </c>
      <c r="DL5" s="280" t="s">
        <v>378</v>
      </c>
      <c r="DM5" s="280" t="s">
        <v>379</v>
      </c>
      <c r="DN5" s="280" t="s">
        <v>380</v>
      </c>
      <c r="DO5" s="280" t="s">
        <v>381</v>
      </c>
      <c r="DP5" s="280" t="s">
        <v>382</v>
      </c>
      <c r="DR5" s="281" t="s">
        <v>460</v>
      </c>
      <c r="DS5" s="282" t="s">
        <v>461</v>
      </c>
      <c r="DT5" s="282" t="s">
        <v>318</v>
      </c>
      <c r="DU5" s="283">
        <f>DL11</f>
        <v>0.26100000000000001</v>
      </c>
      <c r="DV5" s="281" t="s">
        <v>317</v>
      </c>
    </row>
    <row r="6" spans="2:126" ht="15" customHeight="1" thickTop="1" thickBot="1" x14ac:dyDescent="0.3">
      <c r="B6" s="193" t="s">
        <v>34</v>
      </c>
      <c r="C6" s="195">
        <f>'Tabula data'!B4</f>
        <v>225.9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0.13333333333333333</v>
      </c>
      <c r="H6" s="176"/>
      <c r="I6" s="180">
        <f>'Tabula data'!B21*'Tabula RefULG 1'!D45</f>
        <v>4.2</v>
      </c>
      <c r="K6" s="81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19.486299247454621</v>
      </c>
      <c r="P6" s="207" t="s">
        <v>26</v>
      </c>
      <c r="Q6" s="30">
        <f t="shared" ref="Q6:Q27" si="7">VLOOKUP(N6,$X$5:$AA$392,4,0)</f>
        <v>2.2022341505875525</v>
      </c>
      <c r="R6" s="30">
        <f t="shared" ref="R6:R27" si="8">Q6*O6</f>
        <v>42.913393671313088</v>
      </c>
      <c r="S6" s="30">
        <f t="shared" ref="S6:S14" si="9">VLOOKUP(N6,$X$5:$AE$392,8,0)*O6</f>
        <v>8766496.305444885</v>
      </c>
      <c r="T6" s="30">
        <f t="shared" ref="T6:T14" si="10">S6/O6</f>
        <v>449880</v>
      </c>
      <c r="U6" s="30">
        <f t="shared" ref="U6:U14" si="11">VLOOKUP(N6,$X$5:$AG$391,10,0)*O6</f>
        <v>7889612.839309427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SUM(O10:O13)/(SUM($O$6:$O$14,$O$26,O30)+2*SUM($O$27))</f>
        <v>3.9095185682712946E-2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3.9095185682712946E-2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290</v>
      </c>
      <c r="BV6" s="166">
        <v>0.105</v>
      </c>
      <c r="BW6" s="81">
        <v>2755.29</v>
      </c>
      <c r="BX6" s="81" t="s">
        <v>384</v>
      </c>
      <c r="BY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0.152</v>
      </c>
      <c r="CF6" s="167" t="s">
        <v>317</v>
      </c>
      <c r="CI6" s="81" t="s">
        <v>321</v>
      </c>
      <c r="CJ6" s="239">
        <f t="shared" si="1"/>
        <v>0.18790511467818219</v>
      </c>
      <c r="CK6" s="239">
        <f t="shared" si="2"/>
        <v>0.10299999999999999</v>
      </c>
      <c r="CL6" s="239">
        <f t="shared" si="3"/>
        <v>0.152</v>
      </c>
      <c r="CO6" s="243" t="s">
        <v>373</v>
      </c>
      <c r="CP6" s="243" t="s">
        <v>383</v>
      </c>
      <c r="CQ6" s="244">
        <v>292</v>
      </c>
      <c r="CR6" s="244">
        <v>3.73E-2</v>
      </c>
      <c r="CS6" s="243">
        <v>7843.81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0.53800000000000003</v>
      </c>
      <c r="DA6" s="245" t="s">
        <v>317</v>
      </c>
      <c r="DD6" s="278" t="s">
        <v>460</v>
      </c>
      <c r="DE6" s="274" t="s">
        <v>462</v>
      </c>
      <c r="DF6" s="274" t="s">
        <v>318</v>
      </c>
      <c r="DG6" s="278">
        <f>O$10*$Z$37*$AP$4</f>
        <v>0.19096300216193576</v>
      </c>
      <c r="DH6" s="278" t="s">
        <v>317</v>
      </c>
      <c r="DJ6" s="280" t="s">
        <v>373</v>
      </c>
      <c r="DK6" s="280" t="s">
        <v>383</v>
      </c>
      <c r="DL6" s="284">
        <v>294</v>
      </c>
      <c r="DM6" s="284">
        <v>0.41399999999999998</v>
      </c>
      <c r="DN6" s="280">
        <v>710.25</v>
      </c>
      <c r="DO6" s="280" t="s">
        <v>420</v>
      </c>
      <c r="DP6" s="284">
        <v>2E-16</v>
      </c>
      <c r="DQ6" s="280" t="s">
        <v>385</v>
      </c>
      <c r="DR6" s="281" t="s">
        <v>460</v>
      </c>
      <c r="DS6" s="282" t="s">
        <v>462</v>
      </c>
      <c r="DT6" s="282" t="s">
        <v>318</v>
      </c>
      <c r="DU6" s="283">
        <f t="shared" ref="DU6:DU24" si="13">DL12</f>
        <v>0.77400000000000002</v>
      </c>
      <c r="DV6" s="281" t="s">
        <v>317</v>
      </c>
    </row>
    <row r="7" spans="2:126" ht="15" customHeight="1" thickTop="1" thickBot="1" x14ac:dyDescent="0.3">
      <c r="B7" s="178" t="s">
        <v>42</v>
      </c>
      <c r="C7" s="183">
        <f>'Tabula data'!B14</f>
        <v>75.699999999999989</v>
      </c>
      <c r="D7" s="189" t="s">
        <v>9</v>
      </c>
      <c r="E7" s="178" t="s">
        <v>43</v>
      </c>
      <c r="F7" s="176" t="s">
        <v>36</v>
      </c>
      <c r="G7" s="179">
        <f t="shared" si="6"/>
        <v>0.1253968253968254</v>
      </c>
      <c r="H7" s="176"/>
      <c r="I7" s="180">
        <f>'Tabula data'!B22*'Tabula RefULG 1'!D45</f>
        <v>3.95</v>
      </c>
      <c r="K7" s="81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0</v>
      </c>
      <c r="P7" s="211" t="s">
        <v>39</v>
      </c>
      <c r="Q7" s="30">
        <f t="shared" si="7"/>
        <v>2.2022341505875525</v>
      </c>
      <c r="R7" s="30">
        <f t="shared" si="8"/>
        <v>0</v>
      </c>
      <c r="S7" s="30">
        <f t="shared" si="9"/>
        <v>0</v>
      </c>
      <c r="T7" s="30" t="e">
        <f t="shared" si="10"/>
        <v>#DIV/0!</v>
      </c>
      <c r="U7" s="30">
        <f t="shared" si="11"/>
        <v>0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SUM(O14)/(SUM($O$6:$O$14,$O$26,O30)+2*SUM($O$27))</f>
        <v>0.18790511467818219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0.18790511467818219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286</v>
      </c>
      <c r="BV7" s="166">
        <v>5.2200000000000003E-2</v>
      </c>
      <c r="BW7" s="81">
        <v>5486.87</v>
      </c>
      <c r="BX7" s="81" t="s">
        <v>384</v>
      </c>
      <c r="BY7" s="81" t="s">
        <v>385</v>
      </c>
      <c r="CA7" s="167"/>
      <c r="CB7" s="167"/>
      <c r="CC7" s="167"/>
      <c r="CD7" s="168"/>
      <c r="CE7" s="161"/>
      <c r="CF7" s="167"/>
      <c r="CJ7" s="240"/>
      <c r="CK7" s="240"/>
      <c r="CL7" s="240"/>
      <c r="CO7" s="243" t="s">
        <v>373</v>
      </c>
      <c r="CP7" s="243" t="s">
        <v>386</v>
      </c>
      <c r="CQ7" s="244">
        <v>287</v>
      </c>
      <c r="CR7" s="244">
        <v>5.2299999999999999E-2</v>
      </c>
      <c r="CS7" s="243">
        <v>5491.54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47">
        <f t="shared" si="12"/>
        <v>0.191</v>
      </c>
      <c r="DA7" s="245" t="s">
        <v>317</v>
      </c>
      <c r="DD7" s="278" t="s">
        <v>460</v>
      </c>
      <c r="DE7" s="274" t="s">
        <v>463</v>
      </c>
      <c r="DF7" s="274" t="s">
        <v>318</v>
      </c>
      <c r="DG7" s="278">
        <f>O$12*$Z$37*$AP$4</f>
        <v>0.18414289494186661</v>
      </c>
      <c r="DH7" s="278" t="s">
        <v>317</v>
      </c>
      <c r="DJ7" s="280" t="s">
        <v>373</v>
      </c>
      <c r="DK7" s="280" t="s">
        <v>386</v>
      </c>
      <c r="DL7" s="284">
        <v>287</v>
      </c>
      <c r="DM7" s="284">
        <v>0.13800000000000001</v>
      </c>
      <c r="DN7" s="280">
        <v>2090.56</v>
      </c>
      <c r="DO7" s="280" t="s">
        <v>420</v>
      </c>
      <c r="DP7" s="284">
        <v>2E-16</v>
      </c>
      <c r="DQ7" s="280" t="s">
        <v>385</v>
      </c>
      <c r="DR7" s="281" t="s">
        <v>460</v>
      </c>
      <c r="DS7" s="285" t="s">
        <v>463</v>
      </c>
      <c r="DT7" s="282" t="s">
        <v>318</v>
      </c>
      <c r="DU7" s="283">
        <f t="shared" si="13"/>
        <v>0.38700000000000001</v>
      </c>
      <c r="DV7" s="281" t="s">
        <v>317</v>
      </c>
    </row>
    <row r="8" spans="2:126" ht="15" customHeight="1" thickTop="1" thickBot="1" x14ac:dyDescent="0.3">
      <c r="B8" s="178" t="s">
        <v>47</v>
      </c>
      <c r="C8" s="183">
        <f>C6-C7</f>
        <v>150.20000000000002</v>
      </c>
      <c r="D8" s="176" t="s">
        <v>9</v>
      </c>
      <c r="E8" s="178" t="s">
        <v>48</v>
      </c>
      <c r="F8" s="176" t="s">
        <v>36</v>
      </c>
      <c r="G8" s="179">
        <f t="shared" si="6"/>
        <v>0.12857142857142856</v>
      </c>
      <c r="H8" s="176"/>
      <c r="I8" s="180">
        <f>'Tabula data'!B23*D45</f>
        <v>4.05</v>
      </c>
      <c r="K8" s="81" t="s">
        <v>44</v>
      </c>
      <c r="L8" s="208">
        <v>0</v>
      </c>
      <c r="M8" s="209">
        <v>1</v>
      </c>
      <c r="N8" s="209" t="s">
        <v>25</v>
      </c>
      <c r="O8" s="210">
        <f>O6</f>
        <v>19.486299247454621</v>
      </c>
      <c r="P8" s="211" t="s">
        <v>45</v>
      </c>
      <c r="Q8" s="30">
        <f t="shared" si="7"/>
        <v>2.2022341505875525</v>
      </c>
      <c r="R8" s="30">
        <f t="shared" si="8"/>
        <v>42.913393671313088</v>
      </c>
      <c r="S8" s="30">
        <f t="shared" si="9"/>
        <v>8766496.305444885</v>
      </c>
      <c r="T8" s="30">
        <f t="shared" si="10"/>
        <v>449880</v>
      </c>
      <c r="U8" s="30">
        <f t="shared" si="11"/>
        <v>7889612.839309427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295</v>
      </c>
      <c r="BV8" s="166">
        <v>8.5800000000000001E-2</v>
      </c>
      <c r="BW8" s="81">
        <v>3431.93</v>
      </c>
      <c r="BX8" s="81" t="s">
        <v>384</v>
      </c>
      <c r="BY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161">
        <f>BU19</f>
        <v>2910000</v>
      </c>
      <c r="CF8" s="167" t="s">
        <v>317</v>
      </c>
      <c r="CI8" s="81" t="s">
        <v>322</v>
      </c>
      <c r="CJ8" s="241">
        <f t="shared" si="1"/>
        <v>1095632.3788579016</v>
      </c>
      <c r="CK8" s="241">
        <f t="shared" si="2"/>
        <v>2900000</v>
      </c>
      <c r="CL8" s="241">
        <f t="shared" si="3"/>
        <v>2910000</v>
      </c>
      <c r="CO8" s="243" t="s">
        <v>373</v>
      </c>
      <c r="CP8" s="243" t="s">
        <v>387</v>
      </c>
      <c r="CQ8" s="244">
        <v>296</v>
      </c>
      <c r="CR8" s="244">
        <v>5.7000000000000002E-2</v>
      </c>
      <c r="CS8" s="243">
        <v>5189.8500000000004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47">
        <f t="shared" si="12"/>
        <v>6.6299999999999998E-2</v>
      </c>
      <c r="DA8" s="245" t="s">
        <v>317</v>
      </c>
      <c r="DD8" s="278" t="s">
        <v>460</v>
      </c>
      <c r="DE8" s="274" t="s">
        <v>464</v>
      </c>
      <c r="DF8" s="274" t="s">
        <v>318</v>
      </c>
      <c r="DG8" s="278">
        <f>O$13*$Z$37*$AP$4</f>
        <v>0.16140920420830285</v>
      </c>
      <c r="DH8" s="278" t="s">
        <v>317</v>
      </c>
      <c r="DJ8" s="280" t="s">
        <v>373</v>
      </c>
      <c r="DK8" s="280" t="s">
        <v>387</v>
      </c>
      <c r="DL8" s="284">
        <v>293</v>
      </c>
      <c r="DM8" s="284">
        <v>0.13300000000000001</v>
      </c>
      <c r="DN8" s="280">
        <v>2201.94</v>
      </c>
      <c r="DO8" s="280" t="s">
        <v>420</v>
      </c>
      <c r="DP8" s="284">
        <v>2E-16</v>
      </c>
      <c r="DQ8" s="280" t="s">
        <v>385</v>
      </c>
      <c r="DR8" s="281" t="s">
        <v>460</v>
      </c>
      <c r="DS8" s="286" t="s">
        <v>464</v>
      </c>
      <c r="DT8" s="282" t="s">
        <v>318</v>
      </c>
      <c r="DU8" s="283">
        <f t="shared" si="13"/>
        <v>0.19700000000000001</v>
      </c>
      <c r="DV8" s="281" t="s">
        <v>317</v>
      </c>
    </row>
    <row r="9" spans="2:126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0.11269841269841269</v>
      </c>
      <c r="H9" s="176"/>
      <c r="I9" s="180">
        <f>'Tabula data'!B24*'Tabula RefULG 1'!D45</f>
        <v>3.55</v>
      </c>
      <c r="K9" s="81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0</v>
      </c>
      <c r="P9" s="211" t="s">
        <v>50</v>
      </c>
      <c r="Q9" s="30">
        <f t="shared" si="7"/>
        <v>2.2022341505875525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223"/>
      <c r="X9" s="175"/>
      <c r="Y9" s="176" t="s">
        <v>508</v>
      </c>
      <c r="Z9" s="272">
        <v>0.11</v>
      </c>
      <c r="AA9" s="176">
        <v>3.5999999999999997E-2</v>
      </c>
      <c r="AB9" s="176">
        <v>80</v>
      </c>
      <c r="AC9" s="176">
        <v>840</v>
      </c>
      <c r="AD9" s="227">
        <f>Z9/AA9</f>
        <v>3.0555555555555558</v>
      </c>
      <c r="AE9" s="177">
        <f>Z9*AB9*AC9</f>
        <v>7392.0000000000009</v>
      </c>
      <c r="AF9" s="222"/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1095632.3788579016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1095632.3788579016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288</v>
      </c>
      <c r="BV9" s="166">
        <v>0.16300000000000001</v>
      </c>
      <c r="BW9" s="81">
        <v>1771.76</v>
      </c>
      <c r="BX9" s="81" t="s">
        <v>384</v>
      </c>
      <c r="BY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161">
        <f t="shared" ref="CE9:CE10" si="14">BU20</f>
        <v>95200000</v>
      </c>
      <c r="CF9" s="167" t="s">
        <v>317</v>
      </c>
      <c r="CI9" s="81" t="s">
        <v>323</v>
      </c>
      <c r="CJ9" s="241">
        <f t="shared" si="1"/>
        <v>15779225.678618854</v>
      </c>
      <c r="CK9" s="241">
        <f t="shared" si="2"/>
        <v>50500000</v>
      </c>
      <c r="CL9" s="241">
        <f t="shared" si="3"/>
        <v>95200000</v>
      </c>
      <c r="CO9" s="243" t="s">
        <v>373</v>
      </c>
      <c r="CP9" s="243" t="s">
        <v>388</v>
      </c>
      <c r="CQ9" s="244">
        <v>293</v>
      </c>
      <c r="CR9" s="244">
        <v>7.6200000000000004E-2</v>
      </c>
      <c r="CS9" s="243">
        <v>3847.83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47">
        <f t="shared" si="12"/>
        <v>0.39600000000000002</v>
      </c>
      <c r="DA9" s="245" t="s">
        <v>317</v>
      </c>
      <c r="DD9" s="278" t="s">
        <v>460</v>
      </c>
      <c r="DE9" s="274" t="s">
        <v>465</v>
      </c>
      <c r="DF9" s="274" t="s">
        <v>318</v>
      </c>
      <c r="DG9" s="278">
        <f>O$11*$Z$37*$AP$5</f>
        <v>0.90663194018479909</v>
      </c>
      <c r="DH9" s="278" t="s">
        <v>317</v>
      </c>
      <c r="DJ9" s="280" t="s">
        <v>373</v>
      </c>
      <c r="DK9" s="280" t="s">
        <v>388</v>
      </c>
      <c r="DL9" s="284">
        <v>294</v>
      </c>
      <c r="DM9" s="284">
        <v>0.35799999999999998</v>
      </c>
      <c r="DN9" s="280">
        <v>821.41</v>
      </c>
      <c r="DO9" s="280" t="s">
        <v>420</v>
      </c>
      <c r="DP9" s="284">
        <v>2E-16</v>
      </c>
      <c r="DQ9" s="280" t="s">
        <v>385</v>
      </c>
      <c r="DR9" s="281" t="s">
        <v>460</v>
      </c>
      <c r="DS9" s="286" t="s">
        <v>465</v>
      </c>
      <c r="DT9" s="282" t="s">
        <v>318</v>
      </c>
      <c r="DU9" s="283">
        <f t="shared" si="13"/>
        <v>1.4</v>
      </c>
      <c r="DV9" s="281" t="s">
        <v>317</v>
      </c>
    </row>
    <row r="10" spans="2:126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0.13333333333333333</v>
      </c>
      <c r="H10" s="176"/>
      <c r="I10" s="185">
        <f>'Tabula data'!B21*(1-D45)</f>
        <v>4.2</v>
      </c>
      <c r="K10" s="81" t="s">
        <v>53</v>
      </c>
      <c r="L10" s="208">
        <v>0</v>
      </c>
      <c r="M10" s="209">
        <v>1</v>
      </c>
      <c r="N10" s="209" t="s">
        <v>54</v>
      </c>
      <c r="O10" s="210">
        <f>I6</f>
        <v>4.2</v>
      </c>
      <c r="P10" s="211" t="s">
        <v>26</v>
      </c>
      <c r="Q10" s="30">
        <f t="shared" si="7"/>
        <v>2</v>
      </c>
      <c r="R10" s="30">
        <f t="shared" si="8"/>
        <v>8.4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75"/>
      <c r="Y10" s="184" t="s">
        <v>55</v>
      </c>
      <c r="Z10" s="176">
        <v>2.5000000000000001E-2</v>
      </c>
      <c r="AA10" s="176">
        <v>0.11</v>
      </c>
      <c r="AB10" s="176">
        <v>550</v>
      </c>
      <c r="AC10" s="176">
        <v>1880</v>
      </c>
      <c r="AD10" s="227">
        <f>Z10/AA10</f>
        <v>0.22727272727272729</v>
      </c>
      <c r="AE10" s="177">
        <f>Z10*AB10*AC10</f>
        <v>25850</v>
      </c>
      <c r="AF10" s="228" t="s">
        <v>270</v>
      </c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15779225.678618854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5">AP10</f>
        <v>15779225.678618854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6">BE19</f>
        <v>50500000</v>
      </c>
      <c r="BQ10" s="167" t="s">
        <v>317</v>
      </c>
      <c r="BS10" s="81" t="s">
        <v>373</v>
      </c>
      <c r="BT10" s="81" t="s">
        <v>389</v>
      </c>
      <c r="BU10" s="166">
        <v>288</v>
      </c>
      <c r="BV10" s="166">
        <v>6.7900000000000002E-2</v>
      </c>
      <c r="BW10" s="81">
        <v>4246.6099999999997</v>
      </c>
      <c r="BX10" s="81" t="s">
        <v>384</v>
      </c>
      <c r="BY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161">
        <f t="shared" si="14"/>
        <v>22100000</v>
      </c>
      <c r="CF10" s="167" t="s">
        <v>317</v>
      </c>
      <c r="CI10" s="81" t="s">
        <v>324</v>
      </c>
      <c r="CJ10" s="241">
        <f t="shared" si="1"/>
        <v>10264369.896848613</v>
      </c>
      <c r="CK10" s="241">
        <f t="shared" si="2"/>
        <v>32700000</v>
      </c>
      <c r="CL10" s="241">
        <f t="shared" si="3"/>
        <v>22100000</v>
      </c>
      <c r="CO10" s="243" t="s">
        <v>373</v>
      </c>
      <c r="CP10" s="243" t="s">
        <v>389</v>
      </c>
      <c r="CQ10" s="244">
        <v>288</v>
      </c>
      <c r="CR10" s="244">
        <v>4.7800000000000002E-2</v>
      </c>
      <c r="CS10" s="243">
        <v>6024.61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1.35</v>
      </c>
      <c r="DA10" s="245" t="s">
        <v>317</v>
      </c>
      <c r="DD10" s="278" t="s">
        <v>460</v>
      </c>
      <c r="DE10" s="274" t="s">
        <v>466</v>
      </c>
      <c r="DF10" s="274" t="s">
        <v>318</v>
      </c>
      <c r="DG10" s="278">
        <f>O$10*$Z$37*$AP$5</f>
        <v>0.96401370855092561</v>
      </c>
      <c r="DH10" s="278" t="s">
        <v>317</v>
      </c>
      <c r="DJ10" s="280" t="s">
        <v>373</v>
      </c>
      <c r="DK10" s="280" t="s">
        <v>389</v>
      </c>
      <c r="DL10" s="284">
        <v>283</v>
      </c>
      <c r="DM10" s="284">
        <v>0.16200000000000001</v>
      </c>
      <c r="DN10" s="280">
        <v>1748.2</v>
      </c>
      <c r="DO10" s="280" t="s">
        <v>420</v>
      </c>
      <c r="DP10" s="284">
        <v>2E-16</v>
      </c>
      <c r="DQ10" s="280" t="s">
        <v>385</v>
      </c>
      <c r="DR10" s="281" t="s">
        <v>460</v>
      </c>
      <c r="DS10" s="286" t="s">
        <v>466</v>
      </c>
      <c r="DT10" s="282" t="s">
        <v>318</v>
      </c>
      <c r="DU10" s="283">
        <f t="shared" si="13"/>
        <v>2.16</v>
      </c>
      <c r="DV10" s="281" t="s">
        <v>317</v>
      </c>
    </row>
    <row r="11" spans="2:126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0.1253968253968254</v>
      </c>
      <c r="H11" s="176"/>
      <c r="I11" s="185">
        <f>'Tabula data'!B22*(1-'Tabula RefULG 1'!D45)</f>
        <v>3.95</v>
      </c>
      <c r="K11" s="81" t="s">
        <v>57</v>
      </c>
      <c r="L11" s="208">
        <v>0</v>
      </c>
      <c r="M11" s="209">
        <v>1</v>
      </c>
      <c r="N11" s="209" t="s">
        <v>54</v>
      </c>
      <c r="O11" s="210">
        <f>I7</f>
        <v>3.95</v>
      </c>
      <c r="P11" s="211" t="s">
        <v>39</v>
      </c>
      <c r="Q11" s="30">
        <f t="shared" si="7"/>
        <v>2</v>
      </c>
      <c r="R11" s="30">
        <f t="shared" si="8"/>
        <v>7.9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87"/>
      <c r="Y11" s="174" t="s">
        <v>433</v>
      </c>
      <c r="Z11" s="174">
        <v>0.02</v>
      </c>
      <c r="AA11" s="174">
        <v>0.6</v>
      </c>
      <c r="AB11" s="174">
        <v>975</v>
      </c>
      <c r="AC11" s="174">
        <v>840</v>
      </c>
      <c r="AD11" s="229">
        <f>Z11/AA11</f>
        <v>3.3333333333333333E-2</v>
      </c>
      <c r="AE11" s="192">
        <f>Z11*AB11*AC11</f>
        <v>16380</v>
      </c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SUM(U27,U30)/2</f>
        <v>10264369.896848613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5"/>
        <v>10264369.896848613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6"/>
        <v>32700000</v>
      </c>
      <c r="BQ11" s="167" t="s">
        <v>317</v>
      </c>
      <c r="BS11" s="81" t="s">
        <v>373</v>
      </c>
      <c r="BT11" s="81" t="s">
        <v>390</v>
      </c>
      <c r="BU11" s="166">
        <v>0.22</v>
      </c>
      <c r="BV11" s="166">
        <v>7.8100000000000001E-4</v>
      </c>
      <c r="BW11" s="81">
        <v>281.52</v>
      </c>
      <c r="BX11" s="81" t="s">
        <v>384</v>
      </c>
      <c r="BY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161">
        <f>BU17</f>
        <v>995000000</v>
      </c>
      <c r="CF11" s="167" t="s">
        <v>317</v>
      </c>
      <c r="CI11" s="81" t="s">
        <v>325</v>
      </c>
      <c r="CJ11" s="241">
        <f t="shared" si="1"/>
        <v>8399671.9999999981</v>
      </c>
      <c r="CK11" s="241">
        <f t="shared" si="2"/>
        <v>14000000</v>
      </c>
      <c r="CL11" s="241">
        <f t="shared" si="3"/>
        <v>995000000</v>
      </c>
      <c r="CO11" s="243" t="s">
        <v>373</v>
      </c>
      <c r="CP11" s="243" t="s">
        <v>442</v>
      </c>
      <c r="CQ11" s="244">
        <v>3.8600000000000002E-2</v>
      </c>
      <c r="CR11" s="244">
        <v>1.0699999999999999E-2</v>
      </c>
      <c r="CS11" s="243">
        <v>3.6</v>
      </c>
      <c r="CT11" s="243">
        <v>3.2000000000000003E-4</v>
      </c>
      <c r="CU11" s="244" t="s">
        <v>385</v>
      </c>
      <c r="CW11" s="245" t="s">
        <v>460</v>
      </c>
      <c r="CX11" s="249" t="s">
        <v>467</v>
      </c>
      <c r="CY11" s="246" t="s">
        <v>318</v>
      </c>
      <c r="CZ11" s="247">
        <f t="shared" si="12"/>
        <v>0.55400000000000005</v>
      </c>
      <c r="DA11" s="245" t="s">
        <v>317</v>
      </c>
      <c r="DD11" s="278" t="s">
        <v>460</v>
      </c>
      <c r="DE11" s="274" t="s">
        <v>467</v>
      </c>
      <c r="DF11" s="274" t="s">
        <v>318</v>
      </c>
      <c r="DG11" s="278">
        <f>O$12*$Z$37*$AP$5</f>
        <v>0.92958464753124959</v>
      </c>
      <c r="DH11" s="278" t="s">
        <v>317</v>
      </c>
      <c r="DJ11" s="280" t="s">
        <v>373</v>
      </c>
      <c r="DK11" s="280" t="s">
        <v>442</v>
      </c>
      <c r="DL11" s="284">
        <v>0.26100000000000001</v>
      </c>
      <c r="DM11" s="284">
        <v>2.3199999999999998E-2</v>
      </c>
      <c r="DN11" s="280">
        <v>11.25</v>
      </c>
      <c r="DO11" s="280" t="s">
        <v>420</v>
      </c>
      <c r="DP11" s="284">
        <v>2E-16</v>
      </c>
      <c r="DQ11" s="280" t="s">
        <v>385</v>
      </c>
      <c r="DR11" s="281" t="s">
        <v>460</v>
      </c>
      <c r="DS11" s="286" t="s">
        <v>467</v>
      </c>
      <c r="DT11" s="282" t="s">
        <v>318</v>
      </c>
      <c r="DU11" s="283">
        <f t="shared" si="13"/>
        <v>1.53</v>
      </c>
      <c r="DV11" s="281" t="s">
        <v>317</v>
      </c>
    </row>
    <row r="12" spans="2:126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0.12857142857142856</v>
      </c>
      <c r="H12" s="176"/>
      <c r="I12" s="185">
        <f>'Tabula data'!B23*(1-'Tabula RefULG 1'!D45)</f>
        <v>4.05</v>
      </c>
      <c r="K12" s="81" t="s">
        <v>59</v>
      </c>
      <c r="L12" s="208">
        <v>0</v>
      </c>
      <c r="M12" s="209">
        <v>1</v>
      </c>
      <c r="N12" s="209" t="s">
        <v>54</v>
      </c>
      <c r="O12" s="210">
        <f>I8</f>
        <v>4.05</v>
      </c>
      <c r="P12" s="211" t="s">
        <v>45</v>
      </c>
      <c r="Q12" s="30">
        <f t="shared" si="7"/>
        <v>2</v>
      </c>
      <c r="R12" s="30">
        <f t="shared" si="8"/>
        <v>8.1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Z12" s="221" t="s">
        <v>4</v>
      </c>
      <c r="AA12" s="221">
        <v>2.2000000000000002</v>
      </c>
      <c r="AB12" s="221" t="s">
        <v>5</v>
      </c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8399671.9999999981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5"/>
        <v>8399671.9999999981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0.45400000000000001</v>
      </c>
      <c r="BV12" s="166">
        <v>1.67E-3</v>
      </c>
      <c r="BW12" s="81">
        <v>272.11</v>
      </c>
      <c r="BX12" s="81" t="s">
        <v>384</v>
      </c>
      <c r="BY12" s="81" t="s">
        <v>385</v>
      </c>
      <c r="CA12" s="167"/>
      <c r="CB12" s="167"/>
      <c r="CC12" s="167"/>
      <c r="CD12" s="168"/>
      <c r="CE12" s="161"/>
      <c r="CF12" s="167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0.53800000000000003</v>
      </c>
      <c r="CR12" s="244">
        <v>2.5600000000000001E-2</v>
      </c>
      <c r="CS12" s="243">
        <v>21</v>
      </c>
      <c r="CT12" s="243" t="s">
        <v>420</v>
      </c>
      <c r="CU12" s="244">
        <v>2E-16</v>
      </c>
      <c r="CV12" s="81" t="s">
        <v>385</v>
      </c>
      <c r="CW12" s="245" t="s">
        <v>460</v>
      </c>
      <c r="CX12" s="248" t="s">
        <v>468</v>
      </c>
      <c r="CY12" s="246" t="s">
        <v>318</v>
      </c>
      <c r="CZ12" s="247">
        <f t="shared" si="12"/>
        <v>0.501</v>
      </c>
      <c r="DA12" s="245" t="s">
        <v>317</v>
      </c>
      <c r="DD12" s="278" t="s">
        <v>460</v>
      </c>
      <c r="DE12" s="274" t="s">
        <v>468</v>
      </c>
      <c r="DF12" s="274" t="s">
        <v>318</v>
      </c>
      <c r="DG12" s="278">
        <f>O$13*$Z$37*$AP$5</f>
        <v>0.81482111079899655</v>
      </c>
      <c r="DH12" s="278" t="s">
        <v>317</v>
      </c>
      <c r="DJ12" s="280" t="s">
        <v>373</v>
      </c>
      <c r="DK12" s="280" t="s">
        <v>336</v>
      </c>
      <c r="DL12" s="284">
        <v>0.77400000000000002</v>
      </c>
      <c r="DM12" s="284">
        <v>5.28E-2</v>
      </c>
      <c r="DN12" s="280">
        <v>14.66</v>
      </c>
      <c r="DO12" s="280" t="s">
        <v>420</v>
      </c>
      <c r="DP12" s="284">
        <v>2E-16</v>
      </c>
      <c r="DQ12" s="280" t="s">
        <v>385</v>
      </c>
      <c r="DR12" s="281" t="s">
        <v>460</v>
      </c>
      <c r="DS12" s="285" t="s">
        <v>468</v>
      </c>
      <c r="DT12" s="282" t="s">
        <v>318</v>
      </c>
      <c r="DU12" s="283">
        <f t="shared" si="13"/>
        <v>1.17</v>
      </c>
      <c r="DV12" s="281" t="s">
        <v>317</v>
      </c>
    </row>
    <row r="13" spans="2:126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0.11269841269841269</v>
      </c>
      <c r="H13" s="176"/>
      <c r="I13" s="185">
        <f>'Tabula data'!B24*(1-'Tabula RefULG 1'!D45)</f>
        <v>3.55</v>
      </c>
      <c r="K13" s="81" t="s">
        <v>60</v>
      </c>
      <c r="L13" s="208">
        <v>0</v>
      </c>
      <c r="M13" s="209">
        <v>1</v>
      </c>
      <c r="N13" s="209" t="s">
        <v>54</v>
      </c>
      <c r="O13" s="210">
        <f>I9</f>
        <v>3.55</v>
      </c>
      <c r="P13" s="211" t="s">
        <v>50</v>
      </c>
      <c r="Q13" s="30">
        <f t="shared" si="7"/>
        <v>2</v>
      </c>
      <c r="R13" s="30">
        <f t="shared" si="8"/>
        <v>7.1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X13" s="216" t="s">
        <v>64</v>
      </c>
      <c r="Y13" s="217"/>
      <c r="Z13" s="218" t="s">
        <v>21</v>
      </c>
      <c r="AA13" s="219">
        <f>1/(1/8+SUM(AD15:AD19)+1/23)</f>
        <v>2.2022341505875525</v>
      </c>
      <c r="AB13" s="217" t="s">
        <v>5</v>
      </c>
      <c r="AC13" s="217"/>
      <c r="AD13" s="217" t="s">
        <v>22</v>
      </c>
      <c r="AE13" s="220">
        <f>SUM(AE15:AE20)</f>
        <v>449880</v>
      </c>
      <c r="AF13" s="222" t="s">
        <v>23</v>
      </c>
      <c r="AG13" s="222">
        <f>SUM(AE18:AE19)</f>
        <v>404880</v>
      </c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5.8500000000000003E-2</v>
      </c>
      <c r="BV13" s="166">
        <v>7.0000000000000001E-3</v>
      </c>
      <c r="BW13" s="81">
        <v>8.35</v>
      </c>
      <c r="BX13" s="81" t="s">
        <v>384</v>
      </c>
      <c r="BY13" s="81" t="s">
        <v>385</v>
      </c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BU27</f>
        <v>8.2900000000000001E-2</v>
      </c>
      <c r="CF13" s="167" t="s">
        <v>317</v>
      </c>
      <c r="CI13" s="81" t="s">
        <v>326</v>
      </c>
      <c r="CJ13" s="239">
        <f t="shared" si="1"/>
        <v>2.9021732851358017E-2</v>
      </c>
      <c r="CK13" s="239">
        <f t="shared" si="2"/>
        <v>0.128</v>
      </c>
      <c r="CL13" s="239">
        <f t="shared" si="3"/>
        <v>8.2900000000000001E-2</v>
      </c>
      <c r="CO13" s="243" t="s">
        <v>373</v>
      </c>
      <c r="CP13" s="243" t="s">
        <v>443</v>
      </c>
      <c r="CQ13" s="244">
        <v>0.191</v>
      </c>
      <c r="CR13" s="244">
        <v>5.7499999999999999E-3</v>
      </c>
      <c r="CS13" s="243">
        <v>33.229999999999997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0.34399999999999997</v>
      </c>
      <c r="DA13" s="245" t="s">
        <v>317</v>
      </c>
      <c r="DD13" s="278" t="s">
        <v>460</v>
      </c>
      <c r="DE13" s="274" t="s">
        <v>469</v>
      </c>
      <c r="DF13" s="274" t="s">
        <v>318</v>
      </c>
      <c r="DG13" s="278">
        <f>O$11*$Z$37*$AP$6</f>
        <v>7.2580212219956586E-2</v>
      </c>
      <c r="DH13" s="278" t="s">
        <v>317</v>
      </c>
      <c r="DJ13" s="280" t="s">
        <v>373</v>
      </c>
      <c r="DK13" s="280" t="s">
        <v>443</v>
      </c>
      <c r="DL13" s="284">
        <v>0.38700000000000001</v>
      </c>
      <c r="DM13" s="284">
        <v>1.1299999999999999E-2</v>
      </c>
      <c r="DN13" s="280">
        <v>34.24</v>
      </c>
      <c r="DO13" s="280" t="s">
        <v>420</v>
      </c>
      <c r="DP13" s="284">
        <v>2E-16</v>
      </c>
      <c r="DQ13" s="280" t="s">
        <v>385</v>
      </c>
      <c r="DR13" s="281" t="s">
        <v>460</v>
      </c>
      <c r="DS13" s="287" t="s">
        <v>469</v>
      </c>
      <c r="DT13" s="282" t="s">
        <v>318</v>
      </c>
      <c r="DU13" s="283">
        <f t="shared" si="13"/>
        <v>0.56000000000000005</v>
      </c>
      <c r="DV13" s="281" t="s">
        <v>317</v>
      </c>
    </row>
    <row r="14" spans="2:126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s="81" t="s">
        <v>61</v>
      </c>
      <c r="L14" s="208" t="s">
        <v>62</v>
      </c>
      <c r="M14" s="209">
        <v>1</v>
      </c>
      <c r="N14" s="209" t="s">
        <v>63</v>
      </c>
      <c r="O14" s="210">
        <f>C7</f>
        <v>75.699999999999989</v>
      </c>
      <c r="P14" s="211"/>
      <c r="Q14" s="30">
        <f t="shared" si="7"/>
        <v>2.8187919463087252</v>
      </c>
      <c r="R14" s="30">
        <f t="shared" si="8"/>
        <v>213.38255033557047</v>
      </c>
      <c r="S14" s="30">
        <f t="shared" si="9"/>
        <v>28429891.999999996</v>
      </c>
      <c r="T14" s="30">
        <f t="shared" si="10"/>
        <v>375560</v>
      </c>
      <c r="U14" s="30">
        <f t="shared" si="11"/>
        <v>8399671.9999999981</v>
      </c>
      <c r="V14" s="31"/>
      <c r="W14" s="223"/>
      <c r="X14" s="224"/>
      <c r="Y14" s="225" t="s">
        <v>27</v>
      </c>
      <c r="Z14" s="225" t="s">
        <v>28</v>
      </c>
      <c r="AA14" s="225" t="s">
        <v>29</v>
      </c>
      <c r="AB14" s="225" t="s">
        <v>30</v>
      </c>
      <c r="AC14" s="225" t="s">
        <v>31</v>
      </c>
      <c r="AD14" s="225" t="s">
        <v>32</v>
      </c>
      <c r="AE14" s="226" t="s">
        <v>33</v>
      </c>
      <c r="AF14" s="222"/>
      <c r="AG14" s="222"/>
      <c r="AH14" s="222"/>
      <c r="AM14" s="158" t="s">
        <v>314</v>
      </c>
      <c r="AN14" s="81" t="s">
        <v>315</v>
      </c>
      <c r="AO14" s="81" t="s">
        <v>326</v>
      </c>
      <c r="AP14" s="81">
        <f>AP4*0.3</f>
        <v>2.9021732851358017E-2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2.9021732851358017E-2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0.152</v>
      </c>
      <c r="BV14" s="166">
        <v>3.9300000000000001E-4</v>
      </c>
      <c r="BW14" s="81">
        <v>386.97</v>
      </c>
      <c r="BX14" s="81" t="s">
        <v>384</v>
      </c>
      <c r="BY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 t="shared" ref="CE14:CE16" si="17">BU28</f>
        <v>0.16500000000000001</v>
      </c>
      <c r="CF14" s="167" t="s">
        <v>317</v>
      </c>
      <c r="CI14" s="81" t="s">
        <v>327</v>
      </c>
      <c r="CJ14" s="239">
        <f t="shared" si="1"/>
        <v>0.14650664263691879</v>
      </c>
      <c r="CK14" s="239">
        <f t="shared" si="2"/>
        <v>0.23499999999999999</v>
      </c>
      <c r="CL14" s="239">
        <f t="shared" si="3"/>
        <v>0.16500000000000001</v>
      </c>
      <c r="CO14" s="243" t="s">
        <v>373</v>
      </c>
      <c r="CP14" s="243" t="s">
        <v>444</v>
      </c>
      <c r="CQ14" s="244">
        <v>6.6299999999999998E-2</v>
      </c>
      <c r="CR14" s="244">
        <v>5.2300000000000003E-3</v>
      </c>
      <c r="CS14" s="243">
        <v>12.67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1.67E-9</v>
      </c>
      <c r="DA14" s="245" t="s">
        <v>317</v>
      </c>
      <c r="DD14" s="278" t="s">
        <v>460</v>
      </c>
      <c r="DE14" s="274" t="s">
        <v>470</v>
      </c>
      <c r="DF14" s="274" t="s">
        <v>318</v>
      </c>
      <c r="DG14" s="278">
        <f>O$10*$Z$37*$AP$6</f>
        <v>7.7173896537675354E-2</v>
      </c>
      <c r="DH14" s="278" t="s">
        <v>317</v>
      </c>
      <c r="DJ14" s="280" t="s">
        <v>373</v>
      </c>
      <c r="DK14" s="280" t="s">
        <v>444</v>
      </c>
      <c r="DL14" s="284">
        <v>0.19700000000000001</v>
      </c>
      <c r="DM14" s="284">
        <v>9.6399999999999993E-3</v>
      </c>
      <c r="DN14" s="280">
        <v>20.46</v>
      </c>
      <c r="DO14" s="280" t="s">
        <v>420</v>
      </c>
      <c r="DP14" s="284">
        <v>2E-16</v>
      </c>
      <c r="DQ14" s="280" t="s">
        <v>385</v>
      </c>
      <c r="DR14" s="281" t="s">
        <v>460</v>
      </c>
      <c r="DS14" s="287" t="s">
        <v>470</v>
      </c>
      <c r="DT14" s="282" t="s">
        <v>318</v>
      </c>
      <c r="DU14" s="283">
        <f t="shared" si="13"/>
        <v>0.497</v>
      </c>
      <c r="DV14" s="281" t="s">
        <v>317</v>
      </c>
    </row>
    <row r="15" spans="2:126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s="81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0.27481053799679722</v>
      </c>
      <c r="R15" s="30">
        <f t="shared" si="8"/>
        <v>0</v>
      </c>
      <c r="S15" s="30">
        <f>VLOOKUP(N15,$X$5:$AE$392,8,0)*O25</f>
        <v>7678980</v>
      </c>
      <c r="T15" s="30">
        <f>S15/O25</f>
        <v>85322</v>
      </c>
      <c r="U15" s="30">
        <f>VLOOKUP(N15,$X$5:$AG$391,10,0)*O25</f>
        <v>3800700</v>
      </c>
      <c r="V15" s="31"/>
      <c r="W15" s="223"/>
      <c r="X15" s="175"/>
      <c r="Y15" s="176"/>
      <c r="Z15" s="176"/>
      <c r="AA15" s="176"/>
      <c r="AB15" s="176"/>
      <c r="AC15" s="184"/>
      <c r="AD15" s="227"/>
      <c r="AE15" s="177"/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AP5*0.3</f>
        <v>0.14650664263691879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0.14650664263691879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8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7.9000000000000001E-2</v>
      </c>
      <c r="BV15" s="166">
        <v>5.5000000000000003E-4</v>
      </c>
      <c r="BW15" s="81">
        <v>143.72</v>
      </c>
      <c r="BX15" s="81" t="s">
        <v>384</v>
      </c>
      <c r="BY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 t="shared" si="17"/>
        <v>0.71599999999999997</v>
      </c>
      <c r="CF15" s="167" t="s">
        <v>317</v>
      </c>
      <c r="CI15" s="81" t="s">
        <v>328</v>
      </c>
      <c r="CJ15" s="239">
        <f t="shared" si="1"/>
        <v>0.71172855570481386</v>
      </c>
      <c r="CK15" s="239">
        <f t="shared" si="2"/>
        <v>0.53700000000000003</v>
      </c>
      <c r="CL15" s="239">
        <f t="shared" si="3"/>
        <v>0.71599999999999997</v>
      </c>
      <c r="CO15" s="243" t="s">
        <v>373</v>
      </c>
      <c r="CP15" s="243" t="s">
        <v>445</v>
      </c>
      <c r="CQ15" s="244">
        <v>0.39600000000000002</v>
      </c>
      <c r="CR15" s="244">
        <v>3.9E-2</v>
      </c>
      <c r="CS15" s="243">
        <v>10.15</v>
      </c>
      <c r="CT15" s="243" t="s">
        <v>420</v>
      </c>
      <c r="CU15" s="244">
        <v>2E-16</v>
      </c>
      <c r="CV15" s="81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8.4400000000000003E-2</v>
      </c>
      <c r="DA15" s="245" t="s">
        <v>317</v>
      </c>
      <c r="DD15" s="278" t="s">
        <v>460</v>
      </c>
      <c r="DE15" s="274" t="s">
        <v>471</v>
      </c>
      <c r="DF15" s="274" t="s">
        <v>318</v>
      </c>
      <c r="DG15" s="278">
        <f>O$12*$Z$37*$AP$6</f>
        <v>7.4417685947044079E-2</v>
      </c>
      <c r="DH15" s="278" t="s">
        <v>317</v>
      </c>
      <c r="DJ15" s="280" t="s">
        <v>373</v>
      </c>
      <c r="DK15" s="280" t="s">
        <v>445</v>
      </c>
      <c r="DL15" s="284">
        <v>1.4</v>
      </c>
      <c r="DM15" s="284">
        <v>8.0799999999999997E-2</v>
      </c>
      <c r="DN15" s="280">
        <v>17.34</v>
      </c>
      <c r="DO15" s="280" t="s">
        <v>420</v>
      </c>
      <c r="DP15" s="284">
        <v>2E-16</v>
      </c>
      <c r="DQ15" s="280" t="s">
        <v>385</v>
      </c>
      <c r="DR15" s="281" t="s">
        <v>460</v>
      </c>
      <c r="DS15" s="287" t="s">
        <v>471</v>
      </c>
      <c r="DT15" s="282" t="s">
        <v>318</v>
      </c>
      <c r="DU15" s="283">
        <f t="shared" si="13"/>
        <v>1.58E-10</v>
      </c>
      <c r="DV15" s="281" t="s">
        <v>317</v>
      </c>
    </row>
    <row r="16" spans="2:126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1.9235294117647057</v>
      </c>
      <c r="H16" s="184" t="s">
        <v>70</v>
      </c>
      <c r="I16" s="177"/>
      <c r="K16" s="81" t="s">
        <v>67</v>
      </c>
      <c r="L16" s="208">
        <v>0</v>
      </c>
      <c r="M16" s="209">
        <v>1</v>
      </c>
      <c r="N16" s="209" t="s">
        <v>68</v>
      </c>
      <c r="O16" s="210">
        <f>'Tabula data'!B20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7" si="19">VLOOKUP(N16,$X$5:$AE$392,8,0)*O16</f>
        <v>346940</v>
      </c>
      <c r="T16" s="30">
        <f t="shared" ref="T16:T27" si="20">S16/O16</f>
        <v>36520</v>
      </c>
      <c r="U16" s="30">
        <f t="shared" ref="U16:U27" si="21">VLOOKUP(N16,$X$5:$AG$391,10,0)*O16</f>
        <v>0</v>
      </c>
      <c r="V16" s="31"/>
      <c r="W16" s="223"/>
      <c r="X16" s="175"/>
      <c r="Y16" s="176"/>
      <c r="Z16" s="176"/>
      <c r="AA16" s="176"/>
      <c r="AB16" s="176"/>
      <c r="AC16" s="176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AP6*0.3+0.7</f>
        <v>0.71172855570481386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0.71172855570481386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8"/>
        <v>0.53700000000000003</v>
      </c>
      <c r="BQ16" s="167" t="s">
        <v>317</v>
      </c>
      <c r="BS16" s="81" t="s">
        <v>373</v>
      </c>
      <c r="BT16" s="81" t="s">
        <v>303</v>
      </c>
      <c r="BU16" s="166">
        <v>537000000</v>
      </c>
      <c r="BV16" s="166">
        <v>49100000</v>
      </c>
      <c r="BW16" s="81">
        <v>10.92</v>
      </c>
      <c r="BX16" s="81" t="s">
        <v>384</v>
      </c>
      <c r="BY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 t="shared" si="17"/>
        <v>5.5E-2</v>
      </c>
      <c r="CF16" s="167" t="s">
        <v>317</v>
      </c>
      <c r="CI16" s="81" t="s">
        <v>329</v>
      </c>
      <c r="CJ16" s="239">
        <f t="shared" si="1"/>
        <v>5.6371534403454653E-2</v>
      </c>
      <c r="CK16" s="239">
        <f t="shared" si="2"/>
        <v>7.7399999999999997E-2</v>
      </c>
      <c r="CL16" s="239">
        <f t="shared" si="3"/>
        <v>5.5E-2</v>
      </c>
      <c r="CO16" s="243" t="s">
        <v>373</v>
      </c>
      <c r="CP16" s="243" t="s">
        <v>337</v>
      </c>
      <c r="CQ16" s="244">
        <v>1.35</v>
      </c>
      <c r="CR16" s="244">
        <v>6.3600000000000004E-2</v>
      </c>
      <c r="CS16" s="243">
        <v>21.19</v>
      </c>
      <c r="CT16" s="244" t="s">
        <v>420</v>
      </c>
      <c r="CU16" s="244">
        <v>2E-16</v>
      </c>
      <c r="CV16" s="81" t="s">
        <v>385</v>
      </c>
      <c r="CW16" s="245" t="s">
        <v>460</v>
      </c>
      <c r="CX16" s="250" t="s">
        <v>472</v>
      </c>
      <c r="CY16" s="246" t="s">
        <v>318</v>
      </c>
      <c r="CZ16" s="247">
        <f t="shared" si="12"/>
        <v>6.8099999999999994E-2</v>
      </c>
      <c r="DA16" s="245" t="s">
        <v>317</v>
      </c>
      <c r="DD16" s="278" t="s">
        <v>460</v>
      </c>
      <c r="DE16" s="274" t="s">
        <v>472</v>
      </c>
      <c r="DF16" s="274" t="s">
        <v>318</v>
      </c>
      <c r="DG16" s="278">
        <f>O$13*$Z$37*$AP$6</f>
        <v>6.5230317311606542E-2</v>
      </c>
      <c r="DH16" s="278" t="s">
        <v>317</v>
      </c>
      <c r="DJ16" s="280" t="s">
        <v>373</v>
      </c>
      <c r="DK16" s="280" t="s">
        <v>337</v>
      </c>
      <c r="DL16" s="284">
        <v>2.16</v>
      </c>
      <c r="DM16" s="284">
        <v>0.182</v>
      </c>
      <c r="DN16" s="280">
        <v>11.84</v>
      </c>
      <c r="DO16" s="284" t="s">
        <v>420</v>
      </c>
      <c r="DP16" s="284">
        <v>2E-16</v>
      </c>
      <c r="DQ16" s="280" t="s">
        <v>385</v>
      </c>
      <c r="DR16" s="281" t="s">
        <v>460</v>
      </c>
      <c r="DS16" s="287" t="s">
        <v>472</v>
      </c>
      <c r="DT16" s="282" t="s">
        <v>318</v>
      </c>
      <c r="DU16" s="283">
        <f t="shared" si="13"/>
        <v>0.27</v>
      </c>
      <c r="DV16" s="281" t="s">
        <v>317</v>
      </c>
    </row>
    <row r="17" spans="2:126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1.4298362107127047</v>
      </c>
      <c r="H17" s="184"/>
      <c r="I17" s="177"/>
      <c r="K17" s="81" t="s">
        <v>71</v>
      </c>
      <c r="L17" s="208">
        <v>0</v>
      </c>
      <c r="M17" s="209">
        <v>2</v>
      </c>
      <c r="N17" s="209" t="s">
        <v>25</v>
      </c>
      <c r="O17" s="210">
        <f>'Tabula data'!B10*'Tabula RefULG 1'!D42/2*(1-'Tabula RefULG 1'!D43)</f>
        <v>38.663700752545374</v>
      </c>
      <c r="P17" s="211" t="s">
        <v>26</v>
      </c>
      <c r="Q17" s="30">
        <f t="shared" si="7"/>
        <v>2.2022341505875525</v>
      </c>
      <c r="R17" s="30">
        <f t="shared" si="8"/>
        <v>85.146522185353078</v>
      </c>
      <c r="S17" s="30">
        <f t="shared" si="19"/>
        <v>17394025.694555111</v>
      </c>
      <c r="T17" s="30">
        <f t="shared" si="20"/>
        <v>449879.99999999994</v>
      </c>
      <c r="U17" s="30">
        <f t="shared" si="21"/>
        <v>15654159.16069057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8" t="s">
        <v>271</v>
      </c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AP7*0.3</f>
        <v>5.6371534403454653E-2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5.6371534403454653E-2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8"/>
        <v>7.7399999999999997E-2</v>
      </c>
      <c r="BQ17" s="167" t="s">
        <v>317</v>
      </c>
      <c r="BS17" s="81" t="s">
        <v>373</v>
      </c>
      <c r="BT17" s="81" t="s">
        <v>299</v>
      </c>
      <c r="BU17" s="166">
        <v>995000000</v>
      </c>
      <c r="BV17" s="166">
        <v>18600000</v>
      </c>
      <c r="BW17" s="81">
        <v>53.42</v>
      </c>
      <c r="BX17" s="81" t="s">
        <v>384</v>
      </c>
      <c r="BY17" s="81" t="s">
        <v>385</v>
      </c>
      <c r="CA17" s="167"/>
      <c r="CB17" s="167"/>
      <c r="CC17" s="167"/>
      <c r="CD17" s="168"/>
      <c r="CE17" s="161"/>
      <c r="CF17" s="167"/>
      <c r="CJ17" s="240"/>
      <c r="CK17" s="240"/>
      <c r="CL17" s="240"/>
      <c r="CO17" s="243" t="s">
        <v>373</v>
      </c>
      <c r="CP17" s="243" t="s">
        <v>446</v>
      </c>
      <c r="CQ17" s="244">
        <v>0.55400000000000005</v>
      </c>
      <c r="CR17" s="244">
        <v>2.2800000000000001E-2</v>
      </c>
      <c r="CS17" s="243">
        <v>24.29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0.23799999999999999</v>
      </c>
      <c r="DA17" s="245" t="s">
        <v>317</v>
      </c>
      <c r="DD17" s="278" t="s">
        <v>460</v>
      </c>
      <c r="DE17" s="274" t="s">
        <v>473</v>
      </c>
      <c r="DF17" s="274" t="s">
        <v>318</v>
      </c>
      <c r="DG17" s="278">
        <f>O$11*$Z$37*$AP$7</f>
        <v>0.34884584540004526</v>
      </c>
      <c r="DH17" s="278" t="s">
        <v>317</v>
      </c>
      <c r="DJ17" s="280" t="s">
        <v>373</v>
      </c>
      <c r="DK17" s="280" t="s">
        <v>446</v>
      </c>
      <c r="DL17" s="284">
        <v>1.53</v>
      </c>
      <c r="DM17" s="284">
        <v>3.7900000000000003E-2</v>
      </c>
      <c r="DN17" s="280">
        <v>40.39</v>
      </c>
      <c r="DO17" s="280" t="s">
        <v>420</v>
      </c>
      <c r="DP17" s="284">
        <v>2E-16</v>
      </c>
      <c r="DQ17" s="280" t="s">
        <v>385</v>
      </c>
      <c r="DR17" s="281" t="s">
        <v>460</v>
      </c>
      <c r="DS17" s="287" t="s">
        <v>473</v>
      </c>
      <c r="DT17" s="282" t="s">
        <v>318</v>
      </c>
      <c r="DU17" s="283">
        <f t="shared" si="13"/>
        <v>0.71899999999999997</v>
      </c>
      <c r="DV17" s="281" t="s">
        <v>317</v>
      </c>
    </row>
    <row r="18" spans="2:126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1.4298362107127047</v>
      </c>
      <c r="H18" s="184"/>
      <c r="I18" s="177"/>
      <c r="K18" s="81" t="s">
        <v>75</v>
      </c>
      <c r="L18" s="208">
        <v>0</v>
      </c>
      <c r="M18" s="209">
        <v>2</v>
      </c>
      <c r="N18" s="209" t="s">
        <v>25</v>
      </c>
      <c r="O18" s="210">
        <f>'Tabula data'!B10*(1-'Tabula RefULG 1'!D42)/2*(1-'Tabula RefULG 1'!D44)</f>
        <v>0</v>
      </c>
      <c r="P18" s="211" t="s">
        <v>39</v>
      </c>
      <c r="Q18" s="30">
        <f t="shared" si="7"/>
        <v>2.2022341505875525</v>
      </c>
      <c r="R18" s="30">
        <f t="shared" si="8"/>
        <v>0</v>
      </c>
      <c r="S18" s="30">
        <f t="shared" si="19"/>
        <v>0</v>
      </c>
      <c r="T18" s="30" t="e">
        <f t="shared" si="20"/>
        <v>#DIV/0!</v>
      </c>
      <c r="U18" s="30">
        <f t="shared" si="21"/>
        <v>0</v>
      </c>
      <c r="V18" s="31"/>
      <c r="W18" s="223"/>
      <c r="X18" s="175"/>
      <c r="Y18" s="184" t="s">
        <v>76</v>
      </c>
      <c r="Z18" s="176">
        <v>0.25</v>
      </c>
      <c r="AA18" s="176">
        <v>1.1000000000000001</v>
      </c>
      <c r="AB18" s="176">
        <v>1850</v>
      </c>
      <c r="AC18" s="184">
        <v>840</v>
      </c>
      <c r="AD18" s="227">
        <f>Z18/AA18</f>
        <v>0.22727272727272727</v>
      </c>
      <c r="AE18" s="177">
        <f>Z18*AB18*AC18</f>
        <v>388500</v>
      </c>
      <c r="AF18" s="222" t="s">
        <v>272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>
        <v>21</v>
      </c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BU32</f>
        <v>505</v>
      </c>
      <c r="CF18" s="167" t="s">
        <v>317</v>
      </c>
      <c r="CI18" s="81" t="s">
        <v>330</v>
      </c>
      <c r="CJ18" s="242">
        <f t="shared" si="1"/>
        <v>152.65231457946646</v>
      </c>
      <c r="CK18" s="242">
        <f t="shared" si="2"/>
        <v>958</v>
      </c>
      <c r="CL18" s="242">
        <f t="shared" si="3"/>
        <v>505</v>
      </c>
      <c r="CO18" s="243" t="s">
        <v>373</v>
      </c>
      <c r="CP18" s="243" t="s">
        <v>447</v>
      </c>
      <c r="CQ18" s="244">
        <v>0.501</v>
      </c>
      <c r="CR18" s="244">
        <v>2.1999999999999999E-2</v>
      </c>
      <c r="CS18" s="243">
        <v>22.77</v>
      </c>
      <c r="CT18" s="243" t="s">
        <v>420</v>
      </c>
      <c r="CU18" s="244">
        <v>2E-16</v>
      </c>
      <c r="CV18" s="81" t="s">
        <v>385</v>
      </c>
      <c r="CW18" s="245" t="s">
        <v>460</v>
      </c>
      <c r="CX18" s="250" t="s">
        <v>474</v>
      </c>
      <c r="CY18" s="246" t="s">
        <v>318</v>
      </c>
      <c r="CZ18" s="247">
        <f t="shared" si="12"/>
        <v>1.1299999999999999E-2</v>
      </c>
      <c r="DA18" s="245" t="s">
        <v>317</v>
      </c>
      <c r="DD18" s="278" t="s">
        <v>460</v>
      </c>
      <c r="DE18" s="274" t="s">
        <v>474</v>
      </c>
      <c r="DF18" s="274" t="s">
        <v>318</v>
      </c>
      <c r="DG18" s="278">
        <f>O$10*$Z$37*$AP$7</f>
        <v>0.37092469637473163</v>
      </c>
      <c r="DH18" s="278" t="s">
        <v>317</v>
      </c>
      <c r="DJ18" s="280" t="s">
        <v>373</v>
      </c>
      <c r="DK18" s="280" t="s">
        <v>447</v>
      </c>
      <c r="DL18" s="284">
        <v>1.17</v>
      </c>
      <c r="DM18" s="284">
        <v>3.5799999999999998E-2</v>
      </c>
      <c r="DN18" s="280">
        <v>32.67</v>
      </c>
      <c r="DO18" s="280" t="s">
        <v>420</v>
      </c>
      <c r="DP18" s="284">
        <v>2E-16</v>
      </c>
      <c r="DQ18" s="280" t="s">
        <v>385</v>
      </c>
      <c r="DR18" s="281" t="s">
        <v>460</v>
      </c>
      <c r="DS18" s="287" t="s">
        <v>474</v>
      </c>
      <c r="DT18" s="282" t="s">
        <v>318</v>
      </c>
      <c r="DU18" s="283">
        <f t="shared" si="13"/>
        <v>0.432</v>
      </c>
      <c r="DV18" s="281" t="s">
        <v>317</v>
      </c>
    </row>
    <row r="19" spans="2:126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s="81" t="s">
        <v>79</v>
      </c>
      <c r="L19" s="208">
        <v>0</v>
      </c>
      <c r="M19" s="209">
        <v>2</v>
      </c>
      <c r="N19" s="209" t="s">
        <v>25</v>
      </c>
      <c r="O19" s="210">
        <f>'Tabula data'!B10*'Tabula RefULG 1'!D42/2*(1-'Tabula RefULG 1'!D43)</f>
        <v>38.663700752545374</v>
      </c>
      <c r="P19" s="211" t="s">
        <v>45</v>
      </c>
      <c r="Q19" s="30">
        <f t="shared" si="7"/>
        <v>2.2022341505875525</v>
      </c>
      <c r="R19" s="30">
        <f t="shared" si="8"/>
        <v>85.146522185353078</v>
      </c>
      <c r="S19" s="30">
        <f t="shared" si="19"/>
        <v>17394025.694555111</v>
      </c>
      <c r="T19" s="30">
        <f t="shared" si="20"/>
        <v>449879.99999999994</v>
      </c>
      <c r="U19" s="30">
        <f t="shared" si="21"/>
        <v>15654159.16069057</v>
      </c>
      <c r="V19" s="31"/>
      <c r="W19" s="223"/>
      <c r="X19" s="187"/>
      <c r="Y19" s="174" t="s">
        <v>273</v>
      </c>
      <c r="Z19" s="174">
        <v>0.02</v>
      </c>
      <c r="AA19" s="174">
        <v>0.6</v>
      </c>
      <c r="AB19" s="174">
        <v>975</v>
      </c>
      <c r="AC19" s="174">
        <v>840</v>
      </c>
      <c r="AD19" s="229">
        <f>Z19/AA19</f>
        <v>3.3333333333333333E-2</v>
      </c>
      <c r="AE19" s="192">
        <f>Z19*AB19*AC19</f>
        <v>16380</v>
      </c>
      <c r="AF19" s="222"/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SUM(O6:O9)*(1/(SUM(AD18:AD19)*0.5+1/8))</f>
        <v>152.65231457946646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152.65231457946646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395</v>
      </c>
      <c r="BU19" s="166">
        <v>2910000</v>
      </c>
      <c r="BV19" s="166">
        <v>32100</v>
      </c>
      <c r="BW19" s="81">
        <v>90.66</v>
      </c>
      <c r="BX19" s="81" t="s">
        <v>384</v>
      </c>
      <c r="BY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 t="shared" ref="CE19:CE21" si="22">BU33</f>
        <v>194</v>
      </c>
      <c r="CF19" s="167" t="s">
        <v>317</v>
      </c>
      <c r="CI19" s="81" t="s">
        <v>331</v>
      </c>
      <c r="CJ19" s="242">
        <f t="shared" si="1"/>
        <v>240.86363636363635</v>
      </c>
      <c r="CK19" s="242">
        <f t="shared" si="2"/>
        <v>737</v>
      </c>
      <c r="CL19" s="242">
        <f t="shared" si="3"/>
        <v>194</v>
      </c>
      <c r="CO19" s="243" t="s">
        <v>373</v>
      </c>
      <c r="CP19" s="243" t="s">
        <v>448</v>
      </c>
      <c r="CQ19" s="244">
        <v>0.34399999999999997</v>
      </c>
      <c r="CR19" s="244">
        <v>5.6000000000000001E-2</v>
      </c>
      <c r="CS19" s="243">
        <v>6.14</v>
      </c>
      <c r="CT19" s="244">
        <v>8.6000000000000003E-10</v>
      </c>
      <c r="CU19" s="243" t="s">
        <v>385</v>
      </c>
      <c r="CW19" s="245" t="s">
        <v>460</v>
      </c>
      <c r="CX19" s="248" t="s">
        <v>475</v>
      </c>
      <c r="CY19" s="246" t="s">
        <v>318</v>
      </c>
      <c r="CZ19" s="247">
        <f t="shared" si="12"/>
        <v>0.20599999999999999</v>
      </c>
      <c r="DA19" s="245" t="s">
        <v>317</v>
      </c>
      <c r="DD19" s="278" t="s">
        <v>460</v>
      </c>
      <c r="DE19" s="274" t="s">
        <v>475</v>
      </c>
      <c r="DF19" s="274" t="s">
        <v>318</v>
      </c>
      <c r="DG19" s="278">
        <f>O$12*$Z$37*$AP$7</f>
        <v>0.35767738578991976</v>
      </c>
      <c r="DH19" s="278" t="s">
        <v>317</v>
      </c>
      <c r="DJ19" s="280" t="s">
        <v>373</v>
      </c>
      <c r="DK19" s="280" t="s">
        <v>448</v>
      </c>
      <c r="DL19" s="284">
        <v>0.56000000000000005</v>
      </c>
      <c r="DM19" s="284">
        <v>0.312</v>
      </c>
      <c r="DN19" s="280">
        <v>1.8</v>
      </c>
      <c r="DO19" s="284">
        <v>7.1999999999999995E-2</v>
      </c>
      <c r="DP19" s="280" t="s">
        <v>428</v>
      </c>
      <c r="DR19" s="281" t="s">
        <v>460</v>
      </c>
      <c r="DS19" s="285" t="s">
        <v>475</v>
      </c>
      <c r="DT19" s="282" t="s">
        <v>318</v>
      </c>
      <c r="DU19" s="283">
        <f t="shared" si="13"/>
        <v>0.61</v>
      </c>
      <c r="DV19" s="281" t="s">
        <v>317</v>
      </c>
    </row>
    <row r="20" spans="2:126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0.1394422310756972</v>
      </c>
      <c r="H20" s="184"/>
      <c r="I20" s="177"/>
      <c r="K20" s="81" t="s">
        <v>82</v>
      </c>
      <c r="L20" s="208">
        <v>0</v>
      </c>
      <c r="M20" s="209">
        <v>2</v>
      </c>
      <c r="N20" s="209" t="s">
        <v>25</v>
      </c>
      <c r="O20" s="210">
        <f>'Tabula data'!B10*(1-'Tabula RefULG 1'!D42)/2*(1-'Tabula RefULG 1'!D44)</f>
        <v>0</v>
      </c>
      <c r="P20" s="211" t="s">
        <v>50</v>
      </c>
      <c r="Q20" s="30">
        <f t="shared" si="7"/>
        <v>2.2022341505875525</v>
      </c>
      <c r="R20" s="30">
        <f t="shared" si="8"/>
        <v>0</v>
      </c>
      <c r="S20" s="30">
        <f t="shared" si="19"/>
        <v>0</v>
      </c>
      <c r="T20" s="30" t="e">
        <f t="shared" si="20"/>
        <v>#DIV/0!</v>
      </c>
      <c r="U20" s="30">
        <f t="shared" si="21"/>
        <v>0</v>
      </c>
      <c r="V20" s="31"/>
      <c r="W20" s="223"/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SUM(O14)*1/(SUM(AD42:AD43)+1/6)</f>
        <v>240.86363636363635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23">AP20</f>
        <v>240.86363636363635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4">BE32</f>
        <v>737</v>
      </c>
      <c r="BQ20" s="167" t="s">
        <v>317</v>
      </c>
      <c r="BS20" s="81" t="s">
        <v>373</v>
      </c>
      <c r="BT20" s="81" t="s">
        <v>296</v>
      </c>
      <c r="BU20" s="166">
        <v>95200000</v>
      </c>
      <c r="BV20" s="166">
        <v>2180000</v>
      </c>
      <c r="BW20" s="81">
        <v>43.68</v>
      </c>
      <c r="BX20" s="81" t="s">
        <v>384</v>
      </c>
      <c r="BY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 t="shared" si="22"/>
        <v>644</v>
      </c>
      <c r="CF20" s="167" t="s">
        <v>317</v>
      </c>
      <c r="CI20" s="81" t="s">
        <v>332</v>
      </c>
      <c r="CJ20" s="242">
        <f t="shared" si="1"/>
        <v>274.84124214018959</v>
      </c>
      <c r="CK20" s="242">
        <f t="shared" si="2"/>
        <v>2190</v>
      </c>
      <c r="CL20" s="242">
        <f t="shared" si="3"/>
        <v>644</v>
      </c>
      <c r="CO20" s="243" t="s">
        <v>373</v>
      </c>
      <c r="CP20" s="243" t="s">
        <v>338</v>
      </c>
      <c r="CQ20" s="244">
        <v>1.67E-9</v>
      </c>
      <c r="CR20" s="244">
        <v>1.48E-6</v>
      </c>
      <c r="CS20" s="243">
        <v>0</v>
      </c>
      <c r="CT20" s="243">
        <v>0.99909999999999999</v>
      </c>
      <c r="CW20" s="245" t="s">
        <v>460</v>
      </c>
      <c r="CX20" s="249" t="s">
        <v>476</v>
      </c>
      <c r="CY20" s="246" t="s">
        <v>318</v>
      </c>
      <c r="CZ20" s="247">
        <f t="shared" si="12"/>
        <v>0.19400000000000001</v>
      </c>
      <c r="DA20" s="245" t="s">
        <v>317</v>
      </c>
      <c r="DD20" s="278" t="s">
        <v>460</v>
      </c>
      <c r="DE20" s="274" t="s">
        <v>476</v>
      </c>
      <c r="DF20" s="274" t="s">
        <v>318</v>
      </c>
      <c r="DG20" s="278">
        <f>O$13*$Z$37*$AP$7</f>
        <v>0.31351968384054696</v>
      </c>
      <c r="DH20" s="278" t="s">
        <v>317</v>
      </c>
      <c r="DJ20" s="280" t="s">
        <v>373</v>
      </c>
      <c r="DK20" s="280" t="s">
        <v>338</v>
      </c>
      <c r="DL20" s="284">
        <v>0.497</v>
      </c>
      <c r="DM20" s="284">
        <v>0.56000000000000005</v>
      </c>
      <c r="DN20" s="280">
        <v>0.89</v>
      </c>
      <c r="DO20" s="280">
        <v>0.375</v>
      </c>
      <c r="DR20" s="281" t="s">
        <v>460</v>
      </c>
      <c r="DS20" s="286" t="s">
        <v>476</v>
      </c>
      <c r="DT20" s="282" t="s">
        <v>318</v>
      </c>
      <c r="DU20" s="283">
        <f t="shared" si="13"/>
        <v>0.505</v>
      </c>
      <c r="DV20" s="281" t="s">
        <v>317</v>
      </c>
    </row>
    <row r="21" spans="2:126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0.1394422310756972</v>
      </c>
      <c r="H21" s="184"/>
      <c r="I21" s="177"/>
      <c r="K21" s="81" t="s">
        <v>84</v>
      </c>
      <c r="L21" s="208">
        <v>0</v>
      </c>
      <c r="M21" s="209">
        <v>2</v>
      </c>
      <c r="N21" s="209" t="s">
        <v>54</v>
      </c>
      <c r="O21" s="210">
        <f>I10</f>
        <v>4.2</v>
      </c>
      <c r="P21" s="211" t="s">
        <v>26</v>
      </c>
      <c r="Q21" s="30">
        <f t="shared" si="7"/>
        <v>2</v>
      </c>
      <c r="R21" s="30">
        <f t="shared" si="8"/>
        <v>8.4</v>
      </c>
      <c r="S21" s="30">
        <f t="shared" si="19"/>
        <v>0</v>
      </c>
      <c r="T21" s="30">
        <f t="shared" si="20"/>
        <v>0</v>
      </c>
      <c r="U21" s="30">
        <f t="shared" si="21"/>
        <v>0</v>
      </c>
      <c r="V21" s="31"/>
      <c r="W21" s="223"/>
      <c r="X21" s="216" t="s">
        <v>85</v>
      </c>
      <c r="Y21" s="217"/>
      <c r="Z21" s="218" t="s">
        <v>21</v>
      </c>
      <c r="AA21" s="219">
        <f>(1/(1/4+SUM(AD23:AD25)+1/4))</f>
        <v>1.330049261083744</v>
      </c>
      <c r="AB21" s="217" t="s">
        <v>5</v>
      </c>
      <c r="AC21" s="217"/>
      <c r="AD21" s="217" t="s">
        <v>22</v>
      </c>
      <c r="AE21" s="220">
        <f>SUM(AE23:AE26)</f>
        <v>150360</v>
      </c>
      <c r="AF21" s="222" t="s">
        <v>23</v>
      </c>
      <c r="AG21" s="222">
        <f>SUM(AE23:AE25)</f>
        <v>150360</v>
      </c>
      <c r="AH21" s="222"/>
      <c r="AM21" s="158" t="s">
        <v>314</v>
      </c>
      <c r="AN21" s="81" t="s">
        <v>315</v>
      </c>
      <c r="AO21" s="81" t="s">
        <v>332</v>
      </c>
      <c r="AP21" s="81">
        <f>2*AA21*O27+O30*1*AA54</f>
        <v>274.84124214018959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23"/>
        <v>274.84124214018959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4"/>
        <v>2190</v>
      </c>
      <c r="BQ21" s="167" t="s">
        <v>317</v>
      </c>
      <c r="BS21" s="81" t="s">
        <v>373</v>
      </c>
      <c r="BT21" s="81" t="s">
        <v>298</v>
      </c>
      <c r="BU21" s="166">
        <v>22100000</v>
      </c>
      <c r="BV21" s="166">
        <v>378000</v>
      </c>
      <c r="BW21" s="81">
        <v>58.53</v>
      </c>
      <c r="BX21" s="81" t="s">
        <v>384</v>
      </c>
      <c r="BY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 t="shared" si="22"/>
        <v>260</v>
      </c>
      <c r="CF21" s="167" t="s">
        <v>317</v>
      </c>
      <c r="CI21" s="81" t="s">
        <v>333</v>
      </c>
      <c r="CJ21" s="242">
        <f t="shared" si="1"/>
        <v>80.844985915492956</v>
      </c>
      <c r="CK21" s="242">
        <f t="shared" si="2"/>
        <v>251</v>
      </c>
      <c r="CL21" s="242">
        <f t="shared" si="3"/>
        <v>260</v>
      </c>
      <c r="CO21" s="243" t="s">
        <v>373</v>
      </c>
      <c r="CP21" s="243" t="s">
        <v>449</v>
      </c>
      <c r="CQ21" s="244">
        <v>8.4400000000000003E-2</v>
      </c>
      <c r="CR21" s="244">
        <v>2.9700000000000001E-2</v>
      </c>
      <c r="CS21" s="243">
        <v>2.84</v>
      </c>
      <c r="CT21" s="243">
        <v>4.5599999999999998E-3</v>
      </c>
      <c r="CU21" s="243" t="s">
        <v>398</v>
      </c>
      <c r="CW21" s="245" t="s">
        <v>460</v>
      </c>
      <c r="CX21" s="249" t="s">
        <v>477</v>
      </c>
      <c r="CY21" s="246" t="s">
        <v>318</v>
      </c>
      <c r="CZ21" s="247">
        <f t="shared" si="12"/>
        <v>0.16</v>
      </c>
      <c r="DA21" s="245" t="s">
        <v>317</v>
      </c>
      <c r="DD21" s="278" t="s">
        <v>460</v>
      </c>
      <c r="DE21" s="274" t="s">
        <v>477</v>
      </c>
      <c r="DF21" s="274" t="s">
        <v>318</v>
      </c>
      <c r="DG21" s="278">
        <f>O$11*$Z$37*$AP$42</f>
        <v>0.34884584540004526</v>
      </c>
      <c r="DH21" s="278" t="s">
        <v>317</v>
      </c>
      <c r="DJ21" s="280" t="s">
        <v>373</v>
      </c>
      <c r="DK21" s="280" t="s">
        <v>449</v>
      </c>
      <c r="DL21" s="284">
        <v>1.58E-10</v>
      </c>
      <c r="DM21" s="284">
        <v>1.52E-8</v>
      </c>
      <c r="DN21" s="280">
        <v>0.01</v>
      </c>
      <c r="DO21" s="280">
        <v>0.99199999999999999</v>
      </c>
      <c r="DR21" s="281" t="s">
        <v>460</v>
      </c>
      <c r="DS21" s="286" t="s">
        <v>477</v>
      </c>
      <c r="DT21" s="282" t="s">
        <v>318</v>
      </c>
      <c r="DU21" s="283">
        <f t="shared" si="13"/>
        <v>0.502</v>
      </c>
      <c r="DV21" s="281" t="s">
        <v>317</v>
      </c>
    </row>
    <row r="22" spans="2:126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9.7523219814241488E-2</v>
      </c>
      <c r="H22" s="176"/>
      <c r="I22" s="177"/>
      <c r="K22" s="81" t="s">
        <v>87</v>
      </c>
      <c r="L22" s="208">
        <v>0</v>
      </c>
      <c r="M22" s="209">
        <v>2</v>
      </c>
      <c r="N22" s="209" t="s">
        <v>54</v>
      </c>
      <c r="O22" s="210">
        <f>I11</f>
        <v>3.95</v>
      </c>
      <c r="P22" s="211" t="s">
        <v>39</v>
      </c>
      <c r="Q22" s="30">
        <f t="shared" si="7"/>
        <v>2</v>
      </c>
      <c r="R22" s="30">
        <f t="shared" si="8"/>
        <v>7.9</v>
      </c>
      <c r="S22" s="30">
        <f t="shared" si="19"/>
        <v>0</v>
      </c>
      <c r="T22" s="30">
        <f t="shared" si="20"/>
        <v>0</v>
      </c>
      <c r="U22" s="30">
        <f t="shared" si="21"/>
        <v>0</v>
      </c>
      <c r="V22" s="31"/>
      <c r="W22" s="223"/>
      <c r="X22" s="224"/>
      <c r="Y22" s="225" t="s">
        <v>27</v>
      </c>
      <c r="Z22" s="225" t="s">
        <v>28</v>
      </c>
      <c r="AA22" s="225" t="s">
        <v>29</v>
      </c>
      <c r="AB22" s="225" t="s">
        <v>30</v>
      </c>
      <c r="AC22" s="225" t="s">
        <v>31</v>
      </c>
      <c r="AD22" s="225" t="s">
        <v>32</v>
      </c>
      <c r="AE22" s="226" t="s">
        <v>33</v>
      </c>
      <c r="AF22" s="222"/>
      <c r="AG22" s="222"/>
      <c r="AH22" s="222"/>
      <c r="AM22" s="158" t="s">
        <v>314</v>
      </c>
      <c r="AN22" s="81" t="s">
        <v>315</v>
      </c>
      <c r="AO22" s="81" t="s">
        <v>333</v>
      </c>
      <c r="AP22" s="152">
        <f>'[1]Verwarming Tabula 2zone Ref1'!B60+SUM(R10:R13)+R16</f>
        <v>80.844985915492956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23"/>
        <v>80.844985915492956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4"/>
        <v>251</v>
      </c>
      <c r="BQ22" s="167" t="s">
        <v>317</v>
      </c>
      <c r="BS22" s="81" t="s">
        <v>373</v>
      </c>
      <c r="BT22" s="81" t="s">
        <v>396</v>
      </c>
      <c r="BU22" s="166">
        <v>-8.51</v>
      </c>
      <c r="BV22" s="166">
        <v>0.16800000000000001</v>
      </c>
      <c r="BW22" s="81">
        <v>-50.8</v>
      </c>
      <c r="BX22" s="81" t="s">
        <v>384</v>
      </c>
      <c r="BY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1/BU41</f>
        <v>1992.0318725099603</v>
      </c>
      <c r="CF22" s="167" t="s">
        <v>317</v>
      </c>
      <c r="CI22" s="81" t="s">
        <v>334</v>
      </c>
      <c r="CJ22" s="242">
        <f t="shared" si="1"/>
        <v>196.05767859245145</v>
      </c>
      <c r="CK22" s="242">
        <f t="shared" si="2"/>
        <v>884.95575221238948</v>
      </c>
      <c r="CL22" s="242">
        <f t="shared" si="3"/>
        <v>1992.0318725099603</v>
      </c>
      <c r="CO22" s="243" t="s">
        <v>373</v>
      </c>
      <c r="CP22" s="243" t="s">
        <v>450</v>
      </c>
      <c r="CQ22" s="244">
        <v>6.8099999999999994E-2</v>
      </c>
      <c r="CR22" s="244">
        <v>3.1899999999999998E-2</v>
      </c>
      <c r="CS22" s="243">
        <v>2.13</v>
      </c>
      <c r="CT22" s="243">
        <v>3.2910000000000002E-2</v>
      </c>
      <c r="CU22" s="243" t="s">
        <v>418</v>
      </c>
      <c r="CW22" s="245" t="s">
        <v>460</v>
      </c>
      <c r="CX22" s="249" t="s">
        <v>478</v>
      </c>
      <c r="CY22" s="246" t="s">
        <v>318</v>
      </c>
      <c r="CZ22" s="247">
        <f t="shared" si="12"/>
        <v>6.1200000000000004E-9</v>
      </c>
      <c r="DA22" s="245" t="s">
        <v>317</v>
      </c>
      <c r="DD22" s="278" t="s">
        <v>460</v>
      </c>
      <c r="DE22" s="274" t="s">
        <v>478</v>
      </c>
      <c r="DF22" s="274" t="s">
        <v>318</v>
      </c>
      <c r="DG22" s="278">
        <f>O$10*$Z$37*$AP$42</f>
        <v>0.37092469637473163</v>
      </c>
      <c r="DH22" s="278" t="s">
        <v>317</v>
      </c>
      <c r="DJ22" s="280" t="s">
        <v>373</v>
      </c>
      <c r="DK22" s="280" t="s">
        <v>450</v>
      </c>
      <c r="DL22" s="284">
        <v>0.27</v>
      </c>
      <c r="DM22" s="284">
        <v>0.122</v>
      </c>
      <c r="DN22" s="280">
        <v>2.2200000000000002</v>
      </c>
      <c r="DO22" s="280">
        <v>2.7E-2</v>
      </c>
      <c r="DP22" s="280" t="s">
        <v>418</v>
      </c>
      <c r="DR22" s="281" t="s">
        <v>460</v>
      </c>
      <c r="DS22" s="286" t="s">
        <v>478</v>
      </c>
      <c r="DT22" s="282" t="s">
        <v>318</v>
      </c>
      <c r="DU22" s="283">
        <f t="shared" si="13"/>
        <v>0.23899999999999999</v>
      </c>
      <c r="DV22" s="281" t="s">
        <v>317</v>
      </c>
    </row>
    <row r="23" spans="2:126" ht="15" customHeight="1" thickTop="1" thickBot="1" x14ac:dyDescent="0.3">
      <c r="B23" s="193" t="s">
        <v>91</v>
      </c>
      <c r="C23" s="195">
        <f>C17+C6</f>
        <v>225.9</v>
      </c>
      <c r="D23" s="194" t="s">
        <v>9</v>
      </c>
      <c r="E23" s="175"/>
      <c r="F23" s="176"/>
      <c r="G23" s="176"/>
      <c r="H23" s="176"/>
      <c r="I23" s="177"/>
      <c r="K23" s="81" t="s">
        <v>89</v>
      </c>
      <c r="L23" s="208">
        <v>0</v>
      </c>
      <c r="M23" s="209">
        <v>2</v>
      </c>
      <c r="N23" s="209" t="s">
        <v>54</v>
      </c>
      <c r="O23" s="210">
        <f>I12</f>
        <v>4.05</v>
      </c>
      <c r="P23" s="211" t="s">
        <v>45</v>
      </c>
      <c r="Q23" s="30">
        <f t="shared" si="7"/>
        <v>2</v>
      </c>
      <c r="R23" s="30">
        <f t="shared" si="8"/>
        <v>8.1</v>
      </c>
      <c r="S23" s="30">
        <f t="shared" si="19"/>
        <v>0</v>
      </c>
      <c r="T23" s="30">
        <f t="shared" si="20"/>
        <v>0</v>
      </c>
      <c r="U23" s="30">
        <f t="shared" si="21"/>
        <v>0</v>
      </c>
      <c r="V23" s="31"/>
      <c r="W23" s="223"/>
      <c r="X23" s="175"/>
      <c r="Y23" s="176" t="s">
        <v>433</v>
      </c>
      <c r="Z23" s="176">
        <v>0.02</v>
      </c>
      <c r="AA23" s="176">
        <v>0.6</v>
      </c>
      <c r="AB23" s="176">
        <v>975</v>
      </c>
      <c r="AC23" s="176">
        <v>840</v>
      </c>
      <c r="AD23" s="227">
        <f>Z23/AA23</f>
        <v>3.3333333333333333E-2</v>
      </c>
      <c r="AE23" s="177">
        <f>Z23*AB23*AC23</f>
        <v>16380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SUM(O6:O9)*1/(SUM(AD15:AD17)+SUM(AD18:AD19)*0.5+1/23)</f>
        <v>196.05767859245145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23"/>
        <v>196.05767859245145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397</v>
      </c>
      <c r="BU23" s="166">
        <v>-16.7</v>
      </c>
      <c r="BV23" s="166">
        <v>5.94</v>
      </c>
      <c r="BW23" s="81">
        <v>-2.81</v>
      </c>
      <c r="BX23" s="81">
        <v>4.8999999999999998E-3</v>
      </c>
      <c r="BY23" s="81" t="s">
        <v>398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BU44</f>
        <v>530</v>
      </c>
      <c r="CF23" s="167" t="s">
        <v>317</v>
      </c>
      <c r="CI23" s="81" t="s">
        <v>335</v>
      </c>
      <c r="CJ23" s="242">
        <f t="shared" si="1"/>
        <v>235.51111111111106</v>
      </c>
      <c r="CK23" s="242">
        <f t="shared" si="2"/>
        <v>301</v>
      </c>
      <c r="CL23" s="242">
        <f t="shared" si="3"/>
        <v>530</v>
      </c>
      <c r="CO23" s="243" t="s">
        <v>373</v>
      </c>
      <c r="CP23" s="243" t="s">
        <v>451</v>
      </c>
      <c r="CQ23" s="244">
        <v>0.23799999999999999</v>
      </c>
      <c r="CR23" s="244">
        <v>1.1900000000000001E-2</v>
      </c>
      <c r="CS23" s="243">
        <v>19.95</v>
      </c>
      <c r="CT23" s="243" t="s">
        <v>420</v>
      </c>
      <c r="CU23" s="244">
        <v>2E-16</v>
      </c>
      <c r="CV23" s="81" t="s">
        <v>385</v>
      </c>
      <c r="CW23" s="245" t="s">
        <v>460</v>
      </c>
      <c r="CX23" s="248" t="s">
        <v>479</v>
      </c>
      <c r="CY23" s="246" t="s">
        <v>318</v>
      </c>
      <c r="CZ23" s="247">
        <f t="shared" si="12"/>
        <v>0.13</v>
      </c>
      <c r="DA23" s="245" t="s">
        <v>317</v>
      </c>
      <c r="DD23" s="278" t="s">
        <v>460</v>
      </c>
      <c r="DE23" s="274" t="s">
        <v>479</v>
      </c>
      <c r="DF23" s="274" t="s">
        <v>318</v>
      </c>
      <c r="DG23" s="278">
        <f>O$12*$Z$37*$AP$42</f>
        <v>0.35767738578991976</v>
      </c>
      <c r="DH23" s="278" t="s">
        <v>317</v>
      </c>
      <c r="DJ23" s="280" t="s">
        <v>373</v>
      </c>
      <c r="DK23" s="280" t="s">
        <v>451</v>
      </c>
      <c r="DL23" s="284">
        <v>0.71899999999999997</v>
      </c>
      <c r="DM23" s="284">
        <v>3.9800000000000002E-2</v>
      </c>
      <c r="DN23" s="280">
        <v>18.09</v>
      </c>
      <c r="DO23" s="280" t="s">
        <v>420</v>
      </c>
      <c r="DP23" s="284">
        <v>2E-16</v>
      </c>
      <c r="DQ23" s="280" t="s">
        <v>385</v>
      </c>
      <c r="DR23" s="281" t="s">
        <v>460</v>
      </c>
      <c r="DS23" s="285" t="s">
        <v>479</v>
      </c>
      <c r="DT23" s="282" t="s">
        <v>318</v>
      </c>
      <c r="DU23" s="283">
        <f t="shared" si="13"/>
        <v>0.52</v>
      </c>
      <c r="DV23" s="281" t="s">
        <v>317</v>
      </c>
    </row>
    <row r="24" spans="2:126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0.66489597166888015</v>
      </c>
      <c r="H24" s="176"/>
      <c r="I24" s="177"/>
      <c r="K24" s="81" t="s">
        <v>92</v>
      </c>
      <c r="L24" s="208">
        <v>0</v>
      </c>
      <c r="M24" s="209">
        <v>2</v>
      </c>
      <c r="N24" s="209" t="s">
        <v>54</v>
      </c>
      <c r="O24" s="210">
        <f>I13</f>
        <v>3.55</v>
      </c>
      <c r="P24" s="211" t="s">
        <v>50</v>
      </c>
      <c r="Q24" s="30">
        <f t="shared" si="7"/>
        <v>2</v>
      </c>
      <c r="R24" s="30">
        <f t="shared" si="8"/>
        <v>7.1</v>
      </c>
      <c r="S24" s="30">
        <f t="shared" si="19"/>
        <v>0</v>
      </c>
      <c r="T24" s="30">
        <f t="shared" si="20"/>
        <v>0</v>
      </c>
      <c r="U24" s="30">
        <f t="shared" si="21"/>
        <v>0</v>
      </c>
      <c r="V24" s="31"/>
      <c r="W24" s="223"/>
      <c r="X24" s="175"/>
      <c r="Y24" s="176" t="s">
        <v>434</v>
      </c>
      <c r="Z24" s="176">
        <v>0.1</v>
      </c>
      <c r="AA24" s="176">
        <v>0.54</v>
      </c>
      <c r="AB24" s="176">
        <v>1400</v>
      </c>
      <c r="AC24" s="176">
        <v>840</v>
      </c>
      <c r="AD24" s="227">
        <f>Z24/AA24</f>
        <v>0.18518518518518517</v>
      </c>
      <c r="AE24" s="177">
        <f>Z24*AB24*AC24</f>
        <v>117600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SUM(O14)*1/(SUM(AD44:AD46)*3)</f>
        <v>235.51111111111106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23"/>
        <v>235.51111111111106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399</v>
      </c>
      <c r="BU24" s="166">
        <v>-12.4</v>
      </c>
      <c r="BV24" s="166">
        <v>4.4400000000000004</v>
      </c>
      <c r="BW24" s="81">
        <v>-2.8</v>
      </c>
      <c r="BX24" s="81">
        <v>5.1000000000000004E-3</v>
      </c>
      <c r="BY24" s="81" t="s">
        <v>398</v>
      </c>
      <c r="CA24" s="167"/>
      <c r="CB24" s="167"/>
      <c r="CC24" s="167"/>
      <c r="CD24" s="168"/>
      <c r="CE24" s="161"/>
      <c r="CF24" s="167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1.1299999999999999E-2</v>
      </c>
      <c r="CR24" s="244">
        <v>2.92E-2</v>
      </c>
      <c r="CS24" s="243">
        <v>0.39</v>
      </c>
      <c r="CT24" s="244">
        <v>0.69850000000000001</v>
      </c>
      <c r="CW24" s="245" t="s">
        <v>460</v>
      </c>
      <c r="CX24" s="246" t="s">
        <v>480</v>
      </c>
      <c r="CY24" s="246" t="s">
        <v>318</v>
      </c>
      <c r="CZ24" s="247">
        <f t="shared" si="12"/>
        <v>0.18</v>
      </c>
      <c r="DA24" s="245" t="s">
        <v>317</v>
      </c>
      <c r="DD24" s="278" t="s">
        <v>460</v>
      </c>
      <c r="DE24" s="274" t="s">
        <v>480</v>
      </c>
      <c r="DF24" s="274" t="s">
        <v>318</v>
      </c>
      <c r="DG24" s="278">
        <f>O$13*$Z$37*$AP$42</f>
        <v>0.31351968384054696</v>
      </c>
      <c r="DH24" s="278" t="s">
        <v>317</v>
      </c>
      <c r="DJ24" s="280" t="s">
        <v>373</v>
      </c>
      <c r="DK24" s="280" t="s">
        <v>452</v>
      </c>
      <c r="DL24" s="284">
        <v>0.432</v>
      </c>
      <c r="DM24" s="284">
        <v>8.3799999999999999E-2</v>
      </c>
      <c r="DN24" s="280">
        <v>5.15</v>
      </c>
      <c r="DO24" s="284">
        <v>2.7000000000000001E-7</v>
      </c>
      <c r="DP24" s="280" t="s">
        <v>385</v>
      </c>
      <c r="DR24" s="281" t="s">
        <v>460</v>
      </c>
      <c r="DS24" s="282" t="s">
        <v>480</v>
      </c>
      <c r="DT24" s="282" t="s">
        <v>318</v>
      </c>
      <c r="DU24" s="283">
        <f t="shared" si="13"/>
        <v>0.52400000000000002</v>
      </c>
      <c r="DV24" s="281" t="s">
        <v>317</v>
      </c>
    </row>
    <row r="25" spans="2:126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s="81" t="s">
        <v>96</v>
      </c>
      <c r="L25" s="208">
        <v>0</v>
      </c>
      <c r="M25" s="209">
        <v>2</v>
      </c>
      <c r="N25" s="209" t="s">
        <v>20</v>
      </c>
      <c r="O25" s="210">
        <f>'Tabula data'!B7</f>
        <v>90</v>
      </c>
      <c r="P25" s="211" t="s">
        <v>97</v>
      </c>
      <c r="Q25" s="30">
        <f t="shared" si="7"/>
        <v>0.27481053799679722</v>
      </c>
      <c r="R25" s="30">
        <f t="shared" si="8"/>
        <v>24.73294841971175</v>
      </c>
      <c r="S25" s="30">
        <f t="shared" si="19"/>
        <v>7678980</v>
      </c>
      <c r="T25" s="30">
        <f t="shared" si="20"/>
        <v>85322</v>
      </c>
      <c r="U25" s="30">
        <f t="shared" si="21"/>
        <v>3800700</v>
      </c>
      <c r="V25" s="31"/>
      <c r="W25" s="223"/>
      <c r="X25" s="187"/>
      <c r="Y25" s="174" t="s">
        <v>433</v>
      </c>
      <c r="Z25" s="174">
        <v>0.02</v>
      </c>
      <c r="AA25" s="174">
        <v>0.6</v>
      </c>
      <c r="AB25" s="174">
        <v>975</v>
      </c>
      <c r="AC25" s="174">
        <v>840</v>
      </c>
      <c r="AD25" s="229">
        <f>Z25/AA25</f>
        <v>3.3333333333333333E-2</v>
      </c>
      <c r="AE25" s="192">
        <f>Z25*AB25*AC25</f>
        <v>16380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L25" s="167"/>
      <c r="BM25" s="167"/>
      <c r="BN25" s="167"/>
      <c r="BO25" s="168"/>
      <c r="BP25" s="161"/>
      <c r="BQ25" s="167"/>
      <c r="BS25" s="81" t="s">
        <v>373</v>
      </c>
      <c r="BT25" s="81" t="s">
        <v>400</v>
      </c>
      <c r="BU25" s="166">
        <v>-17.8</v>
      </c>
      <c r="BV25" s="166">
        <v>5.5</v>
      </c>
      <c r="BW25" s="81">
        <v>-3.24</v>
      </c>
      <c r="BX25" s="81">
        <v>1.1999999999999999E-3</v>
      </c>
      <c r="BY25" s="81" t="s">
        <v>398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BU53</f>
        <v>0.42799999999999999</v>
      </c>
      <c r="CF25" s="167" t="s">
        <v>317</v>
      </c>
      <c r="CI25" s="81" t="s">
        <v>336</v>
      </c>
      <c r="CJ25" s="239">
        <f t="shared" si="1"/>
        <v>0.20964687111625821</v>
      </c>
      <c r="CK25" s="239">
        <f t="shared" si="2"/>
        <v>0.01</v>
      </c>
      <c r="CL25" s="239">
        <f t="shared" si="3"/>
        <v>0.42799999999999999</v>
      </c>
      <c r="CO25" s="243" t="s">
        <v>373</v>
      </c>
      <c r="CP25" s="243" t="s">
        <v>453</v>
      </c>
      <c r="CQ25" s="244">
        <v>0.20599999999999999</v>
      </c>
      <c r="CR25" s="244">
        <v>6.6899999999999998E-3</v>
      </c>
      <c r="CS25" s="243">
        <v>30.75</v>
      </c>
      <c r="CT25" s="243" t="s">
        <v>420</v>
      </c>
      <c r="CU25" s="244">
        <v>2E-16</v>
      </c>
      <c r="CV25" s="81" t="s">
        <v>385</v>
      </c>
      <c r="CY25" s="246"/>
      <c r="DD25" s="278"/>
      <c r="DE25" s="278"/>
      <c r="DF25" s="274"/>
      <c r="DG25" s="278"/>
      <c r="DH25" s="278"/>
      <c r="DJ25" s="280" t="s">
        <v>373</v>
      </c>
      <c r="DK25" s="280" t="s">
        <v>453</v>
      </c>
      <c r="DL25" s="284">
        <v>0.61</v>
      </c>
      <c r="DM25" s="284">
        <v>1.9900000000000001E-2</v>
      </c>
      <c r="DN25" s="280">
        <v>30.71</v>
      </c>
      <c r="DO25" s="280" t="s">
        <v>420</v>
      </c>
      <c r="DP25" s="284">
        <v>2E-16</v>
      </c>
      <c r="DQ25" s="280" t="s">
        <v>385</v>
      </c>
      <c r="DT25" s="282"/>
    </row>
    <row r="26" spans="2:126" ht="15" customHeight="1" thickTop="1" thickBot="1" x14ac:dyDescent="0.3">
      <c r="B26" s="193" t="s">
        <v>100</v>
      </c>
      <c r="C26" s="199">
        <f>'Tabula data'!B6</f>
        <v>323</v>
      </c>
      <c r="D26" s="198" t="s">
        <v>9</v>
      </c>
      <c r="E26" s="175"/>
      <c r="F26" s="176"/>
      <c r="G26" s="176"/>
      <c r="H26" s="176"/>
      <c r="I26" s="177"/>
      <c r="K26" s="81" t="s">
        <v>98</v>
      </c>
      <c r="L26" s="208">
        <v>1</v>
      </c>
      <c r="M26" s="209">
        <v>2</v>
      </c>
      <c r="N26" s="209" t="s">
        <v>99</v>
      </c>
      <c r="O26" s="210">
        <f>O14</f>
        <v>75.699999999999989</v>
      </c>
      <c r="P26" s="211"/>
      <c r="Q26" s="30">
        <f t="shared" si="7"/>
        <v>0.91717620900500274</v>
      </c>
      <c r="R26" s="30">
        <f t="shared" si="8"/>
        <v>69.430239021678702</v>
      </c>
      <c r="S26" s="30">
        <f t="shared" si="19"/>
        <v>4379244.9999999991</v>
      </c>
      <c r="T26" s="30">
        <f t="shared" si="20"/>
        <v>57850</v>
      </c>
      <c r="U26" s="30">
        <f t="shared" si="21"/>
        <v>4379244.9999999991</v>
      </c>
      <c r="V26" s="31"/>
      <c r="W26" s="223"/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SUM(O17:O20,O25)/SUM(O$17:O$25,2*O$28,O$26,O31,2*O29)</f>
        <v>0.20964687111625821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0.20964687111625821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401</v>
      </c>
      <c r="BU26" s="166">
        <v>-18.8</v>
      </c>
      <c r="BV26" s="166">
        <v>6.12</v>
      </c>
      <c r="BW26" s="81">
        <v>-3.06</v>
      </c>
      <c r="BX26" s="81">
        <v>2.2000000000000001E-3</v>
      </c>
      <c r="BY26" s="81" t="s">
        <v>398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 t="shared" ref="CE26:CE27" si="25">BU54</f>
        <v>0.161</v>
      </c>
      <c r="CF26" s="167" t="s">
        <v>317</v>
      </c>
      <c r="CI26" s="81" t="s">
        <v>337</v>
      </c>
      <c r="CJ26" s="239">
        <f t="shared" si="1"/>
        <v>0.67577412872519027</v>
      </c>
      <c r="CK26" s="239">
        <f t="shared" si="2"/>
        <v>1.0200000000000001E-2</v>
      </c>
      <c r="CL26" s="239">
        <f t="shared" si="3"/>
        <v>0.161</v>
      </c>
      <c r="CO26" s="243" t="s">
        <v>373</v>
      </c>
      <c r="CP26" s="243" t="s">
        <v>454</v>
      </c>
      <c r="CQ26" s="244">
        <v>0.19400000000000001</v>
      </c>
      <c r="CR26" s="244">
        <v>6.1399999999999996E-3</v>
      </c>
      <c r="CS26" s="243">
        <v>31.56</v>
      </c>
      <c r="CT26" s="243" t="s">
        <v>420</v>
      </c>
      <c r="CU26" s="244">
        <v>2E-16</v>
      </c>
      <c r="CV26" s="81" t="s">
        <v>385</v>
      </c>
      <c r="CX26" s="246"/>
      <c r="CY26" s="246"/>
      <c r="CZ26" s="247"/>
      <c r="DD26" s="278"/>
      <c r="DE26" s="274"/>
      <c r="DF26" s="274"/>
      <c r="DG26" s="278"/>
      <c r="DH26" s="278"/>
      <c r="DJ26" s="280" t="s">
        <v>373</v>
      </c>
      <c r="DK26" s="280" t="s">
        <v>454</v>
      </c>
      <c r="DL26" s="284">
        <v>0.505</v>
      </c>
      <c r="DM26" s="284">
        <v>1.66E-2</v>
      </c>
      <c r="DN26" s="280">
        <v>30.43</v>
      </c>
      <c r="DO26" s="280" t="s">
        <v>420</v>
      </c>
      <c r="DP26" s="284">
        <v>2E-16</v>
      </c>
      <c r="DQ26" s="280" t="s">
        <v>385</v>
      </c>
      <c r="DS26" s="282"/>
      <c r="DT26" s="282"/>
      <c r="DU26" s="283"/>
    </row>
    <row r="27" spans="2:126" ht="15" customHeight="1" thickTop="1" thickBot="1" x14ac:dyDescent="0.3">
      <c r="B27" s="175"/>
      <c r="C27" s="191">
        <f>SUM(O6:O25)</f>
        <v>323</v>
      </c>
      <c r="D27" s="177" t="s">
        <v>70</v>
      </c>
      <c r="E27" s="175"/>
      <c r="F27" s="176"/>
      <c r="G27" s="176"/>
      <c r="H27" s="176"/>
      <c r="I27" s="177"/>
      <c r="K27" s="81" t="s">
        <v>101</v>
      </c>
      <c r="L27" s="208">
        <v>1</v>
      </c>
      <c r="M27" s="209">
        <v>1</v>
      </c>
      <c r="N27" s="209" t="s">
        <v>85</v>
      </c>
      <c r="O27" s="210">
        <f>SUM(O6:O9)+O30/2</f>
        <v>68.671375389958385</v>
      </c>
      <c r="P27" s="211"/>
      <c r="Q27" s="30">
        <f t="shared" si="7"/>
        <v>1.330049261083744</v>
      </c>
      <c r="R27" s="30">
        <f t="shared" si="8"/>
        <v>91.336312095018556</v>
      </c>
      <c r="S27" s="30">
        <f t="shared" si="19"/>
        <v>10325428.003634144</v>
      </c>
      <c r="T27" s="30">
        <f t="shared" si="20"/>
        <v>150360</v>
      </c>
      <c r="U27" s="30">
        <f t="shared" si="21"/>
        <v>10325428.003634144</v>
      </c>
      <c r="V27" s="31"/>
      <c r="W27" s="223"/>
      <c r="X27" s="216" t="s">
        <v>99</v>
      </c>
      <c r="Y27" s="217"/>
      <c r="Z27" s="218" t="s">
        <v>21</v>
      </c>
      <c r="AA27" s="219">
        <f>1/(1/5+SUM(AD29:AD32)+1/3)</f>
        <v>0.91717620900500274</v>
      </c>
      <c r="AB27" s="217" t="s">
        <v>5</v>
      </c>
      <c r="AC27" s="217"/>
      <c r="AD27" s="217" t="s">
        <v>22</v>
      </c>
      <c r="AE27" s="220">
        <f>SUM(AE29:AE33)</f>
        <v>57850</v>
      </c>
      <c r="AF27" s="222" t="s">
        <v>23</v>
      </c>
      <c r="AG27" s="222">
        <f>SUM(AE29:AE32)</f>
        <v>57850</v>
      </c>
      <c r="AH27" s="222"/>
      <c r="AM27" s="158" t="s">
        <v>314</v>
      </c>
      <c r="AN27" s="81" t="s">
        <v>315</v>
      </c>
      <c r="AO27" s="81" t="s">
        <v>337</v>
      </c>
      <c r="AP27" s="81">
        <f>SUM(2*O28,2*O29,O31)/SUM(O$17:O$25,2*O$28,O$26,O31,2*O29)</f>
        <v>0.67577412872519027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6">AP27</f>
        <v>0.67577412872519027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7">BE53</f>
        <v>1.0200000000000001E-2</v>
      </c>
      <c r="BQ27" s="167" t="s">
        <v>317</v>
      </c>
      <c r="BS27" s="81" t="s">
        <v>373</v>
      </c>
      <c r="BT27" s="81" t="s">
        <v>402</v>
      </c>
      <c r="BU27" s="166">
        <v>8.2900000000000001E-2</v>
      </c>
      <c r="BV27" s="166">
        <v>2.0799999999999999E-4</v>
      </c>
      <c r="BW27" s="81">
        <v>398.4</v>
      </c>
      <c r="BX27" s="81" t="s">
        <v>384</v>
      </c>
      <c r="BY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 t="shared" si="25"/>
        <v>8.0100000000000005E-2</v>
      </c>
      <c r="CF27" s="167" t="s">
        <v>317</v>
      </c>
      <c r="CI27" s="81" t="s">
        <v>338</v>
      </c>
      <c r="CJ27" s="239">
        <f t="shared" si="1"/>
        <v>1.9733398059017901E-2</v>
      </c>
      <c r="CK27" s="239">
        <f t="shared" si="2"/>
        <v>0.69799999999999995</v>
      </c>
      <c r="CL27" s="239">
        <f t="shared" si="3"/>
        <v>8.0100000000000005E-2</v>
      </c>
      <c r="CO27" s="243" t="s">
        <v>373</v>
      </c>
      <c r="CP27" s="243" t="s">
        <v>455</v>
      </c>
      <c r="CQ27" s="244">
        <v>0.16</v>
      </c>
      <c r="CR27" s="244">
        <v>1.32E-2</v>
      </c>
      <c r="CS27" s="243">
        <v>12.14</v>
      </c>
      <c r="CT27" s="243" t="s">
        <v>420</v>
      </c>
      <c r="CU27" s="244">
        <v>2E-16</v>
      </c>
      <c r="CV27" s="81" t="s">
        <v>385</v>
      </c>
      <c r="CW27" s="245" t="s">
        <v>460</v>
      </c>
      <c r="CX27" s="246" t="s">
        <v>325</v>
      </c>
      <c r="CY27" s="246" t="s">
        <v>318</v>
      </c>
      <c r="CZ27" s="247">
        <f>CQ32</f>
        <v>59200000</v>
      </c>
      <c r="DA27" s="245" t="s">
        <v>317</v>
      </c>
      <c r="DD27" s="278" t="s">
        <v>460</v>
      </c>
      <c r="DE27" s="274" t="s">
        <v>325</v>
      </c>
      <c r="DF27" s="274" t="s">
        <v>318</v>
      </c>
      <c r="DG27" s="278">
        <f>AP12</f>
        <v>8399671.9999999981</v>
      </c>
      <c r="DH27" s="278" t="s">
        <v>317</v>
      </c>
      <c r="DJ27" s="280" t="s">
        <v>373</v>
      </c>
      <c r="DK27" s="280" t="s">
        <v>455</v>
      </c>
      <c r="DL27" s="284">
        <v>0.502</v>
      </c>
      <c r="DM27" s="284">
        <v>5.0099999999999999E-2</v>
      </c>
      <c r="DN27" s="280">
        <v>10.029999999999999</v>
      </c>
      <c r="DO27" s="280" t="s">
        <v>420</v>
      </c>
      <c r="DP27" s="284">
        <v>2E-16</v>
      </c>
      <c r="DQ27" s="280" t="s">
        <v>385</v>
      </c>
      <c r="DR27" s="281" t="s">
        <v>460</v>
      </c>
      <c r="DS27" s="282" t="s">
        <v>325</v>
      </c>
      <c r="DT27" s="282" t="s">
        <v>318</v>
      </c>
      <c r="DU27" s="283">
        <f>DL32</f>
        <v>212000000</v>
      </c>
      <c r="DV27" s="281" t="s">
        <v>317</v>
      </c>
    </row>
    <row r="28" spans="2:126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s="81" t="s">
        <v>102</v>
      </c>
      <c r="L28" s="208">
        <v>2</v>
      </c>
      <c r="M28" s="209">
        <v>2</v>
      </c>
      <c r="N28" s="209" t="s">
        <v>85</v>
      </c>
      <c r="O28" s="210">
        <f>SUM(O17:O20)+O31/2</f>
        <v>136.25416887148947</v>
      </c>
      <c r="P28" s="211"/>
      <c r="Q28" s="30">
        <f>VLOOKUP(N28,$X$5:$AA$392,4,0)</f>
        <v>1.330049261083744</v>
      </c>
      <c r="R28" s="30">
        <f>Q28*O28</f>
        <v>181.22475662710423</v>
      </c>
      <c r="S28" s="30">
        <f>VLOOKUP(N28,$X$5:$AE$392,8,0)*O28</f>
        <v>20487176.831517156</v>
      </c>
      <c r="T28" s="30">
        <f>S28/O28</f>
        <v>150360</v>
      </c>
      <c r="U28" s="30">
        <f>VLOOKUP(N28,$X$5:$AG$391,10,0)*O28</f>
        <v>20487176.831517156</v>
      </c>
      <c r="V28" s="31"/>
      <c r="X28" s="224"/>
      <c r="Y28" s="225" t="s">
        <v>27</v>
      </c>
      <c r="Z28" s="225" t="s">
        <v>28</v>
      </c>
      <c r="AA28" s="225" t="s">
        <v>29</v>
      </c>
      <c r="AB28" s="225" t="s">
        <v>30</v>
      </c>
      <c r="AC28" s="225" t="s">
        <v>31</v>
      </c>
      <c r="AD28" s="225" t="s">
        <v>32</v>
      </c>
      <c r="AE28" s="226" t="s">
        <v>33</v>
      </c>
      <c r="AF28" s="222"/>
      <c r="AG28" s="222"/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SUM(O21:O24)/SUM(O$17:O$25,2*O$28,O$26,O31,2*O29)</f>
        <v>1.9733398059017901E-2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6"/>
        <v>1.9733398059017901E-2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7"/>
        <v>0.69799999999999995</v>
      </c>
      <c r="BQ28" s="167" t="s">
        <v>317</v>
      </c>
      <c r="BS28" s="81" t="s">
        <v>373</v>
      </c>
      <c r="BT28" s="81" t="s">
        <v>403</v>
      </c>
      <c r="BU28" s="166">
        <v>0.16500000000000001</v>
      </c>
      <c r="BV28" s="166">
        <v>4.26E-4</v>
      </c>
      <c r="BW28" s="81">
        <v>388.6</v>
      </c>
      <c r="BX28" s="81" t="s">
        <v>384</v>
      </c>
      <c r="BY28" s="81" t="s">
        <v>385</v>
      </c>
      <c r="CA28" s="167"/>
      <c r="CB28" s="167"/>
      <c r="CC28" s="167"/>
      <c r="CD28" s="168"/>
      <c r="CE28" s="161"/>
      <c r="CF28" s="167"/>
      <c r="CJ28" s="240"/>
      <c r="CK28" s="240"/>
      <c r="CL28" s="240"/>
      <c r="CO28" s="243" t="s">
        <v>373</v>
      </c>
      <c r="CP28" s="243" t="s">
        <v>355</v>
      </c>
      <c r="CQ28" s="244">
        <v>6.1200000000000004E-9</v>
      </c>
      <c r="CR28" s="244">
        <v>3.9899999999999999E-6</v>
      </c>
      <c r="CS28" s="243">
        <v>0</v>
      </c>
      <c r="CT28" s="243">
        <v>0.99878</v>
      </c>
      <c r="CW28" s="245" t="s">
        <v>460</v>
      </c>
      <c r="CX28" s="249" t="s">
        <v>322</v>
      </c>
      <c r="CY28" s="246" t="s">
        <v>318</v>
      </c>
      <c r="CZ28" s="247">
        <f t="shared" ref="CZ28:CZ30" si="28">CQ33</f>
        <v>1300000</v>
      </c>
      <c r="DA28" s="245" t="s">
        <v>317</v>
      </c>
      <c r="DD28" s="278" t="s">
        <v>460</v>
      </c>
      <c r="DE28" s="274" t="s">
        <v>322</v>
      </c>
      <c r="DF28" s="274" t="s">
        <v>318</v>
      </c>
      <c r="DG28" s="278">
        <f>AP9</f>
        <v>1095632.3788579016</v>
      </c>
      <c r="DH28" s="278" t="s">
        <v>317</v>
      </c>
      <c r="DJ28" s="280" t="s">
        <v>373</v>
      </c>
      <c r="DK28" s="280" t="s">
        <v>355</v>
      </c>
      <c r="DL28" s="284">
        <v>0.23899999999999999</v>
      </c>
      <c r="DM28" s="284">
        <v>0.125</v>
      </c>
      <c r="DN28" s="280">
        <v>1.91</v>
      </c>
      <c r="DO28" s="280">
        <v>5.6000000000000001E-2</v>
      </c>
      <c r="DP28" s="280" t="s">
        <v>428</v>
      </c>
      <c r="DR28" s="281" t="s">
        <v>460</v>
      </c>
      <c r="DS28" s="286" t="s">
        <v>322</v>
      </c>
      <c r="DT28" s="282" t="s">
        <v>318</v>
      </c>
      <c r="DU28" s="283">
        <f t="shared" ref="DU28:DU30" si="29">DL33</f>
        <v>566000</v>
      </c>
      <c r="DV28" s="281" t="s">
        <v>317</v>
      </c>
    </row>
    <row r="29" spans="2:126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08">
        <v>2</v>
      </c>
      <c r="M29" s="209">
        <v>2</v>
      </c>
      <c r="N29" s="209" t="s">
        <v>99</v>
      </c>
      <c r="O29" s="210">
        <f>C8-C7</f>
        <v>74.500000000000028</v>
      </c>
      <c r="P29" s="211"/>
      <c r="Q29" s="30">
        <f t="shared" ref="Q29:Q31" si="30">VLOOKUP(N29,$X$5:$AA$392,4,0)</f>
        <v>0.91717620900500274</v>
      </c>
      <c r="R29" s="30">
        <f t="shared" ref="R29:R31" si="31">Q29*O29</f>
        <v>68.329627570872731</v>
      </c>
      <c r="S29" s="30">
        <f t="shared" ref="S29:S31" si="32">VLOOKUP(N29,$X$5:$AE$392,8,0)*O29</f>
        <v>4309825.0000000019</v>
      </c>
      <c r="T29" s="30">
        <f t="shared" ref="T29:T31" si="33">S29/O29</f>
        <v>57850</v>
      </c>
      <c r="U29" s="30">
        <f t="shared" ref="U29:U31" si="34">VLOOKUP(N29,$X$5:$AG$391,10,0)*O29</f>
        <v>4309825.0000000019</v>
      </c>
      <c r="X29" s="181"/>
      <c r="Y29" s="182" t="s">
        <v>103</v>
      </c>
      <c r="Z29" s="182">
        <v>0.02</v>
      </c>
      <c r="AA29" s="182">
        <v>0.11</v>
      </c>
      <c r="AB29" s="182">
        <v>550</v>
      </c>
      <c r="AC29" s="182">
        <v>1880</v>
      </c>
      <c r="AD29" s="231">
        <f>Z29/AA29</f>
        <v>0.18181818181818182</v>
      </c>
      <c r="AE29" s="232">
        <f>Z29*AB29*AC29</f>
        <v>20680</v>
      </c>
      <c r="AF29" s="222" t="s">
        <v>104</v>
      </c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404</v>
      </c>
      <c r="BU29" s="166">
        <v>0.71599999999999997</v>
      </c>
      <c r="BV29" s="166">
        <v>3.2699999999999999E-3</v>
      </c>
      <c r="BW29" s="81">
        <v>219.17</v>
      </c>
      <c r="BX29" s="81" t="s">
        <v>384</v>
      </c>
      <c r="BY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BU58</f>
        <v>1470000</v>
      </c>
      <c r="CF29" s="167" t="s">
        <v>317</v>
      </c>
      <c r="CI29" s="81" t="s">
        <v>339</v>
      </c>
      <c r="CJ29" s="241">
        <f t="shared" si="1"/>
        <v>2173896.7411420983</v>
      </c>
      <c r="CK29" s="241">
        <f t="shared" si="2"/>
        <v>3800000</v>
      </c>
      <c r="CL29" s="241">
        <f t="shared" si="3"/>
        <v>1470000</v>
      </c>
      <c r="CO29" s="243" t="s">
        <v>373</v>
      </c>
      <c r="CP29" s="243" t="s">
        <v>456</v>
      </c>
      <c r="CQ29" s="244">
        <v>0.13</v>
      </c>
      <c r="CR29" s="244">
        <v>8.0099999999999998E-3</v>
      </c>
      <c r="CS29" s="243">
        <v>16.2</v>
      </c>
      <c r="CT29" s="243" t="s">
        <v>420</v>
      </c>
      <c r="CU29" s="244">
        <v>2E-16</v>
      </c>
      <c r="CV29" s="81" t="s">
        <v>385</v>
      </c>
      <c r="CW29" s="245" t="s">
        <v>460</v>
      </c>
      <c r="CX29" s="249" t="s">
        <v>323</v>
      </c>
      <c r="CY29" s="246" t="s">
        <v>318</v>
      </c>
      <c r="CZ29" s="247">
        <f t="shared" si="28"/>
        <v>14800000</v>
      </c>
      <c r="DA29" s="245" t="s">
        <v>317</v>
      </c>
      <c r="DD29" s="278" t="s">
        <v>460</v>
      </c>
      <c r="DE29" s="274" t="s">
        <v>323</v>
      </c>
      <c r="DF29" s="274" t="s">
        <v>318</v>
      </c>
      <c r="DG29" s="278">
        <f>AP10</f>
        <v>15779225.678618854</v>
      </c>
      <c r="DH29" s="278" t="s">
        <v>317</v>
      </c>
      <c r="DJ29" s="280" t="s">
        <v>373</v>
      </c>
      <c r="DK29" s="280" t="s">
        <v>456</v>
      </c>
      <c r="DL29" s="284">
        <v>0.52</v>
      </c>
      <c r="DM29" s="284">
        <v>2.5700000000000001E-2</v>
      </c>
      <c r="DN29" s="280">
        <v>20.23</v>
      </c>
      <c r="DO29" s="280" t="s">
        <v>420</v>
      </c>
      <c r="DP29" s="284">
        <v>2E-16</v>
      </c>
      <c r="DQ29" s="280" t="s">
        <v>385</v>
      </c>
      <c r="DR29" s="281" t="s">
        <v>460</v>
      </c>
      <c r="DS29" s="286" t="s">
        <v>323</v>
      </c>
      <c r="DT29" s="282" t="s">
        <v>318</v>
      </c>
      <c r="DU29" s="283">
        <f t="shared" si="29"/>
        <v>15300000</v>
      </c>
      <c r="DV29" s="281" t="s">
        <v>317</v>
      </c>
    </row>
    <row r="30" spans="2:126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 s="208" t="s">
        <v>504</v>
      </c>
      <c r="M30" s="209">
        <v>1</v>
      </c>
      <c r="N30" s="209" t="s">
        <v>505</v>
      </c>
      <c r="O30" s="210">
        <f>'Tabula data'!B19*D43</f>
        <v>59.397553790098286</v>
      </c>
      <c r="P30" s="211"/>
      <c r="Q30" s="30">
        <f t="shared" si="30"/>
        <v>1.5517241379310345</v>
      </c>
      <c r="R30" s="30">
        <f t="shared" si="31"/>
        <v>92.168617950152509</v>
      </c>
      <c r="S30" s="30">
        <f t="shared" si="32"/>
        <v>10203311.790063083</v>
      </c>
      <c r="T30" s="30">
        <f t="shared" si="33"/>
        <v>171780</v>
      </c>
      <c r="U30" s="30">
        <f t="shared" si="34"/>
        <v>10203311.790063083</v>
      </c>
      <c r="X30" s="175"/>
      <c r="Y30" s="176" t="s">
        <v>105</v>
      </c>
      <c r="Z30" s="176">
        <v>0.1</v>
      </c>
      <c r="AA30" s="176"/>
      <c r="AB30" s="176"/>
      <c r="AC30" s="176"/>
      <c r="AD30" s="227">
        <v>0.16</v>
      </c>
      <c r="AE30" s="177">
        <f>Z30*AB30*AC30</f>
        <v>0</v>
      </c>
      <c r="AF30" s="222"/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2173896.7411420983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2173896.7411420983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405</v>
      </c>
      <c r="BU30" s="166">
        <v>5.5E-2</v>
      </c>
      <c r="BV30" s="166">
        <v>1.06E-4</v>
      </c>
      <c r="BW30" s="81">
        <v>518.19000000000005</v>
      </c>
      <c r="BX30" s="81" t="s">
        <v>384</v>
      </c>
      <c r="BY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 t="shared" ref="CE30:CE31" si="35">BU59</f>
        <v>219000000</v>
      </c>
      <c r="CF30" s="167" t="s">
        <v>317</v>
      </c>
      <c r="CI30" s="81" t="s">
        <v>340</v>
      </c>
      <c r="CJ30" s="241">
        <f t="shared" si="1"/>
        <v>35109018.321381137</v>
      </c>
      <c r="CK30" s="241">
        <f t="shared" si="2"/>
        <v>78400000</v>
      </c>
      <c r="CL30" s="241">
        <f t="shared" si="3"/>
        <v>219000000</v>
      </c>
      <c r="CO30" s="243" t="s">
        <v>373</v>
      </c>
      <c r="CP30" s="243" t="s">
        <v>457</v>
      </c>
      <c r="CQ30" s="244">
        <v>0.18</v>
      </c>
      <c r="CR30" s="244">
        <v>7.7600000000000004E-3</v>
      </c>
      <c r="CS30" s="243">
        <v>23.26</v>
      </c>
      <c r="CT30" s="243" t="s">
        <v>420</v>
      </c>
      <c r="CU30" s="244">
        <v>2E-16</v>
      </c>
      <c r="CV30" s="81" t="s">
        <v>385</v>
      </c>
      <c r="CW30" s="245" t="s">
        <v>460</v>
      </c>
      <c r="CX30" s="249" t="s">
        <v>324</v>
      </c>
      <c r="CY30" s="246" t="s">
        <v>318</v>
      </c>
      <c r="CZ30" s="247">
        <f t="shared" si="28"/>
        <v>14000000</v>
      </c>
      <c r="DA30" s="245" t="s">
        <v>317</v>
      </c>
      <c r="DD30" s="278" t="s">
        <v>460</v>
      </c>
      <c r="DE30" s="274" t="s">
        <v>324</v>
      </c>
      <c r="DF30" s="274" t="s">
        <v>318</v>
      </c>
      <c r="DG30" s="278">
        <f>AP11</f>
        <v>10264369.896848613</v>
      </c>
      <c r="DH30" s="278" t="s">
        <v>317</v>
      </c>
      <c r="DJ30" s="280" t="s">
        <v>373</v>
      </c>
      <c r="DK30" s="280" t="s">
        <v>457</v>
      </c>
      <c r="DL30" s="284">
        <v>0.52400000000000002</v>
      </c>
      <c r="DM30" s="284">
        <v>2.24E-2</v>
      </c>
      <c r="DN30" s="280">
        <v>23.39</v>
      </c>
      <c r="DO30" s="280" t="s">
        <v>420</v>
      </c>
      <c r="DP30" s="284">
        <v>2E-16</v>
      </c>
      <c r="DQ30" s="280" t="s">
        <v>385</v>
      </c>
      <c r="DR30" s="281" t="s">
        <v>460</v>
      </c>
      <c r="DS30" s="286" t="s">
        <v>324</v>
      </c>
      <c r="DT30" s="282" t="s">
        <v>318</v>
      </c>
      <c r="DU30" s="283">
        <f t="shared" si="29"/>
        <v>20300000</v>
      </c>
      <c r="DV30" s="281" t="s">
        <v>317</v>
      </c>
    </row>
    <row r="31" spans="2:126" ht="15" customHeight="1" thickTop="1" thickBot="1" x14ac:dyDescent="0.3">
      <c r="L31" s="213" t="s">
        <v>504</v>
      </c>
      <c r="M31" s="214">
        <v>2</v>
      </c>
      <c r="N31" s="214" t="s">
        <v>505</v>
      </c>
      <c r="O31" s="210">
        <f>'Tabula data'!B19*(1-D43)</f>
        <v>117.85353473279741</v>
      </c>
      <c r="P31" s="211"/>
      <c r="Q31" s="30">
        <f t="shared" si="30"/>
        <v>1.5517241379310345</v>
      </c>
      <c r="R31" s="30">
        <f t="shared" si="31"/>
        <v>182.87617458537531</v>
      </c>
      <c r="S31" s="30">
        <f t="shared" si="32"/>
        <v>20244880.196399938</v>
      </c>
      <c r="T31" s="30">
        <f t="shared" si="33"/>
        <v>171780</v>
      </c>
      <c r="U31" s="30">
        <f t="shared" si="34"/>
        <v>20244880.196399938</v>
      </c>
      <c r="X31" s="175"/>
      <c r="Y31" s="176" t="s">
        <v>108</v>
      </c>
      <c r="Z31" s="176">
        <v>0.02</v>
      </c>
      <c r="AA31" s="176">
        <v>0.11</v>
      </c>
      <c r="AB31" s="176">
        <v>550</v>
      </c>
      <c r="AC31" s="176">
        <v>1890</v>
      </c>
      <c r="AD31" s="227">
        <f>Z31/AA31</f>
        <v>0.18181818181818182</v>
      </c>
      <c r="AE31" s="177">
        <f>Z31*AB31*AC31</f>
        <v>20790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35109018.321381137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36">AP31</f>
        <v>35109018.321381137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37">BE58</f>
        <v>78400000</v>
      </c>
      <c r="BQ31" s="167" t="s">
        <v>317</v>
      </c>
      <c r="BS31" s="81" t="s">
        <v>373</v>
      </c>
      <c r="BT31" s="81" t="s">
        <v>406</v>
      </c>
      <c r="BU31" s="166">
        <v>2.8899999999999999E-2</v>
      </c>
      <c r="BV31" s="166">
        <v>1.4300000000000001E-4</v>
      </c>
      <c r="BW31" s="81">
        <v>201.71</v>
      </c>
      <c r="BX31" s="81" t="s">
        <v>384</v>
      </c>
      <c r="BY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 t="shared" si="35"/>
        <v>40000000</v>
      </c>
      <c r="CF31" s="167" t="s">
        <v>317</v>
      </c>
      <c r="CI31" s="81" t="s">
        <v>341</v>
      </c>
      <c r="CJ31" s="241">
        <f t="shared" si="1"/>
        <v>45041882.027917095</v>
      </c>
      <c r="CK31" s="241">
        <f t="shared" si="2"/>
        <v>12500000</v>
      </c>
      <c r="CL31" s="241">
        <f t="shared" si="3"/>
        <v>40000000</v>
      </c>
      <c r="CO31" s="243" t="s">
        <v>373</v>
      </c>
      <c r="CP31" s="243" t="s">
        <v>303</v>
      </c>
      <c r="CQ31" s="244">
        <v>1690000</v>
      </c>
      <c r="CR31" s="244">
        <v>31000</v>
      </c>
      <c r="CS31" s="243">
        <v>54.59</v>
      </c>
      <c r="CT31" s="244" t="s">
        <v>420</v>
      </c>
      <c r="CU31" s="244">
        <v>2E-16</v>
      </c>
      <c r="CV31" s="81" t="s">
        <v>385</v>
      </c>
      <c r="CY31" s="246"/>
      <c r="DD31" s="278"/>
      <c r="DE31" s="278"/>
      <c r="DF31" s="274"/>
      <c r="DG31" s="278"/>
      <c r="DH31" s="278"/>
      <c r="DJ31" s="280" t="s">
        <v>373</v>
      </c>
      <c r="DK31" s="280" t="s">
        <v>303</v>
      </c>
      <c r="DL31" s="284">
        <v>2640000</v>
      </c>
      <c r="DM31" s="284">
        <v>91100</v>
      </c>
      <c r="DN31" s="280">
        <v>28.99</v>
      </c>
      <c r="DO31" s="284" t="s">
        <v>420</v>
      </c>
      <c r="DP31" s="284">
        <v>2E-16</v>
      </c>
      <c r="DQ31" s="280" t="s">
        <v>385</v>
      </c>
      <c r="DT31" s="282"/>
    </row>
    <row r="32" spans="2:126" ht="15" customHeight="1" thickTop="1" thickBot="1" x14ac:dyDescent="0.3">
      <c r="L32" s="213"/>
      <c r="M32" s="214"/>
      <c r="N32" s="214"/>
      <c r="O32" s="214"/>
      <c r="P32" s="215"/>
      <c r="Q32" s="81"/>
      <c r="R32" s="81"/>
      <c r="X32" s="187"/>
      <c r="Y32" s="174" t="s">
        <v>80</v>
      </c>
      <c r="Z32" s="174">
        <v>0.02</v>
      </c>
      <c r="AA32" s="174">
        <v>0.6</v>
      </c>
      <c r="AB32" s="174">
        <v>975</v>
      </c>
      <c r="AC32" s="174">
        <v>840</v>
      </c>
      <c r="AD32" s="229">
        <f>Z32/AA32</f>
        <v>3.3333333333333333E-2</v>
      </c>
      <c r="AE32" s="192">
        <f>Z32*AB32*AC32</f>
        <v>16380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SUM(U28,U31,U29)</f>
        <v>45041882.027917095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36"/>
        <v>45041882.027917095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37"/>
        <v>12500000</v>
      </c>
      <c r="BQ32" s="167" t="s">
        <v>317</v>
      </c>
      <c r="BS32" s="81" t="s">
        <v>373</v>
      </c>
      <c r="BT32" s="81" t="s">
        <v>407</v>
      </c>
      <c r="BU32" s="166">
        <v>505</v>
      </c>
      <c r="BV32" s="166">
        <v>1.79</v>
      </c>
      <c r="BW32" s="81">
        <v>282.55</v>
      </c>
      <c r="BX32" s="81" t="s">
        <v>384</v>
      </c>
      <c r="BY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BU65</f>
        <v>0.16500000000000001</v>
      </c>
      <c r="CF32" s="167" t="s">
        <v>317</v>
      </c>
      <c r="CI32" s="81" t="s">
        <v>342</v>
      </c>
      <c r="CJ32" s="239">
        <f t="shared" si="1"/>
        <v>6.289406133487746E-2</v>
      </c>
      <c r="CK32" s="239">
        <f t="shared" si="2"/>
        <v>1.6E-2</v>
      </c>
      <c r="CL32" s="239">
        <f t="shared" si="3"/>
        <v>0.16500000000000001</v>
      </c>
      <c r="CO32" s="243" t="s">
        <v>373</v>
      </c>
      <c r="CP32" s="243" t="s">
        <v>299</v>
      </c>
      <c r="CQ32" s="244">
        <v>59200000</v>
      </c>
      <c r="CR32" s="244">
        <v>6990000</v>
      </c>
      <c r="CS32" s="243">
        <v>8.4600000000000009</v>
      </c>
      <c r="CT32" s="244" t="s">
        <v>420</v>
      </c>
      <c r="CU32" s="244">
        <v>2E-16</v>
      </c>
      <c r="CV32" s="81" t="s">
        <v>385</v>
      </c>
      <c r="CW32" s="245" t="s">
        <v>460</v>
      </c>
      <c r="CX32" s="249" t="s">
        <v>330</v>
      </c>
      <c r="CY32" s="246" t="s">
        <v>318</v>
      </c>
      <c r="CZ32" s="247">
        <f>CQ46</f>
        <v>91.6</v>
      </c>
      <c r="DA32" s="245" t="s">
        <v>317</v>
      </c>
      <c r="DD32" s="278" t="s">
        <v>460</v>
      </c>
      <c r="DE32" s="274" t="s">
        <v>330</v>
      </c>
      <c r="DF32" s="274" t="s">
        <v>318</v>
      </c>
      <c r="DG32" s="278">
        <f>AP19</f>
        <v>152.65231457946646</v>
      </c>
      <c r="DH32" s="278" t="s">
        <v>317</v>
      </c>
      <c r="DJ32" s="280" t="s">
        <v>373</v>
      </c>
      <c r="DK32" s="280" t="s">
        <v>299</v>
      </c>
      <c r="DL32" s="284">
        <v>212000000</v>
      </c>
      <c r="DM32" s="284">
        <v>87500000</v>
      </c>
      <c r="DN32" s="280">
        <v>2.42</v>
      </c>
      <c r="DO32" s="284">
        <v>1.4999999999999999E-2</v>
      </c>
      <c r="DP32" s="284" t="s">
        <v>418</v>
      </c>
      <c r="DR32" s="281" t="s">
        <v>460</v>
      </c>
      <c r="DS32" s="286" t="s">
        <v>330</v>
      </c>
      <c r="DT32" s="282" t="s">
        <v>318</v>
      </c>
      <c r="DU32" s="283">
        <f>DL46</f>
        <v>85.8</v>
      </c>
      <c r="DV32" s="281" t="s">
        <v>317</v>
      </c>
    </row>
    <row r="33" spans="2:126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89" t="s">
        <v>112</v>
      </c>
      <c r="G33" s="289"/>
      <c r="H33" s="72" t="s">
        <v>113</v>
      </c>
      <c r="L33" s="81"/>
      <c r="M33" s="81"/>
      <c r="N33" s="81"/>
      <c r="Q33" s="81"/>
      <c r="R33" s="81"/>
      <c r="X33" s="176"/>
      <c r="Y33" s="176"/>
      <c r="Z33" s="176"/>
      <c r="AA33" s="176"/>
      <c r="AB33" s="176"/>
      <c r="AC33" s="176"/>
      <c r="AD33" s="227"/>
      <c r="AE33" s="176"/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AP26*0.3</f>
        <v>6.289406133487746E-2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36"/>
        <v>6.289406133487746E-2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408</v>
      </c>
      <c r="BU33" s="166">
        <v>194</v>
      </c>
      <c r="BV33" s="166">
        <v>0.9</v>
      </c>
      <c r="BW33" s="81">
        <v>216.08</v>
      </c>
      <c r="BX33" s="81" t="s">
        <v>384</v>
      </c>
      <c r="BY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 t="shared" ref="CE33:CE34" si="38">BU66</f>
        <v>5.8500000000000003E-2</v>
      </c>
      <c r="CF33" s="167" t="s">
        <v>317</v>
      </c>
      <c r="CI33" s="81" t="s">
        <v>343</v>
      </c>
      <c r="CJ33" s="239">
        <f t="shared" si="1"/>
        <v>0.20273223861755707</v>
      </c>
      <c r="CK33" s="239">
        <f t="shared" si="2"/>
        <v>4.2999999999999997E-2</v>
      </c>
      <c r="CL33" s="239">
        <f t="shared" si="3"/>
        <v>5.8500000000000003E-2</v>
      </c>
      <c r="CO33" s="243" t="s">
        <v>373</v>
      </c>
      <c r="CP33" s="243" t="s">
        <v>395</v>
      </c>
      <c r="CQ33" s="244">
        <v>1300000</v>
      </c>
      <c r="CR33" s="244">
        <v>5820</v>
      </c>
      <c r="CS33" s="243">
        <v>223.46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39">CQ47</f>
        <v>122</v>
      </c>
      <c r="DA33" s="245" t="s">
        <v>317</v>
      </c>
      <c r="DD33" s="278" t="s">
        <v>460</v>
      </c>
      <c r="DE33" s="274" t="s">
        <v>331</v>
      </c>
      <c r="DF33" s="274" t="s">
        <v>318</v>
      </c>
      <c r="DG33" s="278">
        <f>AP20</f>
        <v>240.86363636363635</v>
      </c>
      <c r="DH33" s="278" t="s">
        <v>317</v>
      </c>
      <c r="DJ33" s="280" t="s">
        <v>373</v>
      </c>
      <c r="DK33" s="280" t="s">
        <v>395</v>
      </c>
      <c r="DL33" s="284">
        <v>566000</v>
      </c>
      <c r="DM33" s="284">
        <v>27000</v>
      </c>
      <c r="DN33" s="280">
        <v>20.97</v>
      </c>
      <c r="DO33" s="280" t="s">
        <v>420</v>
      </c>
      <c r="DP33" s="284">
        <v>2E-16</v>
      </c>
      <c r="DQ33" s="280" t="s">
        <v>385</v>
      </c>
      <c r="DR33" s="281" t="s">
        <v>460</v>
      </c>
      <c r="DS33" s="286" t="s">
        <v>331</v>
      </c>
      <c r="DT33" s="282" t="s">
        <v>318</v>
      </c>
      <c r="DU33" s="283">
        <f t="shared" ref="DU33:DU35" si="40">DL47</f>
        <v>124</v>
      </c>
      <c r="DV33" s="281" t="s">
        <v>317</v>
      </c>
    </row>
    <row r="34" spans="2:126" ht="15" customHeight="1" thickTop="1" thickBot="1" x14ac:dyDescent="0.3">
      <c r="B34" s="73">
        <v>1</v>
      </c>
      <c r="C34" s="74">
        <f>C7*'Tabula data'!E5</f>
        <v>208.20013280212478</v>
      </c>
      <c r="D34" s="73"/>
      <c r="E34" s="73" t="s">
        <v>42</v>
      </c>
      <c r="F34" s="290">
        <v>21</v>
      </c>
      <c r="G34" s="290"/>
      <c r="H34" s="76">
        <f>VLOOKUP(E34,B6:C22,2,0)</f>
        <v>75.699999999999989</v>
      </c>
      <c r="L34" s="81"/>
      <c r="M34" s="81"/>
      <c r="N34" s="81"/>
      <c r="Q34" s="69" t="s">
        <v>106</v>
      </c>
      <c r="R34" s="70">
        <f>SUM(R4:R13)+R14*0.5+SUM(R17:R25)+R16</f>
        <v>488.54405530082931</v>
      </c>
      <c r="S34" s="69" t="s">
        <v>107</v>
      </c>
      <c r="Z34" s="221" t="s">
        <v>4</v>
      </c>
      <c r="AA34" s="221">
        <v>5</v>
      </c>
      <c r="AB34" s="221" t="s">
        <v>5</v>
      </c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AP27*0.3</f>
        <v>0.20273223861755707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36"/>
        <v>0.20273223861755707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41">BE65</f>
        <v>4.2999999999999997E-2</v>
      </c>
      <c r="BQ34" s="167" t="s">
        <v>317</v>
      </c>
      <c r="BS34" s="81" t="s">
        <v>373</v>
      </c>
      <c r="BT34" s="81" t="s">
        <v>290</v>
      </c>
      <c r="BU34" s="166">
        <v>644</v>
      </c>
      <c r="BV34" s="166">
        <v>4.09</v>
      </c>
      <c r="BW34" s="81">
        <v>157.52000000000001</v>
      </c>
      <c r="BX34" s="81" t="s">
        <v>384</v>
      </c>
      <c r="BY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 t="shared" si="38"/>
        <v>0.61199999999999999</v>
      </c>
      <c r="CF34" s="167" t="s">
        <v>317</v>
      </c>
      <c r="CI34" s="81" t="s">
        <v>345</v>
      </c>
      <c r="CJ34" s="239">
        <f t="shared" si="1"/>
        <v>0.70592001941770532</v>
      </c>
      <c r="CK34" s="239">
        <f t="shared" si="2"/>
        <v>0.73</v>
      </c>
      <c r="CL34" s="239">
        <f t="shared" si="3"/>
        <v>0.61199999999999999</v>
      </c>
      <c r="CO34" s="243" t="s">
        <v>373</v>
      </c>
      <c r="CP34" s="243" t="s">
        <v>296</v>
      </c>
      <c r="CQ34" s="244">
        <v>14800000</v>
      </c>
      <c r="CR34" s="244">
        <v>318000</v>
      </c>
      <c r="CS34" s="243">
        <v>46.39</v>
      </c>
      <c r="CT34" s="243" t="s">
        <v>420</v>
      </c>
      <c r="CU34" s="244">
        <v>2E-16</v>
      </c>
      <c r="CV34" s="81" t="s">
        <v>385</v>
      </c>
      <c r="CW34" s="245" t="s">
        <v>460</v>
      </c>
      <c r="CX34" s="250" t="s">
        <v>332</v>
      </c>
      <c r="CY34" s="246" t="s">
        <v>318</v>
      </c>
      <c r="CZ34" s="247">
        <f t="shared" si="39"/>
        <v>338</v>
      </c>
      <c r="DA34" s="245" t="s">
        <v>317</v>
      </c>
      <c r="DD34" s="278" t="s">
        <v>460</v>
      </c>
      <c r="DE34" s="274" t="s">
        <v>332</v>
      </c>
      <c r="DF34" s="274" t="s">
        <v>318</v>
      </c>
      <c r="DG34" s="278">
        <f>AP21</f>
        <v>274.84124214018959</v>
      </c>
      <c r="DH34" s="278" t="s">
        <v>317</v>
      </c>
      <c r="DJ34" s="280" t="s">
        <v>373</v>
      </c>
      <c r="DK34" s="280" t="s">
        <v>296</v>
      </c>
      <c r="DL34" s="284">
        <v>15300000</v>
      </c>
      <c r="DM34" s="284">
        <v>641000</v>
      </c>
      <c r="DN34" s="280">
        <v>23.84</v>
      </c>
      <c r="DO34" s="280" t="s">
        <v>420</v>
      </c>
      <c r="DP34" s="284">
        <v>2E-16</v>
      </c>
      <c r="DQ34" s="280" t="s">
        <v>385</v>
      </c>
      <c r="DR34" s="281" t="s">
        <v>460</v>
      </c>
      <c r="DS34" s="287" t="s">
        <v>332</v>
      </c>
      <c r="DT34" s="282" t="s">
        <v>318</v>
      </c>
      <c r="DU34" s="283">
        <f t="shared" si="40"/>
        <v>322</v>
      </c>
      <c r="DV34" s="281" t="s">
        <v>317</v>
      </c>
    </row>
    <row r="35" spans="2:126" ht="15" customHeight="1" thickTop="1" thickBot="1" x14ac:dyDescent="0.3">
      <c r="B35" s="73">
        <v>2</v>
      </c>
      <c r="C35" s="74">
        <f>C4-C34</f>
        <v>413.09986719787514</v>
      </c>
      <c r="D35" s="73"/>
      <c r="E35" s="73" t="s">
        <v>116</v>
      </c>
      <c r="F35" s="77">
        <v>18</v>
      </c>
      <c r="G35" s="77"/>
      <c r="H35" s="76">
        <f>VLOOKUP(E35,B7:C23,2,0)</f>
        <v>150.20000000000002</v>
      </c>
      <c r="L35" s="81"/>
      <c r="M35" s="81"/>
      <c r="N35" s="81"/>
      <c r="Q35" s="81"/>
      <c r="R35" s="81">
        <f>H4*Z37</f>
        <v>14.805</v>
      </c>
      <c r="X35" s="216" t="s">
        <v>115</v>
      </c>
      <c r="Y35" s="217"/>
      <c r="Z35" s="218" t="s">
        <v>21</v>
      </c>
      <c r="AA35" s="200">
        <v>2</v>
      </c>
      <c r="AB35" s="217" t="s">
        <v>5</v>
      </c>
      <c r="AC35" s="217"/>
      <c r="AD35" s="217" t="s">
        <v>22</v>
      </c>
      <c r="AE35" s="220">
        <f>SUM(AE36:AE37)</f>
        <v>0</v>
      </c>
      <c r="AF35" s="222" t="s">
        <v>23</v>
      </c>
      <c r="AG35" s="222">
        <f>SUM(AE37:AE38)</f>
        <v>0</v>
      </c>
      <c r="AH35" s="222"/>
      <c r="AM35" s="158" t="s">
        <v>314</v>
      </c>
      <c r="AN35" s="81" t="s">
        <v>315</v>
      </c>
      <c r="AO35" s="81" t="s">
        <v>345</v>
      </c>
      <c r="AP35" s="81">
        <f>AP28*0.3+0.7</f>
        <v>0.70592001941770532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36"/>
        <v>0.70592001941770532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41"/>
        <v>0.73</v>
      </c>
      <c r="BQ35" s="167" t="s">
        <v>317</v>
      </c>
      <c r="BS35" s="81" t="s">
        <v>373</v>
      </c>
      <c r="BT35" s="81" t="s">
        <v>120</v>
      </c>
      <c r="BU35" s="166">
        <v>260</v>
      </c>
      <c r="BV35" s="166">
        <v>2.52</v>
      </c>
      <c r="BW35" s="81">
        <v>103.2</v>
      </c>
      <c r="BX35" s="81" t="s">
        <v>384</v>
      </c>
      <c r="BY35" s="81" t="s">
        <v>385</v>
      </c>
      <c r="CA35" s="167"/>
      <c r="CB35" s="167"/>
      <c r="CC35" s="167"/>
      <c r="CD35" s="168"/>
      <c r="CE35" s="161"/>
      <c r="CF35" s="167"/>
      <c r="CJ35" s="240"/>
      <c r="CK35" s="240"/>
      <c r="CL35" s="240"/>
      <c r="CO35" s="243" t="s">
        <v>373</v>
      </c>
      <c r="CP35" s="243" t="s">
        <v>298</v>
      </c>
      <c r="CQ35" s="244">
        <v>14000000</v>
      </c>
      <c r="CR35" s="244">
        <v>179000</v>
      </c>
      <c r="CS35" s="243">
        <v>78.06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39"/>
        <v>68.900000000000006</v>
      </c>
      <c r="DA35" s="245" t="s">
        <v>317</v>
      </c>
      <c r="DD35" s="278" t="s">
        <v>460</v>
      </c>
      <c r="DE35" s="274" t="s">
        <v>333</v>
      </c>
      <c r="DF35" s="274" t="s">
        <v>318</v>
      </c>
      <c r="DG35" s="278">
        <f>AP22</f>
        <v>80.844985915492956</v>
      </c>
      <c r="DH35" s="278" t="s">
        <v>317</v>
      </c>
      <c r="DJ35" s="280" t="s">
        <v>373</v>
      </c>
      <c r="DK35" s="280" t="s">
        <v>298</v>
      </c>
      <c r="DL35" s="284">
        <v>20300000</v>
      </c>
      <c r="DM35" s="284">
        <v>640000</v>
      </c>
      <c r="DN35" s="280">
        <v>31.74</v>
      </c>
      <c r="DO35" s="280" t="s">
        <v>420</v>
      </c>
      <c r="DP35" s="284">
        <v>2E-16</v>
      </c>
      <c r="DQ35" s="280" t="s">
        <v>385</v>
      </c>
      <c r="DR35" s="281" t="s">
        <v>460</v>
      </c>
      <c r="DS35" s="287" t="s">
        <v>333</v>
      </c>
      <c r="DT35" s="282" t="s">
        <v>318</v>
      </c>
      <c r="DU35" s="283">
        <f t="shared" si="40"/>
        <v>148</v>
      </c>
      <c r="DV35" s="281" t="s">
        <v>317</v>
      </c>
    </row>
    <row r="36" spans="2:126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91" t="s">
        <v>119</v>
      </c>
      <c r="G36" s="291"/>
      <c r="H36" s="76">
        <f>C17</f>
        <v>0</v>
      </c>
      <c r="L36" s="81"/>
      <c r="M36" s="81"/>
      <c r="N36" s="81"/>
      <c r="Q36" s="81"/>
      <c r="R36" s="81"/>
      <c r="X36" s="181"/>
      <c r="Y36" s="182" t="s">
        <v>435</v>
      </c>
      <c r="Z36" s="182">
        <v>1.361</v>
      </c>
      <c r="AA36" s="182" t="s">
        <v>5</v>
      </c>
      <c r="AB36" s="182"/>
      <c r="AC36" s="182"/>
      <c r="AD36" s="182">
        <f>(AA35-(1-AD37)*Z36)/AD37</f>
        <v>3.9169999999999998</v>
      </c>
      <c r="AE36" s="233"/>
      <c r="AF36" s="222"/>
      <c r="AG36" s="222"/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409</v>
      </c>
      <c r="BU36" s="166">
        <v>-5.4</v>
      </c>
      <c r="BV36" s="166">
        <v>1.5699999999999999E-2</v>
      </c>
      <c r="BW36" s="81">
        <v>-344.27</v>
      </c>
      <c r="BX36" s="81" t="s">
        <v>384</v>
      </c>
      <c r="BY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BU69</f>
        <v>298</v>
      </c>
      <c r="CF36" s="167" t="s">
        <v>317</v>
      </c>
      <c r="CI36" s="81" t="s">
        <v>347</v>
      </c>
      <c r="CJ36" s="242">
        <f t="shared" si="1"/>
        <v>250.49882956782048</v>
      </c>
      <c r="CK36" s="242">
        <f t="shared" si="2"/>
        <v>1350</v>
      </c>
      <c r="CL36" s="242">
        <f t="shared" si="3"/>
        <v>298</v>
      </c>
      <c r="CO36" s="243" t="s">
        <v>373</v>
      </c>
      <c r="CP36" s="243" t="s">
        <v>396</v>
      </c>
      <c r="CQ36" s="244">
        <v>-23.5</v>
      </c>
      <c r="CR36" s="244">
        <v>287</v>
      </c>
      <c r="CS36" s="243">
        <v>-0.08</v>
      </c>
      <c r="CT36" s="243">
        <v>0.93474999999999997</v>
      </c>
      <c r="CU36" s="244"/>
      <c r="CW36" s="245" t="s">
        <v>460</v>
      </c>
      <c r="CX36" s="251" t="s">
        <v>335</v>
      </c>
      <c r="CY36" s="246" t="s">
        <v>318</v>
      </c>
      <c r="CZ36" s="247">
        <f>CQ58</f>
        <v>466</v>
      </c>
      <c r="DA36" s="245" t="s">
        <v>317</v>
      </c>
      <c r="DD36" s="278" t="s">
        <v>460</v>
      </c>
      <c r="DE36" s="274" t="s">
        <v>335</v>
      </c>
      <c r="DF36" s="274" t="s">
        <v>318</v>
      </c>
      <c r="DG36" s="278">
        <f>AP24</f>
        <v>235.51111111111106</v>
      </c>
      <c r="DH36" s="278" t="s">
        <v>317</v>
      </c>
      <c r="DJ36" s="280" t="s">
        <v>373</v>
      </c>
      <c r="DK36" s="280" t="s">
        <v>396</v>
      </c>
      <c r="DL36" s="284">
        <v>-4.58</v>
      </c>
      <c r="DM36" s="284">
        <v>7.46E-2</v>
      </c>
      <c r="DN36" s="280">
        <v>-61.42</v>
      </c>
      <c r="DO36" s="280" t="s">
        <v>420</v>
      </c>
      <c r="DP36" s="284">
        <v>2E-16</v>
      </c>
      <c r="DQ36" s="280" t="s">
        <v>385</v>
      </c>
      <c r="DR36" s="281" t="s">
        <v>460</v>
      </c>
      <c r="DS36" s="288" t="s">
        <v>335</v>
      </c>
      <c r="DT36" s="282" t="s">
        <v>318</v>
      </c>
      <c r="DU36" s="283">
        <f>DL58</f>
        <v>9.0300000000000005E-4</v>
      </c>
      <c r="DV36" s="281" t="s">
        <v>317</v>
      </c>
    </row>
    <row r="37" spans="2:126" ht="15" customHeight="1" thickTop="1" thickBot="1" x14ac:dyDescent="0.3">
      <c r="L37" s="81"/>
      <c r="M37" s="81"/>
      <c r="N37" s="81"/>
      <c r="Q37" s="81"/>
      <c r="R37" s="81"/>
      <c r="X37" s="187"/>
      <c r="Y37" s="174" t="s">
        <v>436</v>
      </c>
      <c r="Z37" s="174">
        <v>0.47</v>
      </c>
      <c r="AA37" s="174"/>
      <c r="AB37" s="174"/>
      <c r="AC37" s="174"/>
      <c r="AD37" s="174">
        <v>0.25</v>
      </c>
      <c r="AE37" s="192"/>
      <c r="AF37" s="228" t="s">
        <v>274</v>
      </c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SUM(O17:O20)*(1/(SUM(AD18:AD19)/2+1/4))+O25*(1/(SUM(AD9:AD11)/2+1/4))</f>
        <v>250.49882956782048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250.49882956782048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410</v>
      </c>
      <c r="BU37" s="166">
        <v>-6.41</v>
      </c>
      <c r="BV37" s="166">
        <v>1.4999999999999999E-2</v>
      </c>
      <c r="BW37" s="81">
        <v>-427.68</v>
      </c>
      <c r="BX37" s="81" t="s">
        <v>384</v>
      </c>
      <c r="BY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 t="shared" ref="CE37:CE38" si="42">BU70</f>
        <v>120</v>
      </c>
      <c r="CF37" s="167" t="s">
        <v>317</v>
      </c>
      <c r="CI37" s="81" t="s">
        <v>349</v>
      </c>
      <c r="CJ37" s="242">
        <f t="shared" si="1"/>
        <v>681.98494298132925</v>
      </c>
      <c r="CK37" s="242">
        <f t="shared" si="2"/>
        <v>372</v>
      </c>
      <c r="CL37" s="242">
        <f t="shared" si="3"/>
        <v>120</v>
      </c>
      <c r="CO37" s="243" t="s">
        <v>373</v>
      </c>
      <c r="CP37" s="243" t="s">
        <v>397</v>
      </c>
      <c r="CQ37" s="244">
        <v>-19</v>
      </c>
      <c r="CR37" s="244">
        <v>204</v>
      </c>
      <c r="CS37" s="243">
        <v>-0.09</v>
      </c>
      <c r="CT37" s="243">
        <v>0.92598000000000003</v>
      </c>
      <c r="CU37" s="244"/>
      <c r="CW37" s="245" t="s">
        <v>460</v>
      </c>
      <c r="CX37" s="251" t="s">
        <v>334</v>
      </c>
      <c r="CY37" s="246" t="s">
        <v>318</v>
      </c>
      <c r="CZ37" s="247">
        <f>1/CQ55</f>
        <v>312.5</v>
      </c>
      <c r="DA37" s="245" t="s">
        <v>317</v>
      </c>
      <c r="DD37" s="278" t="s">
        <v>460</v>
      </c>
      <c r="DE37" s="274" t="s">
        <v>334</v>
      </c>
      <c r="DF37" s="274" t="s">
        <v>318</v>
      </c>
      <c r="DG37" s="278">
        <f>AP23</f>
        <v>196.05767859245145</v>
      </c>
      <c r="DH37" s="278" t="s">
        <v>317</v>
      </c>
      <c r="DJ37" s="280" t="s">
        <v>373</v>
      </c>
      <c r="DK37" s="280" t="s">
        <v>397</v>
      </c>
      <c r="DL37" s="284">
        <v>-14.4</v>
      </c>
      <c r="DM37" s="284">
        <v>298</v>
      </c>
      <c r="DN37" s="280">
        <v>-0.05</v>
      </c>
      <c r="DO37" s="280">
        <v>0.96099999999999997</v>
      </c>
      <c r="DP37" s="284"/>
      <c r="DR37" s="281" t="s">
        <v>460</v>
      </c>
      <c r="DS37" s="288" t="s">
        <v>334</v>
      </c>
      <c r="DT37" s="282" t="s">
        <v>318</v>
      </c>
      <c r="DU37" s="283">
        <f>1/DL55</f>
        <v>292.39766081871346</v>
      </c>
      <c r="DV37" s="281" t="s">
        <v>317</v>
      </c>
    </row>
    <row r="38" spans="2:126" ht="15" customHeight="1" thickTop="1" thickBot="1" x14ac:dyDescent="0.3">
      <c r="C38" s="152"/>
      <c r="L38" s="81"/>
      <c r="M38" s="81"/>
      <c r="N38" s="81" t="s">
        <v>114</v>
      </c>
      <c r="O38" s="152">
        <f>SUM(R6:R9,R15,R17:R20,R25)</f>
        <v>280.85278013304412</v>
      </c>
      <c r="P38" s="152"/>
      <c r="Q38" s="81"/>
      <c r="R38" s="81"/>
      <c r="AF38" s="222"/>
      <c r="AG38" s="222"/>
      <c r="AH38" s="222"/>
      <c r="AM38" s="158" t="s">
        <v>314</v>
      </c>
      <c r="AN38" s="81" t="s">
        <v>315</v>
      </c>
      <c r="AO38" s="81" t="s">
        <v>349</v>
      </c>
      <c r="AP38" s="81">
        <f>2*AA21*O28+1*O31*AA54+2*O29*AA27</f>
        <v>681.98494298132925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43">AP38</f>
        <v>681.98494298132925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44">BE69</f>
        <v>372</v>
      </c>
      <c r="BQ38" s="167" t="s">
        <v>317</v>
      </c>
      <c r="BS38" s="81" t="s">
        <v>373</v>
      </c>
      <c r="BT38" s="81" t="s">
        <v>411</v>
      </c>
      <c r="BU38" s="166">
        <v>-5.92</v>
      </c>
      <c r="BV38" s="166">
        <v>1.8499999999999999E-2</v>
      </c>
      <c r="BW38" s="81">
        <v>-319.37</v>
      </c>
      <c r="BX38" s="81" t="s">
        <v>384</v>
      </c>
      <c r="BY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 t="shared" si="42"/>
        <v>69.5</v>
      </c>
      <c r="CF38" s="167" t="s">
        <v>317</v>
      </c>
      <c r="CI38" s="81" t="s">
        <v>350</v>
      </c>
      <c r="CJ38" s="242">
        <f t="shared" si="1"/>
        <v>57.786795219123512</v>
      </c>
      <c r="CK38" s="242">
        <f t="shared" si="2"/>
        <v>31.9</v>
      </c>
      <c r="CL38" s="242">
        <f t="shared" si="3"/>
        <v>69.5</v>
      </c>
      <c r="CO38" s="243" t="s">
        <v>373</v>
      </c>
      <c r="CP38" s="243" t="s">
        <v>399</v>
      </c>
      <c r="CQ38" s="244">
        <v>-22.3</v>
      </c>
      <c r="CR38" s="244">
        <v>63.2</v>
      </c>
      <c r="CS38" s="243">
        <v>-0.35</v>
      </c>
      <c r="CT38" s="243">
        <v>0.72421999999999997</v>
      </c>
      <c r="CU38" s="244"/>
      <c r="CW38" s="245" t="s">
        <v>460</v>
      </c>
      <c r="CX38" s="248" t="s">
        <v>326</v>
      </c>
      <c r="CY38" s="246" t="s">
        <v>318</v>
      </c>
      <c r="CZ38" s="247">
        <f>CQ41</f>
        <v>2.8400000000000002E-2</v>
      </c>
      <c r="DA38" s="245" t="s">
        <v>317</v>
      </c>
      <c r="DD38" s="278" t="s">
        <v>460</v>
      </c>
      <c r="DE38" s="274" t="s">
        <v>326</v>
      </c>
      <c r="DF38" s="274" t="s">
        <v>318</v>
      </c>
      <c r="DG38" s="278">
        <f>AP14</f>
        <v>2.9021732851358017E-2</v>
      </c>
      <c r="DH38" s="278" t="s">
        <v>317</v>
      </c>
      <c r="DJ38" s="280" t="s">
        <v>373</v>
      </c>
      <c r="DK38" s="280" t="s">
        <v>399</v>
      </c>
      <c r="DL38" s="284">
        <v>-13.7</v>
      </c>
      <c r="DM38" s="284">
        <v>587</v>
      </c>
      <c r="DN38" s="280">
        <v>-0.02</v>
      </c>
      <c r="DO38" s="280">
        <v>0.98099999999999998</v>
      </c>
      <c r="DP38" s="284"/>
      <c r="DR38" s="281" t="s">
        <v>460</v>
      </c>
      <c r="DS38" s="285" t="s">
        <v>326</v>
      </c>
      <c r="DT38" s="282" t="s">
        <v>318</v>
      </c>
      <c r="DU38" s="283">
        <f>DL41</f>
        <v>3.1E-2</v>
      </c>
      <c r="DV38" s="281" t="s">
        <v>317</v>
      </c>
    </row>
    <row r="39" spans="2:126" ht="15" customHeight="1" thickTop="1" thickBot="1" x14ac:dyDescent="0.3">
      <c r="L39" s="81"/>
      <c r="M39" s="81"/>
      <c r="N39" s="81" t="s">
        <v>117</v>
      </c>
      <c r="O39" s="152">
        <f>SUM(R10:R13,R21:R24)</f>
        <v>63</v>
      </c>
      <c r="R39" s="81"/>
      <c r="Z39" s="221" t="s">
        <v>4</v>
      </c>
      <c r="AA39" s="221">
        <v>0.85</v>
      </c>
      <c r="AB39" s="221" t="s">
        <v>5</v>
      </c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 Ref1'!B139+SUM(R21:R24)</f>
        <v>57.786795219123512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43"/>
        <v>57.786795219123512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44"/>
        <v>31.9</v>
      </c>
      <c r="BQ39" s="167" t="s">
        <v>317</v>
      </c>
      <c r="BS39" s="81" t="s">
        <v>373</v>
      </c>
      <c r="BT39" s="81" t="s">
        <v>412</v>
      </c>
      <c r="BU39" s="166">
        <v>-5.28</v>
      </c>
      <c r="BV39" s="166">
        <v>1.7000000000000001E-2</v>
      </c>
      <c r="BW39" s="81">
        <v>-310.54000000000002</v>
      </c>
      <c r="BX39" s="81" t="s">
        <v>384</v>
      </c>
      <c r="BY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1/BU76</f>
        <v>9900.9900990099013</v>
      </c>
      <c r="CF39" s="167" t="s">
        <v>317</v>
      </c>
      <c r="CI39" s="81" t="s">
        <v>352</v>
      </c>
      <c r="CJ39" s="242">
        <f t="shared" si="1"/>
        <v>436.85967796384233</v>
      </c>
      <c r="CK39" s="242">
        <f t="shared" si="2"/>
        <v>110.74197120708749</v>
      </c>
      <c r="CL39" s="242">
        <f t="shared" si="3"/>
        <v>9900.9900990099013</v>
      </c>
      <c r="CO39" s="243" t="s">
        <v>373</v>
      </c>
      <c r="CP39" s="243" t="s">
        <v>400</v>
      </c>
      <c r="CQ39" s="244">
        <v>-17.3</v>
      </c>
      <c r="CR39" s="244">
        <v>181</v>
      </c>
      <c r="CS39" s="243">
        <v>-0.1</v>
      </c>
      <c r="CT39" s="243">
        <v>0.92376999999999998</v>
      </c>
      <c r="CU39" s="244"/>
      <c r="CW39" s="245" t="s">
        <v>460</v>
      </c>
      <c r="CX39" s="249" t="s">
        <v>327</v>
      </c>
      <c r="CY39" s="246" t="s">
        <v>318</v>
      </c>
      <c r="CZ39" s="247">
        <f t="shared" ref="CZ39:CZ42" si="45">CQ42</f>
        <v>0.14799999999999999</v>
      </c>
      <c r="DA39" s="245" t="s">
        <v>317</v>
      </c>
      <c r="DD39" s="278" t="s">
        <v>460</v>
      </c>
      <c r="DE39" s="274" t="s">
        <v>327</v>
      </c>
      <c r="DF39" s="274" t="s">
        <v>318</v>
      </c>
      <c r="DG39" s="278">
        <f>AP15</f>
        <v>0.14650664263691879</v>
      </c>
      <c r="DH39" s="278" t="s">
        <v>317</v>
      </c>
      <c r="DJ39" s="280" t="s">
        <v>373</v>
      </c>
      <c r="DK39" s="280" t="s">
        <v>400</v>
      </c>
      <c r="DL39" s="284">
        <v>-13.4</v>
      </c>
      <c r="DM39" s="284">
        <v>263</v>
      </c>
      <c r="DN39" s="280">
        <v>-0.05</v>
      </c>
      <c r="DO39" s="280">
        <v>0.95899999999999996</v>
      </c>
      <c r="DP39" s="284"/>
      <c r="DR39" s="281" t="s">
        <v>460</v>
      </c>
      <c r="DS39" s="286" t="s">
        <v>327</v>
      </c>
      <c r="DT39" s="282" t="s">
        <v>318</v>
      </c>
      <c r="DU39" s="283">
        <f t="shared" ref="DU39:DU42" si="46">DL42</f>
        <v>0.154</v>
      </c>
      <c r="DV39" s="281" t="s">
        <v>317</v>
      </c>
    </row>
    <row r="40" spans="2:126" ht="15" customHeight="1" thickTop="1" thickBot="1" x14ac:dyDescent="0.3">
      <c r="B40" s="81" t="s">
        <v>275</v>
      </c>
      <c r="L40" s="81"/>
      <c r="M40" s="81"/>
      <c r="N40" s="81" t="s">
        <v>120</v>
      </c>
      <c r="O40" s="152">
        <f>'Verwarming Tabula'!B60</f>
        <v>138.03320000000002</v>
      </c>
      <c r="Q40" s="152">
        <f>SUM(U6:U9,U15)/1000000</f>
        <v>19.579925678618856</v>
      </c>
      <c r="R40" s="81"/>
      <c r="X40" s="216" t="s">
        <v>63</v>
      </c>
      <c r="Y40" s="217"/>
      <c r="Z40" s="218" t="s">
        <v>21</v>
      </c>
      <c r="AA40" s="219">
        <f>1/(1/10+SUM(AD42:AD46))</f>
        <v>2.8187919463087252</v>
      </c>
      <c r="AB40" s="217" t="s">
        <v>5</v>
      </c>
      <c r="AC40" s="217"/>
      <c r="AD40" s="217" t="s">
        <v>22</v>
      </c>
      <c r="AE40" s="220">
        <f>SUM(AE42:AE46)</f>
        <v>375560</v>
      </c>
      <c r="AF40" s="222" t="s">
        <v>23</v>
      </c>
      <c r="AG40" s="222">
        <f>SUM(AE42:AE43)</f>
        <v>110960</v>
      </c>
      <c r="AH40" s="222"/>
      <c r="AM40" s="158" t="s">
        <v>314</v>
      </c>
      <c r="AN40" s="81" t="s">
        <v>315</v>
      </c>
      <c r="AO40" s="81" t="s">
        <v>352</v>
      </c>
      <c r="AP40" s="81">
        <f>SUM(O17:O20)*1/(SUM(AD15:AD17)+SUM(AD18:AD19)/2+1/23)+O25*1/(SUM(AD7:AD8)+SUM(AD9:AD11)/2+1/23)</f>
        <v>436.85967796384233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43"/>
        <v>436.85967796384233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413</v>
      </c>
      <c r="BU40" s="166">
        <v>-6.14</v>
      </c>
      <c r="BV40" s="166">
        <v>1.67E-2</v>
      </c>
      <c r="BW40" s="81">
        <v>-367.45</v>
      </c>
      <c r="BX40" s="81" t="s">
        <v>384</v>
      </c>
      <c r="BY40" s="81" t="s">
        <v>385</v>
      </c>
      <c r="CA40" s="167"/>
      <c r="CB40" s="167"/>
      <c r="CC40" s="167"/>
      <c r="CD40" s="168"/>
      <c r="CE40" s="161"/>
      <c r="CF40" s="167"/>
      <c r="CJ40" s="240"/>
      <c r="CK40" s="240"/>
      <c r="CL40" s="240"/>
      <c r="CO40" s="243" t="s">
        <v>373</v>
      </c>
      <c r="CP40" s="243" t="s">
        <v>401</v>
      </c>
      <c r="CQ40" s="244">
        <v>-16.7</v>
      </c>
      <c r="CR40" s="244">
        <v>1090</v>
      </c>
      <c r="CS40" s="243">
        <v>-0.02</v>
      </c>
      <c r="CT40" s="243">
        <v>0.98773999999999995</v>
      </c>
      <c r="CU40" s="244"/>
      <c r="CW40" s="245" t="s">
        <v>460</v>
      </c>
      <c r="CX40" s="249" t="s">
        <v>328</v>
      </c>
      <c r="CY40" s="246" t="s">
        <v>318</v>
      </c>
      <c r="CZ40" s="247">
        <f t="shared" si="45"/>
        <v>0.72599999999999998</v>
      </c>
      <c r="DA40" s="245" t="s">
        <v>317</v>
      </c>
      <c r="DD40" s="278" t="s">
        <v>460</v>
      </c>
      <c r="DE40" s="274" t="s">
        <v>328</v>
      </c>
      <c r="DF40" s="274" t="s">
        <v>318</v>
      </c>
      <c r="DG40" s="278">
        <f>AP16</f>
        <v>0.71172855570481386</v>
      </c>
      <c r="DH40" s="278" t="s">
        <v>317</v>
      </c>
      <c r="DJ40" s="280" t="s">
        <v>373</v>
      </c>
      <c r="DK40" s="280" t="s">
        <v>401</v>
      </c>
      <c r="DL40" s="284">
        <v>-13.4</v>
      </c>
      <c r="DM40" s="284">
        <v>579</v>
      </c>
      <c r="DN40" s="280">
        <v>-0.02</v>
      </c>
      <c r="DO40" s="280">
        <v>0.98199999999999998</v>
      </c>
      <c r="DP40" s="284"/>
      <c r="DR40" s="281" t="s">
        <v>460</v>
      </c>
      <c r="DS40" s="286" t="s">
        <v>328</v>
      </c>
      <c r="DT40" s="282" t="s">
        <v>318</v>
      </c>
      <c r="DU40" s="283">
        <f t="shared" si="46"/>
        <v>0.63800000000000001</v>
      </c>
      <c r="DV40" s="281" t="s">
        <v>317</v>
      </c>
    </row>
    <row r="41" spans="2:126" ht="15" customHeight="1" thickTop="1" thickBot="1" x14ac:dyDescent="0.3">
      <c r="B41" s="149" t="s">
        <v>276</v>
      </c>
      <c r="L41" s="81"/>
      <c r="M41" s="81"/>
      <c r="N41" s="81"/>
      <c r="O41" s="152"/>
      <c r="Q41" s="152">
        <f>SUM(U26:U27)/1000000</f>
        <v>14.704673003634143</v>
      </c>
      <c r="R41" s="81"/>
      <c r="X41" s="224"/>
      <c r="Y41" s="225" t="s">
        <v>27</v>
      </c>
      <c r="Z41" s="225" t="s">
        <v>28</v>
      </c>
      <c r="AA41" s="225" t="s">
        <v>29</v>
      </c>
      <c r="AB41" s="225" t="s">
        <v>30</v>
      </c>
      <c r="AC41" s="225" t="s">
        <v>31</v>
      </c>
      <c r="AD41" s="225" t="s">
        <v>32</v>
      </c>
      <c r="AE41" s="226" t="s">
        <v>33</v>
      </c>
      <c r="AF41" s="222"/>
      <c r="AG41" s="222"/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414</v>
      </c>
      <c r="BU41" s="166">
        <v>5.0199999999999995E-4</v>
      </c>
      <c r="BV41" s="166">
        <v>9.6099999999999995E-6</v>
      </c>
      <c r="BW41" s="81">
        <v>52.22</v>
      </c>
      <c r="BX41" s="81" t="s">
        <v>384</v>
      </c>
      <c r="BY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BU15</f>
        <v>7.9000000000000001E-2</v>
      </c>
      <c r="CF41" s="167" t="s">
        <v>317</v>
      </c>
      <c r="CI41" s="81" t="s">
        <v>353</v>
      </c>
      <c r="CJ41" s="239">
        <f t="shared" si="1"/>
        <v>0.18790511467818219</v>
      </c>
      <c r="CK41" s="239">
        <f t="shared" si="2"/>
        <v>2.8899999999999999E-2</v>
      </c>
      <c r="CL41" s="239">
        <f t="shared" si="3"/>
        <v>7.9000000000000001E-2</v>
      </c>
      <c r="CO41" s="243" t="s">
        <v>373</v>
      </c>
      <c r="CP41" s="243" t="s">
        <v>402</v>
      </c>
      <c r="CQ41" s="244">
        <v>2.8400000000000002E-2</v>
      </c>
      <c r="CR41" s="244">
        <v>2.1900000000000001E-4</v>
      </c>
      <c r="CS41" s="243">
        <v>129.91999999999999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45"/>
        <v>5.8700000000000002E-2</v>
      </c>
      <c r="DA41" s="245" t="s">
        <v>317</v>
      </c>
      <c r="DD41" s="278" t="s">
        <v>460</v>
      </c>
      <c r="DE41" s="274" t="s">
        <v>329</v>
      </c>
      <c r="DF41" s="274" t="s">
        <v>318</v>
      </c>
      <c r="DG41" s="278">
        <f>AP17</f>
        <v>5.6371534403454653E-2</v>
      </c>
      <c r="DH41" s="278" t="s">
        <v>317</v>
      </c>
      <c r="DJ41" s="280" t="s">
        <v>373</v>
      </c>
      <c r="DK41" s="280" t="s">
        <v>402</v>
      </c>
      <c r="DL41" s="284">
        <v>3.1E-2</v>
      </c>
      <c r="DM41" s="284">
        <v>4.3600000000000003E-4</v>
      </c>
      <c r="DN41" s="280">
        <v>71.05</v>
      </c>
      <c r="DO41" s="280" t="s">
        <v>420</v>
      </c>
      <c r="DP41" s="284">
        <v>2E-16</v>
      </c>
      <c r="DQ41" s="280" t="s">
        <v>385</v>
      </c>
      <c r="DR41" s="281" t="s">
        <v>460</v>
      </c>
      <c r="DS41" s="282" t="s">
        <v>329</v>
      </c>
      <c r="DT41" s="282" t="s">
        <v>318</v>
      </c>
      <c r="DU41" s="283">
        <f t="shared" si="46"/>
        <v>6.4299999999999996E-2</v>
      </c>
      <c r="DV41" s="281" t="s">
        <v>317</v>
      </c>
    </row>
    <row r="42" spans="2:126" ht="15" customHeight="1" thickTop="1" thickBot="1" x14ac:dyDescent="0.3">
      <c r="B42" s="81" t="s">
        <v>277</v>
      </c>
      <c r="D42" s="81">
        <v>1</v>
      </c>
      <c r="L42" s="81"/>
      <c r="M42" s="81"/>
      <c r="N42" s="81" t="s">
        <v>122</v>
      </c>
      <c r="O42" s="152">
        <f>C4*1.204*1012*5/1000000</f>
        <v>3.7851087119999995</v>
      </c>
      <c r="P42" s="81" t="s">
        <v>123</v>
      </c>
      <c r="Q42" s="152">
        <f>U14/1000000</f>
        <v>8.3996719999999989</v>
      </c>
      <c r="R42" s="81"/>
      <c r="X42" s="181"/>
      <c r="Y42" s="182" t="s">
        <v>128</v>
      </c>
      <c r="Z42" s="182">
        <v>0.02</v>
      </c>
      <c r="AA42" s="182">
        <v>1.4</v>
      </c>
      <c r="AB42" s="182">
        <v>2100</v>
      </c>
      <c r="AC42" s="182">
        <v>840</v>
      </c>
      <c r="AD42" s="231">
        <f>Z42/AA42</f>
        <v>1.4285714285714287E-2</v>
      </c>
      <c r="AE42" s="232">
        <f>Z42*AB42*AC42</f>
        <v>35280</v>
      </c>
      <c r="AF42" s="222" t="s">
        <v>104</v>
      </c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SUM(O26)/(SUM($O$6:$O$14,$O$26,O30)+2*SUM($O$27))</f>
        <v>0.18790511467818219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0.18790511467818219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415</v>
      </c>
      <c r="BU42" s="166">
        <v>115</v>
      </c>
      <c r="BV42" s="166">
        <v>1.17</v>
      </c>
      <c r="BW42" s="81">
        <v>98.05</v>
      </c>
      <c r="BX42" s="81" t="s">
        <v>384</v>
      </c>
      <c r="BY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BU56</f>
        <v>0.33100000000000002</v>
      </c>
      <c r="CF42" s="167" t="s">
        <v>317</v>
      </c>
      <c r="CI42" s="81" t="s">
        <v>355</v>
      </c>
      <c r="CJ42" s="239">
        <f t="shared" si="1"/>
        <v>9.4845602099533646E-2</v>
      </c>
      <c r="CK42" s="239">
        <f t="shared" si="2"/>
        <v>9.7500000000000003E-2</v>
      </c>
      <c r="CL42" s="239">
        <f t="shared" si="3"/>
        <v>0.33100000000000002</v>
      </c>
      <c r="CO42" s="243" t="s">
        <v>373</v>
      </c>
      <c r="CP42" s="243" t="s">
        <v>403</v>
      </c>
      <c r="CQ42" s="244">
        <v>0.14799999999999999</v>
      </c>
      <c r="CR42" s="244">
        <v>9.2800000000000001E-4</v>
      </c>
      <c r="CS42" s="243">
        <v>159.31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45"/>
        <v>5.4899999999999997E-2</v>
      </c>
      <c r="DA42" s="245" t="s">
        <v>317</v>
      </c>
      <c r="DD42" s="278" t="s">
        <v>460</v>
      </c>
      <c r="DE42" s="274" t="s">
        <v>430</v>
      </c>
      <c r="DF42" s="274" t="s">
        <v>318</v>
      </c>
      <c r="DG42" s="278">
        <f>AP46</f>
        <v>5.6371534403454653E-2</v>
      </c>
      <c r="DH42" s="278" t="s">
        <v>317</v>
      </c>
      <c r="DJ42" s="280" t="s">
        <v>373</v>
      </c>
      <c r="DK42" s="280" t="s">
        <v>403</v>
      </c>
      <c r="DL42" s="284">
        <v>0.154</v>
      </c>
      <c r="DM42" s="284">
        <v>1.7899999999999999E-3</v>
      </c>
      <c r="DN42" s="280">
        <v>86.13</v>
      </c>
      <c r="DO42" s="280" t="s">
        <v>420</v>
      </c>
      <c r="DP42" s="284">
        <v>2E-16</v>
      </c>
      <c r="DQ42" s="280" t="s">
        <v>385</v>
      </c>
      <c r="DR42" s="281" t="s">
        <v>460</v>
      </c>
      <c r="DS42" s="282" t="s">
        <v>430</v>
      </c>
      <c r="DT42" s="282" t="s">
        <v>318</v>
      </c>
      <c r="DU42" s="283">
        <f t="shared" si="46"/>
        <v>6.4899999999999999E-2</v>
      </c>
      <c r="DV42" s="281" t="s">
        <v>317</v>
      </c>
    </row>
    <row r="43" spans="2:126" ht="15" customHeight="1" thickTop="1" thickBot="1" x14ac:dyDescent="0.3">
      <c r="B43" s="81" t="s">
        <v>278</v>
      </c>
      <c r="D43" s="81">
        <f>C7/C6</f>
        <v>0.33510402833111991</v>
      </c>
      <c r="E43" s="81" t="s">
        <v>279</v>
      </c>
      <c r="L43" s="81"/>
      <c r="M43" s="81"/>
      <c r="N43" s="81" t="s">
        <v>124</v>
      </c>
      <c r="O43" s="152">
        <f>SUM(S6:S9,S15)/1000000</f>
        <v>25.21197261088977</v>
      </c>
      <c r="P43" s="81" t="s">
        <v>125</v>
      </c>
      <c r="Q43" s="81"/>
      <c r="R43" s="81"/>
      <c r="X43" s="175"/>
      <c r="Y43" s="176" t="s">
        <v>129</v>
      </c>
      <c r="Z43" s="176">
        <v>0.08</v>
      </c>
      <c r="AA43" s="176">
        <v>0.6</v>
      </c>
      <c r="AB43" s="176">
        <v>1100</v>
      </c>
      <c r="AC43" s="176">
        <v>860</v>
      </c>
      <c r="AD43" s="227">
        <f>Z43/AA43</f>
        <v>0.13333333333333333</v>
      </c>
      <c r="AE43" s="177">
        <f>Z43*AB43*AC43</f>
        <v>75680</v>
      </c>
      <c r="AF43" s="222"/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SUM(O26)/SUM(O$17:O$25,2*O$28,O$26,O31,2*O29)</f>
        <v>9.4845602099533646E-2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47">AP43</f>
        <v>9.4845602099533646E-2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416</v>
      </c>
      <c r="BU43" s="166">
        <v>9960</v>
      </c>
      <c r="BV43" s="166">
        <v>166</v>
      </c>
      <c r="BW43" s="81">
        <v>60.14</v>
      </c>
      <c r="BX43" s="81" t="s">
        <v>384</v>
      </c>
      <c r="BY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BU88</f>
        <v>139000000</v>
      </c>
      <c r="CF43" s="167" t="s">
        <v>317</v>
      </c>
      <c r="CI43" s="81" t="s">
        <v>357</v>
      </c>
      <c r="CJ43" s="241">
        <f t="shared" si="1"/>
        <v>2189622.4999999995</v>
      </c>
      <c r="CK43" s="241">
        <f t="shared" si="2"/>
        <v>248000</v>
      </c>
      <c r="CL43" s="241">
        <f t="shared" si="3"/>
        <v>139000000</v>
      </c>
      <c r="CO43" s="243" t="s">
        <v>373</v>
      </c>
      <c r="CP43" s="243" t="s">
        <v>404</v>
      </c>
      <c r="CQ43" s="244">
        <v>0.72599999999999998</v>
      </c>
      <c r="CR43" s="244">
        <v>1.3500000000000001E-3</v>
      </c>
      <c r="CS43" s="243">
        <v>538</v>
      </c>
      <c r="CT43" s="243" t="s">
        <v>420</v>
      </c>
      <c r="CU43" s="244">
        <v>2E-16</v>
      </c>
      <c r="CV43" s="81" t="s">
        <v>385</v>
      </c>
      <c r="CY43" s="246"/>
      <c r="DD43" s="278"/>
      <c r="DE43" s="278"/>
      <c r="DF43" s="274"/>
      <c r="DG43" s="278"/>
      <c r="DH43" s="278"/>
      <c r="DJ43" s="280" t="s">
        <v>373</v>
      </c>
      <c r="DK43" s="280" t="s">
        <v>404</v>
      </c>
      <c r="DL43" s="284">
        <v>0.63800000000000001</v>
      </c>
      <c r="DM43" s="284">
        <v>5.2399999999999999E-3</v>
      </c>
      <c r="DN43" s="280">
        <v>121.66</v>
      </c>
      <c r="DO43" s="280" t="s">
        <v>420</v>
      </c>
      <c r="DP43" s="284">
        <v>2E-16</v>
      </c>
      <c r="DQ43" s="280" t="s">
        <v>385</v>
      </c>
      <c r="DT43" s="282"/>
    </row>
    <row r="44" spans="2:126" ht="15" customHeight="1" thickTop="1" thickBot="1" x14ac:dyDescent="0.3">
      <c r="B44" s="81" t="s">
        <v>282</v>
      </c>
      <c r="D44" s="81">
        <v>0.7</v>
      </c>
      <c r="F44" s="79"/>
      <c r="L44" s="81"/>
      <c r="M44" s="81"/>
      <c r="N44" s="81" t="s">
        <v>126</v>
      </c>
      <c r="O44" s="152">
        <f>SUM(S26:S27)/1000000</f>
        <v>14.704673003634143</v>
      </c>
      <c r="P44" s="81" t="s">
        <v>125</v>
      </c>
      <c r="Q44" s="81"/>
      <c r="R44" s="81"/>
      <c r="X44" s="175"/>
      <c r="Y44" s="176" t="s">
        <v>280</v>
      </c>
      <c r="Z44" s="176">
        <v>0</v>
      </c>
      <c r="AA44" s="176">
        <v>3.5999999999999997E-2</v>
      </c>
      <c r="AB44" s="176">
        <v>30</v>
      </c>
      <c r="AC44" s="176">
        <v>1470</v>
      </c>
      <c r="AD44" s="227">
        <f>Z44/AA44</f>
        <v>0</v>
      </c>
      <c r="AE44" s="177">
        <f>Z44*AB44*AC44</f>
        <v>0</v>
      </c>
      <c r="AF44" s="228" t="s">
        <v>281</v>
      </c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2189622.4999999995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47"/>
        <v>2189622.4999999995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BS44" s="81" t="s">
        <v>373</v>
      </c>
      <c r="BT44" s="81" t="s">
        <v>417</v>
      </c>
      <c r="BU44" s="166">
        <v>530</v>
      </c>
      <c r="BV44" s="166">
        <v>250</v>
      </c>
      <c r="BW44" s="81">
        <v>2.12</v>
      </c>
      <c r="BX44" s="81">
        <v>3.3700000000000001E-2</v>
      </c>
      <c r="BY44" s="81" t="s">
        <v>418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BU89</f>
        <v>18800000</v>
      </c>
      <c r="CF44" s="167" t="s">
        <v>317</v>
      </c>
      <c r="CI44" s="81" t="s">
        <v>359</v>
      </c>
      <c r="CJ44" s="241">
        <f t="shared" si="1"/>
        <v>2189622.4999999995</v>
      </c>
      <c r="CK44" s="241">
        <f t="shared" si="2"/>
        <v>6990000</v>
      </c>
      <c r="CL44" s="241">
        <f t="shared" si="3"/>
        <v>18800000</v>
      </c>
      <c r="CO44" s="243" t="s">
        <v>373</v>
      </c>
      <c r="CP44" s="243" t="s">
        <v>405</v>
      </c>
      <c r="CQ44" s="244">
        <v>5.8700000000000002E-2</v>
      </c>
      <c r="CR44" s="244">
        <v>2.6200000000000003E-4</v>
      </c>
      <c r="CS44" s="243">
        <v>223.73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8.3500000000000005E-2</v>
      </c>
      <c r="DA44" s="245" t="s">
        <v>317</v>
      </c>
      <c r="DD44" s="278" t="s">
        <v>460</v>
      </c>
      <c r="DE44" s="274" t="s">
        <v>482</v>
      </c>
      <c r="DF44" s="274" t="s">
        <v>318</v>
      </c>
      <c r="DG44" s="278">
        <f>O$11*$Z$37*$AP$26</f>
        <v>0.38920941622733335</v>
      </c>
      <c r="DH44" s="278" t="s">
        <v>317</v>
      </c>
      <c r="DJ44" s="280" t="s">
        <v>373</v>
      </c>
      <c r="DK44" s="280" t="s">
        <v>405</v>
      </c>
      <c r="DL44" s="284">
        <v>6.4299999999999996E-2</v>
      </c>
      <c r="DM44" s="284">
        <v>6.5600000000000001E-4</v>
      </c>
      <c r="DN44" s="280">
        <v>98.09</v>
      </c>
      <c r="DO44" s="280" t="s">
        <v>420</v>
      </c>
      <c r="DP44" s="284">
        <v>2E-16</v>
      </c>
      <c r="DQ44" s="280" t="s">
        <v>385</v>
      </c>
      <c r="DR44" s="281" t="s">
        <v>460</v>
      </c>
      <c r="DS44" s="288" t="s">
        <v>482</v>
      </c>
      <c r="DT44" s="282" t="s">
        <v>318</v>
      </c>
      <c r="DU44" s="283">
        <f>DL68</f>
        <v>1.6899999999999999E-8</v>
      </c>
      <c r="DV44" s="281" t="s">
        <v>317</v>
      </c>
    </row>
    <row r="45" spans="2:126" ht="15" customHeight="1" thickTop="1" thickBot="1" x14ac:dyDescent="0.3">
      <c r="B45" s="81" t="s">
        <v>283</v>
      </c>
      <c r="D45" s="81">
        <v>0.5</v>
      </c>
      <c r="F45" s="79"/>
      <c r="L45" s="81"/>
      <c r="M45" s="81"/>
      <c r="N45" s="81" t="s">
        <v>127</v>
      </c>
      <c r="O45" s="152">
        <f>S14/1000000</f>
        <v>28.429891999999995</v>
      </c>
      <c r="Q45" s="81"/>
      <c r="R45" s="81"/>
      <c r="X45" s="175"/>
      <c r="Y45" s="176" t="s">
        <v>131</v>
      </c>
      <c r="Z45" s="176">
        <v>0.15</v>
      </c>
      <c r="AA45" s="176">
        <v>1.4</v>
      </c>
      <c r="AB45" s="176">
        <v>2100</v>
      </c>
      <c r="AC45" s="176">
        <v>840</v>
      </c>
      <c r="AD45" s="227">
        <f>Z45/AA45</f>
        <v>0.10714285714285715</v>
      </c>
      <c r="AE45" s="177">
        <f>Z45*AB45*AC45</f>
        <v>264600</v>
      </c>
      <c r="AF45" s="222"/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2189622.4999999995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47"/>
        <v>2189622.4999999995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BU31</f>
        <v>2.8899999999999999E-2</v>
      </c>
      <c r="CF45" s="167" t="s">
        <v>317</v>
      </c>
      <c r="CI45" s="81" t="s">
        <v>361</v>
      </c>
      <c r="CJ45" s="239">
        <f t="shared" si="1"/>
        <v>5.6371534403454653E-2</v>
      </c>
      <c r="CK45" s="239">
        <f t="shared" si="2"/>
        <v>1.9E-2</v>
      </c>
      <c r="CL45" s="239">
        <f t="shared" si="3"/>
        <v>2.8899999999999999E-2</v>
      </c>
      <c r="CO45" s="243" t="s">
        <v>373</v>
      </c>
      <c r="CP45" s="243" t="s">
        <v>406</v>
      </c>
      <c r="CQ45" s="244">
        <v>5.4899999999999997E-2</v>
      </c>
      <c r="CR45" s="244">
        <v>3.3100000000000002E-4</v>
      </c>
      <c r="CS45" s="243">
        <v>165.87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48">CQ69</f>
        <v>1.1100000000000001</v>
      </c>
      <c r="DA45" s="245" t="s">
        <v>317</v>
      </c>
      <c r="DD45" s="278" t="s">
        <v>460</v>
      </c>
      <c r="DE45" s="274" t="s">
        <v>483</v>
      </c>
      <c r="DF45" s="274" t="s">
        <v>318</v>
      </c>
      <c r="DG45" s="278">
        <f>O$10*$Z$37*$AP$26</f>
        <v>0.41384292358349373</v>
      </c>
      <c r="DH45" s="278" t="s">
        <v>317</v>
      </c>
      <c r="DJ45" s="280" t="s">
        <v>373</v>
      </c>
      <c r="DK45" s="280" t="s">
        <v>406</v>
      </c>
      <c r="DL45" s="284">
        <v>6.4899999999999999E-2</v>
      </c>
      <c r="DM45" s="284">
        <v>7.5199999999999996E-4</v>
      </c>
      <c r="DN45" s="280">
        <v>86.35</v>
      </c>
      <c r="DO45" s="280" t="s">
        <v>420</v>
      </c>
      <c r="DP45" s="284">
        <v>2E-16</v>
      </c>
      <c r="DQ45" s="280" t="s">
        <v>385</v>
      </c>
      <c r="DR45" s="281" t="s">
        <v>460</v>
      </c>
      <c r="DS45" s="288" t="s">
        <v>483</v>
      </c>
      <c r="DT45" s="282" t="s">
        <v>318</v>
      </c>
      <c r="DU45" s="283">
        <f t="shared" ref="DU45:DU59" si="49">DL69</f>
        <v>5.5000000000000003E-8</v>
      </c>
      <c r="DV45" s="281" t="s">
        <v>317</v>
      </c>
    </row>
    <row r="46" spans="2:126" ht="15" customHeight="1" thickTop="1" thickBot="1" x14ac:dyDescent="0.3">
      <c r="L46" s="81"/>
      <c r="M46" s="81"/>
      <c r="N46" s="81"/>
      <c r="Q46" s="81"/>
      <c r="R46" s="81"/>
      <c r="X46" s="187"/>
      <c r="Y46" s="174" t="s">
        <v>132</v>
      </c>
      <c r="Z46" s="174">
        <v>0</v>
      </c>
      <c r="AA46" s="174">
        <v>0.02</v>
      </c>
      <c r="AB46" s="174">
        <v>30</v>
      </c>
      <c r="AC46" s="174">
        <v>1470</v>
      </c>
      <c r="AD46" s="229">
        <f>Z46/AA46</f>
        <v>0</v>
      </c>
      <c r="AE46" s="192">
        <f>Z46*AB46*AC46</f>
        <v>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AP42*0.3</f>
        <v>5.6371534403454653E-2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47"/>
        <v>5.6371534403454653E-2</v>
      </c>
      <c r="BA46" s="167" t="s">
        <v>317</v>
      </c>
      <c r="BC46" s="81" t="s">
        <v>373</v>
      </c>
      <c r="BD46" s="81" t="s">
        <v>376</v>
      </c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374</v>
      </c>
      <c r="BU46" s="81" t="s">
        <v>419</v>
      </c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BU68</f>
        <v>0.11700000000000001</v>
      </c>
      <c r="CF46" s="167" t="s">
        <v>317</v>
      </c>
      <c r="CI46" s="81" t="s">
        <v>363</v>
      </c>
      <c r="CJ46" s="239">
        <f t="shared" si="1"/>
        <v>2.8453680629860093E-2</v>
      </c>
      <c r="CK46" s="239">
        <f t="shared" si="2"/>
        <v>0.184</v>
      </c>
      <c r="CL46" s="239">
        <f t="shared" si="3"/>
        <v>0.11700000000000001</v>
      </c>
      <c r="CO46" s="243" t="s">
        <v>373</v>
      </c>
      <c r="CP46" s="243" t="s">
        <v>407</v>
      </c>
      <c r="CQ46" s="244">
        <v>91.6</v>
      </c>
      <c r="CR46" s="244">
        <v>0.41499999999999998</v>
      </c>
      <c r="CS46" s="243">
        <v>220.98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48"/>
        <v>0.46400000000000002</v>
      </c>
      <c r="DA46" s="245" t="s">
        <v>317</v>
      </c>
      <c r="DD46" s="278" t="s">
        <v>460</v>
      </c>
      <c r="DE46" s="274" t="s">
        <v>484</v>
      </c>
      <c r="DF46" s="274" t="s">
        <v>318</v>
      </c>
      <c r="DG46" s="278">
        <f>O$12*$Z$37*$AP$26</f>
        <v>0.39906281916979747</v>
      </c>
      <c r="DH46" s="278" t="s">
        <v>317</v>
      </c>
      <c r="DJ46" s="280" t="s">
        <v>373</v>
      </c>
      <c r="DK46" s="280" t="s">
        <v>407</v>
      </c>
      <c r="DL46" s="284">
        <v>85.8</v>
      </c>
      <c r="DM46" s="284">
        <v>0.55000000000000004</v>
      </c>
      <c r="DN46" s="280">
        <v>156.09</v>
      </c>
      <c r="DO46" s="280" t="s">
        <v>420</v>
      </c>
      <c r="DP46" s="284">
        <v>2E-16</v>
      </c>
      <c r="DQ46" s="280" t="s">
        <v>385</v>
      </c>
      <c r="DR46" s="281" t="s">
        <v>460</v>
      </c>
      <c r="DS46" s="288" t="s">
        <v>484</v>
      </c>
      <c r="DT46" s="282" t="s">
        <v>318</v>
      </c>
      <c r="DU46" s="283">
        <f t="shared" si="49"/>
        <v>2.03E-8</v>
      </c>
      <c r="DV46" s="281" t="s">
        <v>317</v>
      </c>
    </row>
    <row r="47" spans="2:126" ht="15" customHeight="1" thickTop="1" thickBot="1" x14ac:dyDescent="0.3">
      <c r="C47" s="152"/>
      <c r="L47" s="81"/>
      <c r="M47" s="81"/>
      <c r="N47" s="81"/>
      <c r="Q47" s="81"/>
      <c r="R47" s="81"/>
      <c r="X47" s="176"/>
      <c r="Y47" s="176"/>
      <c r="Z47" s="176"/>
      <c r="AA47" s="176"/>
      <c r="AB47" s="176"/>
      <c r="AC47" s="176"/>
      <c r="AD47" s="227"/>
      <c r="AE47" s="176"/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AP43*0.3</f>
        <v>2.8453680629860093E-2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47"/>
        <v>2.8453680629860093E-2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376</v>
      </c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BU94</f>
        <v>192</v>
      </c>
      <c r="CF47" s="167" t="s">
        <v>317</v>
      </c>
      <c r="CI47" s="81" t="s">
        <v>365</v>
      </c>
      <c r="CJ47" s="242">
        <f t="shared" si="1"/>
        <v>277.72095608671481</v>
      </c>
      <c r="CK47" s="242">
        <f t="shared" si="2"/>
        <v>476</v>
      </c>
      <c r="CL47" s="242">
        <f t="shared" si="3"/>
        <v>192</v>
      </c>
      <c r="CO47" s="243" t="s">
        <v>373</v>
      </c>
      <c r="CP47" s="243" t="s">
        <v>408</v>
      </c>
      <c r="CQ47" s="244">
        <v>122</v>
      </c>
      <c r="CR47" s="244">
        <v>0.58399999999999996</v>
      </c>
      <c r="CS47" s="243">
        <v>209.36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48"/>
        <v>0.11</v>
      </c>
      <c r="DA47" s="245" t="s">
        <v>317</v>
      </c>
      <c r="DD47" s="278" t="s">
        <v>460</v>
      </c>
      <c r="DE47" s="274" t="s">
        <v>485</v>
      </c>
      <c r="DF47" s="274" t="s">
        <v>318</v>
      </c>
      <c r="DG47" s="278">
        <f>O$13*$Z$37*$AP$26</f>
        <v>0.34979580445747682</v>
      </c>
      <c r="DH47" s="278" t="s">
        <v>317</v>
      </c>
      <c r="DJ47" s="280" t="s">
        <v>373</v>
      </c>
      <c r="DK47" s="280" t="s">
        <v>408</v>
      </c>
      <c r="DL47" s="284">
        <v>124</v>
      </c>
      <c r="DM47" s="284">
        <v>0.79600000000000004</v>
      </c>
      <c r="DN47" s="280">
        <v>155.55000000000001</v>
      </c>
      <c r="DO47" s="280" t="s">
        <v>420</v>
      </c>
      <c r="DP47" s="284">
        <v>2E-16</v>
      </c>
      <c r="DQ47" s="280" t="s">
        <v>385</v>
      </c>
      <c r="DR47" s="281" t="s">
        <v>460</v>
      </c>
      <c r="DS47" s="288" t="s">
        <v>485</v>
      </c>
      <c r="DT47" s="282" t="s">
        <v>318</v>
      </c>
      <c r="DU47" s="283">
        <f t="shared" si="49"/>
        <v>0.55900000000000005</v>
      </c>
      <c r="DV47" s="281" t="s">
        <v>317</v>
      </c>
    </row>
    <row r="48" spans="2:126" ht="15" customHeight="1" thickTop="1" thickBot="1" x14ac:dyDescent="0.3">
      <c r="C48" s="152"/>
      <c r="L48" s="81"/>
      <c r="M48" s="81"/>
      <c r="N48" s="81"/>
      <c r="Q48" s="81"/>
      <c r="R48" s="81"/>
      <c r="Z48" s="221" t="s">
        <v>4</v>
      </c>
      <c r="AA48" s="221">
        <v>4</v>
      </c>
      <c r="AB48" s="221" t="s">
        <v>5</v>
      </c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AA27*4*O26</f>
        <v>277.72095608671481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47"/>
        <v>277.72095608671481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377</v>
      </c>
      <c r="BU48" s="81" t="s">
        <v>378</v>
      </c>
      <c r="BV48" s="81" t="s">
        <v>379</v>
      </c>
      <c r="BW48" s="81" t="s">
        <v>380</v>
      </c>
      <c r="BX48" s="81" t="s">
        <v>381</v>
      </c>
      <c r="BY48" s="81" t="s">
        <v>382</v>
      </c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BU95</f>
        <v>2.63E-4</v>
      </c>
      <c r="CF48" s="167" t="s">
        <v>317</v>
      </c>
      <c r="CI48" s="81" t="s">
        <v>367</v>
      </c>
      <c r="CJ48" s="242">
        <f t="shared" si="1"/>
        <v>138.8604780433574</v>
      </c>
      <c r="CK48" s="242">
        <f t="shared" si="2"/>
        <v>3410</v>
      </c>
      <c r="CL48" s="242">
        <f t="shared" si="3"/>
        <v>2.63E-4</v>
      </c>
      <c r="CO48" s="243" t="s">
        <v>373</v>
      </c>
      <c r="CP48" s="243" t="s">
        <v>290</v>
      </c>
      <c r="CQ48" s="244">
        <v>338</v>
      </c>
      <c r="CR48" s="244">
        <v>2.27</v>
      </c>
      <c r="CS48" s="243">
        <v>149.02000000000001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48"/>
        <v>0.89800000000000002</v>
      </c>
      <c r="DA48" s="245" t="s">
        <v>317</v>
      </c>
      <c r="DD48" s="278" t="s">
        <v>460</v>
      </c>
      <c r="DE48" s="274" t="s">
        <v>486</v>
      </c>
      <c r="DF48" s="274" t="s">
        <v>318</v>
      </c>
      <c r="DG48" s="278">
        <f>O$11*$Z$37*$AP$27</f>
        <v>1.2545746699783158</v>
      </c>
      <c r="DH48" s="278" t="s">
        <v>317</v>
      </c>
      <c r="DJ48" s="280" t="s">
        <v>373</v>
      </c>
      <c r="DK48" s="280" t="s">
        <v>290</v>
      </c>
      <c r="DL48" s="284">
        <v>322</v>
      </c>
      <c r="DM48" s="284">
        <v>2.2000000000000002</v>
      </c>
      <c r="DN48" s="280">
        <v>146.22999999999999</v>
      </c>
      <c r="DO48" s="280" t="s">
        <v>420</v>
      </c>
      <c r="DP48" s="284">
        <v>2E-16</v>
      </c>
      <c r="DQ48" s="280" t="s">
        <v>385</v>
      </c>
      <c r="DR48" s="281" t="s">
        <v>460</v>
      </c>
      <c r="DS48" s="288" t="s">
        <v>486</v>
      </c>
      <c r="DT48" s="282" t="s">
        <v>318</v>
      </c>
      <c r="DU48" s="283">
        <f t="shared" si="49"/>
        <v>1.27</v>
      </c>
      <c r="DV48" s="281" t="s">
        <v>317</v>
      </c>
    </row>
    <row r="49" spans="3:126" ht="15" customHeight="1" thickTop="1" thickBot="1" x14ac:dyDescent="0.3">
      <c r="C49" s="152"/>
      <c r="L49" s="81"/>
      <c r="M49" s="81"/>
      <c r="N49" s="81"/>
      <c r="Q49" s="81"/>
      <c r="R49" s="81"/>
      <c r="X49" s="216" t="s">
        <v>68</v>
      </c>
      <c r="Y49" s="217"/>
      <c r="Z49" s="218" t="s">
        <v>21</v>
      </c>
      <c r="AA49" s="200">
        <v>4</v>
      </c>
      <c r="AB49" s="217" t="s">
        <v>5</v>
      </c>
      <c r="AC49" s="217"/>
      <c r="AD49" s="217" t="s">
        <v>22</v>
      </c>
      <c r="AE49" s="220">
        <f>0.04*550*1660</f>
        <v>36520</v>
      </c>
      <c r="AF49" s="222" t="s">
        <v>23</v>
      </c>
      <c r="AG49" s="222">
        <f>SUM(AE52:AE53)</f>
        <v>0</v>
      </c>
      <c r="AH49" s="222"/>
      <c r="AM49" s="158" t="s">
        <v>314</v>
      </c>
      <c r="AN49" s="81" t="s">
        <v>315</v>
      </c>
      <c r="AO49" s="81" t="s">
        <v>367</v>
      </c>
      <c r="AP49" s="81">
        <f>AP50/2</f>
        <v>138.8604780433574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47"/>
        <v>138.8604780433574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50">BE95</f>
        <v>3410</v>
      </c>
      <c r="BQ49" s="167" t="s">
        <v>317</v>
      </c>
      <c r="BS49" s="81" t="s">
        <v>373</v>
      </c>
      <c r="BT49" s="81" t="s">
        <v>383</v>
      </c>
      <c r="BU49" s="166">
        <v>289</v>
      </c>
      <c r="BV49" s="166">
        <v>0.14899999999999999</v>
      </c>
      <c r="BW49" s="81">
        <v>1944.91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BU96</f>
        <v>389</v>
      </c>
      <c r="CF49" s="167" t="s">
        <v>317</v>
      </c>
      <c r="CI49" s="81" t="s">
        <v>369</v>
      </c>
      <c r="CJ49" s="242">
        <f t="shared" si="1"/>
        <v>277.72095608671481</v>
      </c>
      <c r="CK49" s="242">
        <f t="shared" si="2"/>
        <v>989</v>
      </c>
      <c r="CL49" s="242">
        <f t="shared" si="3"/>
        <v>389</v>
      </c>
      <c r="CO49" s="243" t="s">
        <v>373</v>
      </c>
      <c r="CP49" s="243" t="s">
        <v>120</v>
      </c>
      <c r="CQ49" s="244">
        <v>68.900000000000006</v>
      </c>
      <c r="CR49" s="244">
        <v>0.18099999999999999</v>
      </c>
      <c r="CS49" s="243">
        <v>380.69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48"/>
        <v>2.6000000000000001E-6</v>
      </c>
      <c r="DA49" s="245" t="s">
        <v>317</v>
      </c>
      <c r="DD49" s="278" t="s">
        <v>460</v>
      </c>
      <c r="DE49" s="274" t="s">
        <v>487</v>
      </c>
      <c r="DF49" s="274" t="s">
        <v>318</v>
      </c>
      <c r="DG49" s="278">
        <f>O$10*$Z$37*$AP$27</f>
        <v>1.3339781301035256</v>
      </c>
      <c r="DH49" s="278" t="s">
        <v>317</v>
      </c>
      <c r="DJ49" s="280" t="s">
        <v>373</v>
      </c>
      <c r="DK49" s="280" t="s">
        <v>120</v>
      </c>
      <c r="DL49" s="284">
        <v>148</v>
      </c>
      <c r="DM49" s="284">
        <v>1.63</v>
      </c>
      <c r="DN49" s="280">
        <v>90.96</v>
      </c>
      <c r="DO49" s="280" t="s">
        <v>420</v>
      </c>
      <c r="DP49" s="284">
        <v>2E-16</v>
      </c>
      <c r="DQ49" s="280" t="s">
        <v>385</v>
      </c>
      <c r="DR49" s="281" t="s">
        <v>460</v>
      </c>
      <c r="DS49" s="288" t="s">
        <v>487</v>
      </c>
      <c r="DT49" s="282" t="s">
        <v>318</v>
      </c>
      <c r="DU49" s="283">
        <f t="shared" si="49"/>
        <v>0.55300000000000005</v>
      </c>
      <c r="DV49" s="281" t="s">
        <v>317</v>
      </c>
    </row>
    <row r="50" spans="3:126" ht="15" customHeight="1" thickTop="1" thickBot="1" x14ac:dyDescent="0.3">
      <c r="L50" s="81"/>
      <c r="M50" s="81"/>
      <c r="N50" s="81"/>
      <c r="Q50" s="81"/>
      <c r="R50" s="81"/>
      <c r="X50" s="224"/>
      <c r="Y50" s="225" t="s">
        <v>27</v>
      </c>
      <c r="Z50" s="225" t="s">
        <v>28</v>
      </c>
      <c r="AA50" s="225" t="s">
        <v>29</v>
      </c>
      <c r="AB50" s="225" t="s">
        <v>30</v>
      </c>
      <c r="AC50" s="225" t="s">
        <v>31</v>
      </c>
      <c r="AD50" s="225" t="s">
        <v>32</v>
      </c>
      <c r="AE50" s="226" t="s">
        <v>33</v>
      </c>
      <c r="AF50" s="222"/>
      <c r="AG50" s="222"/>
      <c r="AH50" s="222"/>
      <c r="AM50" s="158" t="s">
        <v>314</v>
      </c>
      <c r="AN50" s="81" t="s">
        <v>315</v>
      </c>
      <c r="AO50" s="81" t="s">
        <v>369</v>
      </c>
      <c r="AP50" s="81">
        <f>AP48</f>
        <v>277.72095608671481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47"/>
        <v>277.72095608671481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50"/>
        <v>989</v>
      </c>
      <c r="BQ50" s="167" t="s">
        <v>317</v>
      </c>
      <c r="BS50" s="81" t="s">
        <v>373</v>
      </c>
      <c r="BT50" s="81" t="s">
        <v>386</v>
      </c>
      <c r="BU50" s="166">
        <v>282</v>
      </c>
      <c r="BV50" s="166">
        <v>0.17299999999999999</v>
      </c>
      <c r="BW50" s="81">
        <v>1635.35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-6.47</v>
      </c>
      <c r="CR50" s="244">
        <v>1.67E-2</v>
      </c>
      <c r="CS50" s="243">
        <v>-387.24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48"/>
        <v>0.74099999999999999</v>
      </c>
      <c r="DA50" s="245" t="s">
        <v>317</v>
      </c>
      <c r="DD50" s="278" t="s">
        <v>460</v>
      </c>
      <c r="DE50" s="274" t="s">
        <v>488</v>
      </c>
      <c r="DF50" s="274" t="s">
        <v>318</v>
      </c>
      <c r="DG50" s="278">
        <f>O$12*$Z$37*$AP$27</f>
        <v>1.2863360540283995</v>
      </c>
      <c r="DH50" s="278" t="s">
        <v>317</v>
      </c>
      <c r="DJ50" s="280" t="s">
        <v>373</v>
      </c>
      <c r="DK50" s="280" t="s">
        <v>409</v>
      </c>
      <c r="DL50" s="284">
        <v>-3.88</v>
      </c>
      <c r="DM50" s="284">
        <v>3.32E-2</v>
      </c>
      <c r="DN50" s="280">
        <v>-116.98</v>
      </c>
      <c r="DO50" s="280" t="s">
        <v>420</v>
      </c>
      <c r="DP50" s="284">
        <v>2E-16</v>
      </c>
      <c r="DQ50" s="280" t="s">
        <v>385</v>
      </c>
      <c r="DR50" s="281" t="s">
        <v>460</v>
      </c>
      <c r="DS50" s="288" t="s">
        <v>488</v>
      </c>
      <c r="DT50" s="282" t="s">
        <v>318</v>
      </c>
      <c r="DU50" s="283">
        <f t="shared" si="49"/>
        <v>1.27</v>
      </c>
      <c r="DV50" s="281" t="s">
        <v>317</v>
      </c>
    </row>
    <row r="51" spans="3:126" ht="15" customHeight="1" thickTop="1" thickBot="1" x14ac:dyDescent="0.3">
      <c r="L51" s="81"/>
      <c r="M51" s="81"/>
      <c r="N51" s="81"/>
      <c r="Q51" s="81"/>
      <c r="R51" s="81"/>
      <c r="X51" s="181"/>
      <c r="Y51" s="182" t="s">
        <v>16</v>
      </c>
      <c r="Z51" s="182">
        <v>4</v>
      </c>
      <c r="AA51" s="182" t="s">
        <v>5</v>
      </c>
      <c r="AB51" s="182"/>
      <c r="AC51" s="182" t="s">
        <v>308</v>
      </c>
      <c r="AD51" s="182">
        <f>0.11*(1/AA49-1/23-1/8)</f>
        <v>8.9673913043478264E-3</v>
      </c>
      <c r="AE51" s="233"/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387</v>
      </c>
      <c r="BU51" s="166">
        <v>292</v>
      </c>
      <c r="BV51" s="166">
        <v>0.111</v>
      </c>
      <c r="BW51" s="81">
        <v>2622.7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-6.45</v>
      </c>
      <c r="CR51" s="244">
        <v>1.4500000000000001E-2</v>
      </c>
      <c r="CS51" s="243">
        <v>-444.64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48"/>
        <v>0.56799999999999995</v>
      </c>
      <c r="DA51" s="245" t="s">
        <v>317</v>
      </c>
      <c r="DD51" s="278" t="s">
        <v>460</v>
      </c>
      <c r="DE51" s="274" t="s">
        <v>489</v>
      </c>
      <c r="DF51" s="274" t="s">
        <v>318</v>
      </c>
      <c r="DG51" s="278">
        <f>O$13*$Z$37*$AP$27</f>
        <v>1.1275291337779798</v>
      </c>
      <c r="DH51" s="278" t="s">
        <v>317</v>
      </c>
      <c r="DJ51" s="280" t="s">
        <v>373</v>
      </c>
      <c r="DK51" s="280" t="s">
        <v>410</v>
      </c>
      <c r="DL51" s="284">
        <v>-5.97</v>
      </c>
      <c r="DM51" s="284">
        <v>2.3900000000000001E-2</v>
      </c>
      <c r="DN51" s="280">
        <v>-249.8</v>
      </c>
      <c r="DO51" s="280" t="s">
        <v>420</v>
      </c>
      <c r="DP51" s="284">
        <v>2E-16</v>
      </c>
      <c r="DQ51" s="280" t="s">
        <v>385</v>
      </c>
      <c r="DR51" s="281" t="s">
        <v>460</v>
      </c>
      <c r="DS51" s="288" t="s">
        <v>489</v>
      </c>
      <c r="DT51" s="282" t="s">
        <v>318</v>
      </c>
      <c r="DU51" s="283">
        <f t="shared" si="49"/>
        <v>0.32800000000000001</v>
      </c>
      <c r="DV51" s="281" t="s">
        <v>317</v>
      </c>
    </row>
    <row r="52" spans="3:126" thickTop="1" thickBot="1" x14ac:dyDescent="0.3">
      <c r="L52" s="81"/>
      <c r="M52" s="81"/>
      <c r="N52" s="81"/>
      <c r="X52" s="187"/>
      <c r="Y52" s="174" t="s">
        <v>121</v>
      </c>
      <c r="Z52" s="174">
        <v>0</v>
      </c>
      <c r="AA52" s="174"/>
      <c r="AB52" s="174"/>
      <c r="AC52" s="174"/>
      <c r="AD52" s="174"/>
      <c r="AE52" s="19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388</v>
      </c>
      <c r="BU52" s="166">
        <v>294</v>
      </c>
      <c r="BV52" s="166">
        <v>0.13300000000000001</v>
      </c>
      <c r="BW52" s="81">
        <v>2217.33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-6.35</v>
      </c>
      <c r="CR52" s="244">
        <v>1.8200000000000001E-2</v>
      </c>
      <c r="CS52" s="243">
        <v>-347.95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48"/>
        <v>9.02E-6</v>
      </c>
      <c r="DA52" s="245" t="s">
        <v>317</v>
      </c>
      <c r="DD52" s="278" t="s">
        <v>460</v>
      </c>
      <c r="DE52" s="274" t="s">
        <v>490</v>
      </c>
      <c r="DF52" s="274" t="s">
        <v>318</v>
      </c>
      <c r="DG52" s="278">
        <f>O$11*$Z$37*$AP$28</f>
        <v>3.6635053496566733E-2</v>
      </c>
      <c r="DH52" s="278" t="s">
        <v>317</v>
      </c>
      <c r="DJ52" s="280" t="s">
        <v>373</v>
      </c>
      <c r="DK52" s="280" t="s">
        <v>411</v>
      </c>
      <c r="DL52" s="284">
        <v>-5.97</v>
      </c>
      <c r="DM52" s="284">
        <v>2.8199999999999999E-2</v>
      </c>
      <c r="DN52" s="280">
        <v>-211.65</v>
      </c>
      <c r="DO52" s="280" t="s">
        <v>420</v>
      </c>
      <c r="DP52" s="284">
        <v>2E-16</v>
      </c>
      <c r="DQ52" s="280" t="s">
        <v>385</v>
      </c>
      <c r="DR52" s="281" t="s">
        <v>460</v>
      </c>
      <c r="DS52" s="288" t="s">
        <v>490</v>
      </c>
      <c r="DT52" s="282" t="s">
        <v>318</v>
      </c>
      <c r="DU52" s="283">
        <f t="shared" si="49"/>
        <v>5.2799999999999996E-7</v>
      </c>
      <c r="DV52" s="281" t="s">
        <v>317</v>
      </c>
    </row>
    <row r="53" spans="3:126" thickTop="1" thickBot="1" x14ac:dyDescent="0.3">
      <c r="L53" s="81"/>
      <c r="M53" s="81"/>
      <c r="N53" s="81"/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390</v>
      </c>
      <c r="BU53" s="166">
        <v>0.42799999999999999</v>
      </c>
      <c r="BV53" s="166">
        <v>6.11E-3</v>
      </c>
      <c r="BW53" s="81">
        <v>69.94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-5.96</v>
      </c>
      <c r="CR53" s="244">
        <v>1.67E-2</v>
      </c>
      <c r="CS53" s="243">
        <v>-356.73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48"/>
        <v>2.4899999999999999E-6</v>
      </c>
      <c r="DA53" s="245" t="s">
        <v>317</v>
      </c>
      <c r="DD53" s="278" t="s">
        <v>460</v>
      </c>
      <c r="DE53" s="274" t="s">
        <v>491</v>
      </c>
      <c r="DF53" s="274" t="s">
        <v>318</v>
      </c>
      <c r="DG53" s="278">
        <f>O$10*$Z$37*$AP$28</f>
        <v>3.8953727768501333E-2</v>
      </c>
      <c r="DH53" s="278" t="s">
        <v>317</v>
      </c>
      <c r="DJ53" s="280" t="s">
        <v>373</v>
      </c>
      <c r="DK53" s="280" t="s">
        <v>412</v>
      </c>
      <c r="DL53" s="284">
        <v>-4.78</v>
      </c>
      <c r="DM53" s="284">
        <v>2.3900000000000001E-2</v>
      </c>
      <c r="DN53" s="280">
        <v>-200.55</v>
      </c>
      <c r="DO53" s="280" t="s">
        <v>420</v>
      </c>
      <c r="DP53" s="284">
        <v>2E-16</v>
      </c>
      <c r="DQ53" s="280" t="s">
        <v>385</v>
      </c>
      <c r="DR53" s="281" t="s">
        <v>460</v>
      </c>
      <c r="DS53" s="288" t="s">
        <v>491</v>
      </c>
      <c r="DT53" s="282" t="s">
        <v>318</v>
      </c>
      <c r="DU53" s="283">
        <f t="shared" si="49"/>
        <v>1.1499999999999999</v>
      </c>
      <c r="DV53" s="281" t="s">
        <v>317</v>
      </c>
    </row>
    <row r="54" spans="3:126" thickTop="1" thickBot="1" x14ac:dyDescent="0.3">
      <c r="L54" s="81"/>
      <c r="M54" s="81"/>
      <c r="N54" s="81"/>
      <c r="X54" s="256" t="s">
        <v>505</v>
      </c>
      <c r="Y54" s="257"/>
      <c r="Z54" s="258" t="s">
        <v>21</v>
      </c>
      <c r="AA54" s="259">
        <f>(1/(1/4+SUM(AD56:AD58)+1/4))</f>
        <v>1.5517241379310345</v>
      </c>
      <c r="AB54" s="257" t="s">
        <v>5</v>
      </c>
      <c r="AC54" s="257"/>
      <c r="AD54" s="257" t="s">
        <v>22</v>
      </c>
      <c r="AE54" s="260">
        <f>SUM(AE56:AE60)</f>
        <v>171780</v>
      </c>
      <c r="AF54" s="222" t="s">
        <v>23</v>
      </c>
      <c r="AG54" s="222">
        <f>SUM(AE56:AE57)</f>
        <v>171780</v>
      </c>
      <c r="AH54" s="222"/>
      <c r="AO54" s="169" t="s">
        <v>371</v>
      </c>
      <c r="AP54" s="169">
        <f>SUM(AP42,AP4:AP7)</f>
        <v>1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S54" s="81" t="s">
        <v>373</v>
      </c>
      <c r="BT54" s="81" t="s">
        <v>391</v>
      </c>
      <c r="BU54" s="166">
        <v>0.161</v>
      </c>
      <c r="BV54" s="166">
        <v>1.7899999999999999E-3</v>
      </c>
      <c r="BW54" s="81">
        <v>89.98</v>
      </c>
      <c r="BX54" s="81" t="s">
        <v>420</v>
      </c>
      <c r="BY54" s="166">
        <v>2E-16</v>
      </c>
      <c r="BZ54" s="81" t="s">
        <v>385</v>
      </c>
      <c r="CO54" s="243" t="s">
        <v>373</v>
      </c>
      <c r="CP54" s="243" t="s">
        <v>413</v>
      </c>
      <c r="CQ54" s="244">
        <v>-6.58</v>
      </c>
      <c r="CR54" s="244">
        <v>1.54E-2</v>
      </c>
      <c r="CS54" s="243">
        <v>-426.68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48"/>
        <v>2.1699999999999999E-8</v>
      </c>
      <c r="DA54" s="245" t="s">
        <v>317</v>
      </c>
      <c r="DD54" s="278" t="s">
        <v>460</v>
      </c>
      <c r="DE54" s="274" t="s">
        <v>492</v>
      </c>
      <c r="DF54" s="274" t="s">
        <v>318</v>
      </c>
      <c r="DG54" s="278">
        <f>O$12*$Z$37*$AP$28</f>
        <v>3.7562523205340571E-2</v>
      </c>
      <c r="DH54" s="278" t="s">
        <v>317</v>
      </c>
      <c r="DJ54" s="280" t="s">
        <v>373</v>
      </c>
      <c r="DK54" s="280" t="s">
        <v>413</v>
      </c>
      <c r="DL54" s="284">
        <v>-5.78</v>
      </c>
      <c r="DM54" s="284">
        <v>2.4400000000000002E-2</v>
      </c>
      <c r="DN54" s="280">
        <v>-236.95</v>
      </c>
      <c r="DO54" s="280" t="s">
        <v>420</v>
      </c>
      <c r="DP54" s="284">
        <v>2E-16</v>
      </c>
      <c r="DQ54" s="280" t="s">
        <v>385</v>
      </c>
      <c r="DR54" s="281" t="s">
        <v>460</v>
      </c>
      <c r="DS54" s="288" t="s">
        <v>492</v>
      </c>
      <c r="DT54" s="282" t="s">
        <v>318</v>
      </c>
      <c r="DU54" s="283">
        <f t="shared" si="49"/>
        <v>2.83E-6</v>
      </c>
      <c r="DV54" s="281" t="s">
        <v>317</v>
      </c>
    </row>
    <row r="55" spans="3:126" thickTop="1" thickBot="1" x14ac:dyDescent="0.3">
      <c r="X55" s="261"/>
      <c r="Y55" s="225" t="s">
        <v>27</v>
      </c>
      <c r="Z55" s="225" t="s">
        <v>28</v>
      </c>
      <c r="AA55" s="225" t="s">
        <v>29</v>
      </c>
      <c r="AB55" s="225" t="s">
        <v>30</v>
      </c>
      <c r="AC55" s="225" t="s">
        <v>31</v>
      </c>
      <c r="AD55" s="225" t="s">
        <v>32</v>
      </c>
      <c r="AE55" s="262" t="s">
        <v>33</v>
      </c>
      <c r="AO55" s="169" t="s">
        <v>371</v>
      </c>
      <c r="AP55" s="169">
        <f>SUM(AP43,AP26:AP28)</f>
        <v>1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392</v>
      </c>
      <c r="BU55" s="166">
        <v>8.0100000000000005E-2</v>
      </c>
      <c r="BV55" s="166">
        <v>1.77E-2</v>
      </c>
      <c r="BW55" s="81">
        <v>4.53</v>
      </c>
      <c r="BX55" s="166">
        <v>6.1E-6</v>
      </c>
      <c r="BY55" s="81" t="s">
        <v>385</v>
      </c>
      <c r="CO55" s="243" t="s">
        <v>373</v>
      </c>
      <c r="CP55" s="243" t="s">
        <v>414</v>
      </c>
      <c r="CQ55" s="244">
        <v>3.2000000000000002E-3</v>
      </c>
      <c r="CR55" s="244">
        <v>5.8199999999999998E-5</v>
      </c>
      <c r="CS55" s="243">
        <v>54.95</v>
      </c>
      <c r="CT55" s="243" t="s">
        <v>420</v>
      </c>
      <c r="CU55" s="244">
        <v>2E-16</v>
      </c>
      <c r="CV55" s="81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48"/>
        <v>0.215</v>
      </c>
      <c r="DA55" s="245" t="s">
        <v>317</v>
      </c>
      <c r="DD55" s="278" t="s">
        <v>460</v>
      </c>
      <c r="DE55" s="274" t="s">
        <v>493</v>
      </c>
      <c r="DF55" s="274" t="s">
        <v>318</v>
      </c>
      <c r="DG55" s="278">
        <f>O$13*$Z$37*$AP$28</f>
        <v>3.2925174661471365E-2</v>
      </c>
      <c r="DH55" s="278" t="s">
        <v>317</v>
      </c>
      <c r="DJ55" s="280" t="s">
        <v>373</v>
      </c>
      <c r="DK55" s="280" t="s">
        <v>414</v>
      </c>
      <c r="DL55" s="284">
        <v>3.4199999999999999E-3</v>
      </c>
      <c r="DM55" s="284">
        <v>1.16E-4</v>
      </c>
      <c r="DN55" s="280">
        <v>29.42</v>
      </c>
      <c r="DO55" s="280" t="s">
        <v>420</v>
      </c>
      <c r="DP55" s="284">
        <v>2E-16</v>
      </c>
      <c r="DQ55" s="280" t="s">
        <v>385</v>
      </c>
      <c r="DR55" s="281" t="s">
        <v>460</v>
      </c>
      <c r="DS55" s="288" t="s">
        <v>493</v>
      </c>
      <c r="DT55" s="282" t="s">
        <v>318</v>
      </c>
      <c r="DU55" s="283">
        <f t="shared" si="49"/>
        <v>0.23899999999999999</v>
      </c>
      <c r="DV55" s="281" t="s">
        <v>317</v>
      </c>
    </row>
    <row r="56" spans="3:126" thickTop="1" thickBot="1" x14ac:dyDescent="0.3">
      <c r="X56" s="263"/>
      <c r="Y56" s="176" t="s">
        <v>90</v>
      </c>
      <c r="Z56" s="176">
        <v>0.02</v>
      </c>
      <c r="AA56" s="176">
        <v>0.6</v>
      </c>
      <c r="AB56" s="176">
        <v>975</v>
      </c>
      <c r="AC56" s="176">
        <v>840</v>
      </c>
      <c r="AD56" s="227">
        <f>Z56/AA56</f>
        <v>3.3333333333333333E-2</v>
      </c>
      <c r="AE56" s="264">
        <f>Z56*AB56*AC56</f>
        <v>16380</v>
      </c>
      <c r="AO56" s="169" t="s">
        <v>372</v>
      </c>
      <c r="AP56" s="169">
        <f>SUM(AP46,AP14:AP17)</f>
        <v>1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S56" s="81" t="s">
        <v>373</v>
      </c>
      <c r="BT56" s="81" t="s">
        <v>393</v>
      </c>
      <c r="BU56" s="166">
        <v>0.33100000000000002</v>
      </c>
      <c r="BV56" s="166">
        <v>4.3699999999999998E-3</v>
      </c>
      <c r="BW56" s="81">
        <v>75.67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83.4</v>
      </c>
      <c r="CR56" s="244">
        <v>0.82</v>
      </c>
      <c r="CS56" s="243">
        <v>101.76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48"/>
        <v>0.06</v>
      </c>
      <c r="DA56" s="245" t="s">
        <v>317</v>
      </c>
      <c r="DD56" s="278" t="s">
        <v>460</v>
      </c>
      <c r="DE56" s="274" t="s">
        <v>494</v>
      </c>
      <c r="DF56" s="274" t="s">
        <v>318</v>
      </c>
      <c r="DG56" s="278">
        <f>O$11*$Z$37*$AP$43</f>
        <v>0.17608086029778422</v>
      </c>
      <c r="DH56" s="278" t="s">
        <v>317</v>
      </c>
      <c r="DJ56" s="280" t="s">
        <v>373</v>
      </c>
      <c r="DK56" s="280" t="s">
        <v>415</v>
      </c>
      <c r="DL56" s="284">
        <v>71.400000000000006</v>
      </c>
      <c r="DM56" s="284">
        <v>1.05</v>
      </c>
      <c r="DN56" s="280">
        <v>67.94</v>
      </c>
      <c r="DO56" s="280" t="s">
        <v>420</v>
      </c>
      <c r="DP56" s="284">
        <v>2E-16</v>
      </c>
      <c r="DQ56" s="280" t="s">
        <v>385</v>
      </c>
      <c r="DR56" s="281" t="s">
        <v>460</v>
      </c>
      <c r="DS56" s="288" t="s">
        <v>494</v>
      </c>
      <c r="DT56" s="282" t="s">
        <v>318</v>
      </c>
      <c r="DU56" s="283">
        <f t="shared" si="49"/>
        <v>4.6600000000000003E-2</v>
      </c>
      <c r="DV56" s="281" t="s">
        <v>317</v>
      </c>
    </row>
    <row r="57" spans="3:126" thickTop="1" thickBot="1" x14ac:dyDescent="0.3">
      <c r="X57" s="263"/>
      <c r="Y57" s="176" t="s">
        <v>509</v>
      </c>
      <c r="Z57" s="176">
        <v>0.1</v>
      </c>
      <c r="AA57" s="176">
        <v>0.9</v>
      </c>
      <c r="AB57" s="176">
        <v>1850</v>
      </c>
      <c r="AC57" s="176">
        <v>840</v>
      </c>
      <c r="AD57" s="227">
        <f>Z57/AA57</f>
        <v>0.11111111111111112</v>
      </c>
      <c r="AE57" s="264">
        <f>Z57*AB57*AC57</f>
        <v>155400</v>
      </c>
      <c r="AO57" s="169" t="s">
        <v>372</v>
      </c>
      <c r="AP57" s="169">
        <f>SUM(AP47,AP33:AP35)</f>
        <v>1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S57" s="81" t="s">
        <v>373</v>
      </c>
      <c r="BT57" s="81" t="s">
        <v>303</v>
      </c>
      <c r="BU57" s="166">
        <v>976000000</v>
      </c>
      <c r="BV57" s="166">
        <v>20400000</v>
      </c>
      <c r="BW57" s="81">
        <v>47.85</v>
      </c>
      <c r="BX57" s="81" t="s">
        <v>420</v>
      </c>
      <c r="BY57" s="166">
        <v>2E-16</v>
      </c>
      <c r="BZ57" s="81" t="s">
        <v>385</v>
      </c>
      <c r="CO57" s="243" t="s">
        <v>373</v>
      </c>
      <c r="CP57" s="243" t="s">
        <v>416</v>
      </c>
      <c r="CQ57" s="244">
        <v>62.1</v>
      </c>
      <c r="CR57" s="244">
        <v>0.73099999999999998</v>
      </c>
      <c r="CS57" s="243">
        <v>85.04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48"/>
        <v>3.3700000000000001E-9</v>
      </c>
      <c r="DA57" s="245" t="s">
        <v>317</v>
      </c>
      <c r="DD57" s="278" t="s">
        <v>460</v>
      </c>
      <c r="DE57" s="274" t="s">
        <v>495</v>
      </c>
      <c r="DF57" s="274" t="s">
        <v>318</v>
      </c>
      <c r="DG57" s="278">
        <f>O$10*$Z$37*$AP$43</f>
        <v>0.1872252185444794</v>
      </c>
      <c r="DH57" s="278" t="s">
        <v>317</v>
      </c>
      <c r="DJ57" s="280" t="s">
        <v>373</v>
      </c>
      <c r="DK57" s="280" t="s">
        <v>416</v>
      </c>
      <c r="DL57" s="284">
        <v>23.2</v>
      </c>
      <c r="DM57" s="284">
        <v>3.19</v>
      </c>
      <c r="DN57" s="280">
        <v>7.27</v>
      </c>
      <c r="DO57" s="284">
        <v>4.0000000000000001E-13</v>
      </c>
      <c r="DP57" s="284" t="s">
        <v>385</v>
      </c>
      <c r="DR57" s="281" t="s">
        <v>460</v>
      </c>
      <c r="DS57" s="288" t="s">
        <v>495</v>
      </c>
      <c r="DT57" s="282" t="s">
        <v>318</v>
      </c>
      <c r="DU57" s="283">
        <f t="shared" si="49"/>
        <v>7.6799999999999999E-9</v>
      </c>
      <c r="DV57" s="281" t="s">
        <v>317</v>
      </c>
    </row>
    <row r="58" spans="3:126" thickTop="1" thickBot="1" x14ac:dyDescent="0.3">
      <c r="X58" s="265"/>
      <c r="Y58" s="266" t="s">
        <v>508</v>
      </c>
      <c r="Z58" s="267">
        <v>0</v>
      </c>
      <c r="AA58" s="267">
        <v>3.5999999999999997E-2</v>
      </c>
      <c r="AB58" s="267">
        <v>26</v>
      </c>
      <c r="AC58" s="267">
        <v>1470</v>
      </c>
      <c r="AD58" s="268">
        <f>Z58/AA58</f>
        <v>0</v>
      </c>
      <c r="AE58" s="269">
        <f>Z58*AB58*AC58</f>
        <v>0</v>
      </c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S58" s="81" t="s">
        <v>373</v>
      </c>
      <c r="BT58" s="81" t="s">
        <v>395</v>
      </c>
      <c r="BU58" s="166">
        <v>1470000</v>
      </c>
      <c r="BV58" s="166">
        <v>21800</v>
      </c>
      <c r="BW58" s="81">
        <v>67.430000000000007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466</v>
      </c>
      <c r="CR58" s="244">
        <v>27.2</v>
      </c>
      <c r="CS58" s="243">
        <v>17.16</v>
      </c>
      <c r="CT58" s="243" t="s">
        <v>420</v>
      </c>
      <c r="CU58" s="244">
        <v>2E-16</v>
      </c>
      <c r="CV58" s="81" t="s">
        <v>385</v>
      </c>
      <c r="CW58" s="245" t="s">
        <v>460</v>
      </c>
      <c r="CX58" s="251" t="s">
        <v>496</v>
      </c>
      <c r="CY58" s="246" t="s">
        <v>318</v>
      </c>
      <c r="CZ58" s="247">
        <f t="shared" si="48"/>
        <v>3.6700000000000003E-2</v>
      </c>
      <c r="DA58" s="245" t="s">
        <v>317</v>
      </c>
      <c r="DD58" s="278" t="s">
        <v>460</v>
      </c>
      <c r="DE58" s="274" t="s">
        <v>496</v>
      </c>
      <c r="DF58" s="274" t="s">
        <v>318</v>
      </c>
      <c r="DG58" s="278">
        <f>O$12*$Z$37*$AP$43</f>
        <v>0.18053860359646226</v>
      </c>
      <c r="DH58" s="278" t="s">
        <v>317</v>
      </c>
      <c r="DJ58" s="280" t="s">
        <v>373</v>
      </c>
      <c r="DK58" s="280" t="s">
        <v>417</v>
      </c>
      <c r="DL58" s="284">
        <v>9.0300000000000005E-4</v>
      </c>
      <c r="DM58" s="284">
        <v>4.58E-2</v>
      </c>
      <c r="DN58" s="280">
        <v>0.02</v>
      </c>
      <c r="DO58" s="280">
        <v>0.98399999999999999</v>
      </c>
      <c r="DP58" s="284"/>
      <c r="DR58" s="281" t="s">
        <v>460</v>
      </c>
      <c r="DS58" s="288" t="s">
        <v>496</v>
      </c>
      <c r="DT58" s="282" t="s">
        <v>318</v>
      </c>
      <c r="DU58" s="283">
        <f t="shared" si="49"/>
        <v>4.7600000000000003E-2</v>
      </c>
      <c r="DV58" s="281" t="s">
        <v>317</v>
      </c>
    </row>
    <row r="59" spans="3:126" thickTop="1" thickBot="1" x14ac:dyDescent="0.3"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S59" s="81" t="s">
        <v>373</v>
      </c>
      <c r="BT59" s="81" t="s">
        <v>296</v>
      </c>
      <c r="BU59" s="166">
        <v>219000000</v>
      </c>
      <c r="BV59" s="166">
        <v>15400000</v>
      </c>
      <c r="BW59" s="81">
        <v>14.25</v>
      </c>
      <c r="BX59" s="81" t="s">
        <v>420</v>
      </c>
      <c r="BY59" s="166">
        <v>2E-16</v>
      </c>
      <c r="BZ59" s="81" t="s">
        <v>385</v>
      </c>
      <c r="CW59" s="245" t="s">
        <v>460</v>
      </c>
      <c r="CX59" s="251" t="s">
        <v>497</v>
      </c>
      <c r="CY59" s="246" t="s">
        <v>318</v>
      </c>
      <c r="CZ59" s="247">
        <f t="shared" si="48"/>
        <v>8.4900000000000003E-2</v>
      </c>
      <c r="DA59" s="245" t="s">
        <v>317</v>
      </c>
      <c r="DD59" s="278" t="s">
        <v>460</v>
      </c>
      <c r="DE59" s="274" t="s">
        <v>497</v>
      </c>
      <c r="DF59" s="274" t="s">
        <v>318</v>
      </c>
      <c r="DG59" s="278">
        <f>O$13*$Z$37*$AP$43</f>
        <v>0.15824988710307189</v>
      </c>
      <c r="DH59" s="278" t="s">
        <v>317</v>
      </c>
      <c r="DR59" s="281" t="s">
        <v>460</v>
      </c>
      <c r="DS59" s="288" t="s">
        <v>497</v>
      </c>
      <c r="DT59" s="282" t="s">
        <v>318</v>
      </c>
      <c r="DU59" s="283">
        <f t="shared" si="49"/>
        <v>0.11899999999999999</v>
      </c>
      <c r="DV59" s="281" t="s">
        <v>317</v>
      </c>
    </row>
    <row r="60" spans="3:126" thickTop="1" thickBot="1" x14ac:dyDescent="0.3"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S60" s="81" t="s">
        <v>373</v>
      </c>
      <c r="BT60" s="81" t="s">
        <v>298</v>
      </c>
      <c r="BU60" s="166">
        <v>40000000</v>
      </c>
      <c r="BV60" s="166">
        <v>20300000</v>
      </c>
      <c r="BW60" s="81">
        <v>1.97</v>
      </c>
      <c r="BX60" s="81">
        <v>4.9000000000000002E-2</v>
      </c>
      <c r="BY60" s="81" t="s">
        <v>418</v>
      </c>
      <c r="CX60" s="251"/>
      <c r="CY60" s="246"/>
      <c r="CZ60" s="247"/>
      <c r="DD60" s="278"/>
      <c r="DE60" s="274"/>
      <c r="DF60" s="274"/>
      <c r="DG60" s="278"/>
      <c r="DH60" s="278"/>
      <c r="DS60" s="288"/>
      <c r="DT60" s="282"/>
      <c r="DU60" s="283"/>
    </row>
    <row r="61" spans="3:126" thickTop="1" thickBot="1" x14ac:dyDescent="0.3"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S61" s="81" t="s">
        <v>373</v>
      </c>
      <c r="BT61" s="81" t="s">
        <v>396</v>
      </c>
      <c r="BU61" s="166">
        <v>-36.9</v>
      </c>
      <c r="BV61" s="166">
        <v>1.4</v>
      </c>
      <c r="BW61" s="81">
        <v>-26.39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W61" s="245" t="s">
        <v>460</v>
      </c>
      <c r="CX61" s="251" t="s">
        <v>339</v>
      </c>
      <c r="CY61" s="246" t="s">
        <v>318</v>
      </c>
      <c r="CZ61" s="247">
        <f>CQ85</f>
        <v>2500000</v>
      </c>
      <c r="DA61" s="245" t="s">
        <v>317</v>
      </c>
      <c r="DD61" s="278" t="s">
        <v>460</v>
      </c>
      <c r="DE61" s="274" t="s">
        <v>339</v>
      </c>
      <c r="DF61" s="274" t="s">
        <v>318</v>
      </c>
      <c r="DG61" s="278">
        <f>AP30</f>
        <v>2173896.7411420983</v>
      </c>
      <c r="DH61" s="278" t="s">
        <v>317</v>
      </c>
      <c r="DJ61" s="280" t="s">
        <v>373</v>
      </c>
      <c r="DK61" s="280" t="s">
        <v>374</v>
      </c>
      <c r="DL61" s="280" t="s">
        <v>458</v>
      </c>
      <c r="DR61" s="281" t="s">
        <v>460</v>
      </c>
      <c r="DS61" s="288" t="s">
        <v>339</v>
      </c>
      <c r="DT61" s="282" t="s">
        <v>318</v>
      </c>
      <c r="DU61" s="283">
        <f>DL85</f>
        <v>1170000</v>
      </c>
      <c r="DV61" s="281" t="s">
        <v>317</v>
      </c>
    </row>
    <row r="62" spans="3:126" thickTop="1" thickBot="1" x14ac:dyDescent="0.3"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S62" s="81" t="s">
        <v>373</v>
      </c>
      <c r="BT62" s="81" t="s">
        <v>397</v>
      </c>
      <c r="BU62" s="166">
        <v>-40.700000000000003</v>
      </c>
      <c r="BV62" s="166">
        <v>1.36</v>
      </c>
      <c r="BW62" s="81">
        <v>-29.88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W62" s="245" t="s">
        <v>460</v>
      </c>
      <c r="CX62" s="251" t="s">
        <v>340</v>
      </c>
      <c r="CY62" s="246" t="s">
        <v>318</v>
      </c>
      <c r="CZ62" s="247">
        <f t="shared" ref="CZ62:CZ63" si="51">CQ86</f>
        <v>27800000</v>
      </c>
      <c r="DA62" s="245" t="s">
        <v>317</v>
      </c>
      <c r="DD62" s="278" t="s">
        <v>460</v>
      </c>
      <c r="DE62" s="274" t="s">
        <v>340</v>
      </c>
      <c r="DF62" s="274" t="s">
        <v>318</v>
      </c>
      <c r="DG62" s="278">
        <f>AP31</f>
        <v>35109018.321381137</v>
      </c>
      <c r="DH62" s="278" t="s">
        <v>317</v>
      </c>
      <c r="DJ62" s="280" t="s">
        <v>373</v>
      </c>
      <c r="DK62" s="280" t="s">
        <v>376</v>
      </c>
      <c r="DR62" s="281" t="s">
        <v>460</v>
      </c>
      <c r="DS62" s="288" t="s">
        <v>340</v>
      </c>
      <c r="DT62" s="282" t="s">
        <v>318</v>
      </c>
      <c r="DU62" s="283">
        <f t="shared" ref="DU62:DU63" si="52">DL86</f>
        <v>63800000</v>
      </c>
      <c r="DV62" s="281" t="s">
        <v>317</v>
      </c>
    </row>
    <row r="63" spans="3:126" thickTop="1" thickBot="1" x14ac:dyDescent="0.3"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S63" s="81" t="s">
        <v>373</v>
      </c>
      <c r="BT63" s="81" t="s">
        <v>399</v>
      </c>
      <c r="BU63" s="166">
        <v>-37.1</v>
      </c>
      <c r="BV63" s="166">
        <v>1.59</v>
      </c>
      <c r="BW63" s="81">
        <v>-23.36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W63" s="245" t="s">
        <v>460</v>
      </c>
      <c r="CX63" s="251" t="s">
        <v>341</v>
      </c>
      <c r="CY63" s="246" t="s">
        <v>318</v>
      </c>
      <c r="CZ63" s="247">
        <f t="shared" si="51"/>
        <v>24900000</v>
      </c>
      <c r="DA63" s="245" t="s">
        <v>317</v>
      </c>
      <c r="DD63" s="278" t="s">
        <v>460</v>
      </c>
      <c r="DE63" s="274" t="s">
        <v>341</v>
      </c>
      <c r="DF63" s="274" t="s">
        <v>318</v>
      </c>
      <c r="DG63" s="278">
        <f>AP32</f>
        <v>45041882.027917095</v>
      </c>
      <c r="DH63" s="278" t="s">
        <v>317</v>
      </c>
      <c r="DJ63" s="280" t="s">
        <v>373</v>
      </c>
      <c r="DK63" s="280" t="s">
        <v>377</v>
      </c>
      <c r="DL63" s="280" t="s">
        <v>378</v>
      </c>
      <c r="DM63" s="280" t="s">
        <v>379</v>
      </c>
      <c r="DN63" s="280" t="s">
        <v>380</v>
      </c>
      <c r="DO63" s="280" t="s">
        <v>381</v>
      </c>
      <c r="DP63" s="280" t="s">
        <v>382</v>
      </c>
      <c r="DR63" s="281" t="s">
        <v>460</v>
      </c>
      <c r="DS63" s="288" t="s">
        <v>341</v>
      </c>
      <c r="DT63" s="282" t="s">
        <v>318</v>
      </c>
      <c r="DU63" s="283">
        <f t="shared" si="52"/>
        <v>38000000</v>
      </c>
      <c r="DV63" s="281" t="s">
        <v>317</v>
      </c>
    </row>
    <row r="64" spans="3:126" thickTop="1" thickBot="1" x14ac:dyDescent="0.3"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S64" s="81" t="s">
        <v>373</v>
      </c>
      <c r="BT64" s="81" t="s">
        <v>400</v>
      </c>
      <c r="BU64" s="166">
        <v>-24.8</v>
      </c>
      <c r="BV64" s="166">
        <v>7.4200000000000002E-2</v>
      </c>
      <c r="BW64" s="81">
        <v>-334.42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292</v>
      </c>
      <c r="CR64" s="244">
        <v>1.7600000000000001E-2</v>
      </c>
      <c r="CS64" s="243">
        <v>16575.55</v>
      </c>
      <c r="CT64" s="243" t="s">
        <v>420</v>
      </c>
      <c r="CU64" s="244">
        <v>2E-16</v>
      </c>
      <c r="CV64" s="81" t="s">
        <v>385</v>
      </c>
      <c r="CY64" s="246"/>
      <c r="DD64" s="278"/>
      <c r="DE64" s="278"/>
      <c r="DF64" s="274"/>
      <c r="DG64" s="278"/>
      <c r="DH64" s="278"/>
      <c r="DJ64" s="280" t="s">
        <v>373</v>
      </c>
      <c r="DK64" s="280" t="s">
        <v>383</v>
      </c>
      <c r="DL64" s="284">
        <v>288</v>
      </c>
      <c r="DM64" s="284">
        <v>0.17699999999999999</v>
      </c>
      <c r="DN64" s="284">
        <v>1623.35</v>
      </c>
      <c r="DO64" s="280" t="s">
        <v>420</v>
      </c>
      <c r="DP64" s="284">
        <v>2E-16</v>
      </c>
      <c r="DQ64" s="280" t="s">
        <v>385</v>
      </c>
      <c r="DT64" s="282"/>
    </row>
    <row r="65" spans="55:126" thickTop="1" thickBot="1" x14ac:dyDescent="0.3"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S65" s="81" t="s">
        <v>373</v>
      </c>
      <c r="BT65" s="81" t="s">
        <v>402</v>
      </c>
      <c r="BU65" s="166">
        <v>0.16500000000000001</v>
      </c>
      <c r="BV65" s="166">
        <v>4.6200000000000001E-4</v>
      </c>
      <c r="BW65" s="81">
        <v>357.36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287</v>
      </c>
      <c r="CR65" s="244">
        <v>4.1700000000000001E-2</v>
      </c>
      <c r="CS65" s="243">
        <v>6889.74</v>
      </c>
      <c r="CT65" s="243" t="s">
        <v>420</v>
      </c>
      <c r="CU65" s="244">
        <v>2E-16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6.5799999999999997E-2</v>
      </c>
      <c r="DA65" s="245" t="s">
        <v>317</v>
      </c>
      <c r="DD65" s="278" t="s">
        <v>460</v>
      </c>
      <c r="DE65" s="274" t="s">
        <v>342</v>
      </c>
      <c r="DF65" s="274" t="s">
        <v>318</v>
      </c>
      <c r="DG65" s="278">
        <f>AP33</f>
        <v>6.289406133487746E-2</v>
      </c>
      <c r="DH65" s="278" t="s">
        <v>317</v>
      </c>
      <c r="DJ65" s="280" t="s">
        <v>373</v>
      </c>
      <c r="DK65" s="280" t="s">
        <v>386</v>
      </c>
      <c r="DL65" s="284">
        <v>283</v>
      </c>
      <c r="DM65" s="284">
        <v>0.20899999999999999</v>
      </c>
      <c r="DN65" s="284">
        <v>1350.72</v>
      </c>
      <c r="DO65" s="280" t="s">
        <v>420</v>
      </c>
      <c r="DP65" s="284">
        <v>2E-16</v>
      </c>
      <c r="DQ65" s="280" t="s">
        <v>385</v>
      </c>
      <c r="DR65" s="281" t="s">
        <v>460</v>
      </c>
      <c r="DS65" s="288" t="s">
        <v>342</v>
      </c>
      <c r="DT65" s="282" t="s">
        <v>318</v>
      </c>
      <c r="DU65" s="283">
        <f>DL92</f>
        <v>7.2900000000000006E-2</v>
      </c>
      <c r="DV65" s="281" t="s">
        <v>317</v>
      </c>
    </row>
    <row r="66" spans="55:126" thickTop="1" thickBot="1" x14ac:dyDescent="0.3"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403</v>
      </c>
      <c r="BU66" s="166">
        <v>5.8500000000000003E-2</v>
      </c>
      <c r="BV66" s="166">
        <v>1.2799999999999999E-4</v>
      </c>
      <c r="BW66" s="81">
        <v>455.64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291</v>
      </c>
      <c r="CR66" s="244">
        <v>3.4299999999999997E-2</v>
      </c>
      <c r="CS66" s="243">
        <v>8485.98</v>
      </c>
      <c r="CT66" s="243" t="s">
        <v>420</v>
      </c>
      <c r="CU66" s="244">
        <v>2E-16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53">CQ93</f>
        <v>0.20799999999999999</v>
      </c>
      <c r="DA66" s="245" t="s">
        <v>317</v>
      </c>
      <c r="DD66" s="278" t="s">
        <v>460</v>
      </c>
      <c r="DE66" s="274" t="s">
        <v>343</v>
      </c>
      <c r="DF66" s="274" t="s">
        <v>318</v>
      </c>
      <c r="DG66" s="278">
        <f>AP34</f>
        <v>0.20273223861755707</v>
      </c>
      <c r="DH66" s="278" t="s">
        <v>317</v>
      </c>
      <c r="DJ66" s="280" t="s">
        <v>373</v>
      </c>
      <c r="DK66" s="280" t="s">
        <v>387</v>
      </c>
      <c r="DL66" s="284">
        <v>290</v>
      </c>
      <c r="DM66" s="284">
        <v>0.129</v>
      </c>
      <c r="DN66" s="284">
        <v>2256.31</v>
      </c>
      <c r="DO66" s="280" t="s">
        <v>420</v>
      </c>
      <c r="DP66" s="284">
        <v>2E-16</v>
      </c>
      <c r="DQ66" s="280" t="s">
        <v>385</v>
      </c>
      <c r="DR66" s="281" t="s">
        <v>460</v>
      </c>
      <c r="DS66" s="288" t="s">
        <v>343</v>
      </c>
      <c r="DT66" s="282" t="s">
        <v>318</v>
      </c>
      <c r="DU66" s="283">
        <f t="shared" ref="DU66:DU68" si="54">DL93</f>
        <v>0.215</v>
      </c>
      <c r="DV66" s="281" t="s">
        <v>317</v>
      </c>
    </row>
    <row r="67" spans="55:126" thickTop="1" thickBot="1" x14ac:dyDescent="0.3"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S67" s="81" t="s">
        <v>373</v>
      </c>
      <c r="BT67" s="81" t="s">
        <v>404</v>
      </c>
      <c r="BU67" s="166">
        <v>0.61199999999999999</v>
      </c>
      <c r="BV67" s="166">
        <v>6.6400000000000001E-3</v>
      </c>
      <c r="BW67" s="81">
        <v>92.16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296</v>
      </c>
      <c r="CR67" s="244">
        <v>7.7100000000000002E-2</v>
      </c>
      <c r="CS67" s="243">
        <v>3831.7</v>
      </c>
      <c r="CT67" s="243" t="s">
        <v>420</v>
      </c>
      <c r="CU67" s="244">
        <v>2E-16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53"/>
        <v>0.68899999999999995</v>
      </c>
      <c r="DA67" s="245" t="s">
        <v>317</v>
      </c>
      <c r="DD67" s="278" t="s">
        <v>460</v>
      </c>
      <c r="DE67" s="274" t="s">
        <v>345</v>
      </c>
      <c r="DF67" s="274" t="s">
        <v>318</v>
      </c>
      <c r="DG67" s="278">
        <f>AP35</f>
        <v>0.70592001941770532</v>
      </c>
      <c r="DH67" s="278" t="s">
        <v>317</v>
      </c>
      <c r="DJ67" s="280" t="s">
        <v>373</v>
      </c>
      <c r="DK67" s="280" t="s">
        <v>388</v>
      </c>
      <c r="DL67" s="284">
        <v>291</v>
      </c>
      <c r="DM67" s="284">
        <v>0.29899999999999999</v>
      </c>
      <c r="DN67" s="284">
        <v>972.1</v>
      </c>
      <c r="DO67" s="280" t="s">
        <v>420</v>
      </c>
      <c r="DP67" s="284">
        <v>2E-16</v>
      </c>
      <c r="DQ67" s="280" t="s">
        <v>385</v>
      </c>
      <c r="DR67" s="281" t="s">
        <v>460</v>
      </c>
      <c r="DS67" s="288" t="s">
        <v>345</v>
      </c>
      <c r="DT67" s="282" t="s">
        <v>318</v>
      </c>
      <c r="DU67" s="283">
        <f t="shared" si="54"/>
        <v>0.63500000000000001</v>
      </c>
      <c r="DV67" s="281" t="s">
        <v>317</v>
      </c>
    </row>
    <row r="68" spans="55:126" thickTop="1" thickBot="1" x14ac:dyDescent="0.3"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S68" s="81" t="s">
        <v>373</v>
      </c>
      <c r="BT68" s="81" t="s">
        <v>405</v>
      </c>
      <c r="BU68" s="166">
        <v>0.11700000000000001</v>
      </c>
      <c r="BV68" s="166">
        <v>3.1700000000000001E-4</v>
      </c>
      <c r="BW68" s="81">
        <v>369.23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8.3500000000000005E-2</v>
      </c>
      <c r="CR68" s="244">
        <v>2.3099999999999999E-2</v>
      </c>
      <c r="CS68" s="243">
        <v>3.61</v>
      </c>
      <c r="CT68" s="244">
        <v>2.9999999999999997E-4</v>
      </c>
      <c r="CU68" s="244" t="s">
        <v>385</v>
      </c>
      <c r="CW68" s="245" t="s">
        <v>460</v>
      </c>
      <c r="CX68" s="251" t="s">
        <v>431</v>
      </c>
      <c r="CY68" s="246" t="s">
        <v>318</v>
      </c>
      <c r="CZ68" s="247">
        <f t="shared" si="53"/>
        <v>2.7300000000000001E-2</v>
      </c>
      <c r="DA68" s="245" t="s">
        <v>317</v>
      </c>
      <c r="DD68" s="278" t="s">
        <v>460</v>
      </c>
      <c r="DE68" s="274" t="s">
        <v>431</v>
      </c>
      <c r="DF68" s="274" t="s">
        <v>318</v>
      </c>
      <c r="DG68" s="278">
        <f>AP47</f>
        <v>2.8453680629860093E-2</v>
      </c>
      <c r="DH68" s="278" t="s">
        <v>317</v>
      </c>
      <c r="DJ68" s="280" t="s">
        <v>373</v>
      </c>
      <c r="DK68" s="280" t="s">
        <v>442</v>
      </c>
      <c r="DL68" s="284">
        <v>1.6899999999999999E-8</v>
      </c>
      <c r="DM68" s="284">
        <v>1.31E-7</v>
      </c>
      <c r="DN68" s="284">
        <v>0.13</v>
      </c>
      <c r="DO68" s="284">
        <v>0.89800000000000002</v>
      </c>
      <c r="DP68" s="284"/>
      <c r="DR68" s="281" t="s">
        <v>460</v>
      </c>
      <c r="DS68" s="288" t="s">
        <v>431</v>
      </c>
      <c r="DT68" s="282" t="s">
        <v>318</v>
      </c>
      <c r="DU68" s="283">
        <f t="shared" si="54"/>
        <v>2.6499999999999999E-2</v>
      </c>
      <c r="DV68" s="281" t="s">
        <v>317</v>
      </c>
    </row>
    <row r="69" spans="55:126" thickTop="1" thickBot="1" x14ac:dyDescent="0.3"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S69" s="81" t="s">
        <v>373</v>
      </c>
      <c r="BT69" s="81" t="s">
        <v>407</v>
      </c>
      <c r="BU69" s="166">
        <v>298</v>
      </c>
      <c r="BV69" s="166">
        <v>1.43</v>
      </c>
      <c r="BW69" s="81">
        <v>208.33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1.1100000000000001</v>
      </c>
      <c r="CR69" s="244">
        <v>4.07E-2</v>
      </c>
      <c r="CS69" s="243">
        <v>27.4</v>
      </c>
      <c r="CT69" s="243" t="s">
        <v>420</v>
      </c>
      <c r="CU69" s="244">
        <v>2E-16</v>
      </c>
      <c r="CV69" s="81" t="s">
        <v>385</v>
      </c>
      <c r="CY69" s="246"/>
      <c r="DD69" s="278"/>
      <c r="DE69" s="278"/>
      <c r="DF69" s="274"/>
      <c r="DG69" s="278"/>
      <c r="DH69" s="278"/>
      <c r="DJ69" s="280" t="s">
        <v>373</v>
      </c>
      <c r="DK69" s="280" t="s">
        <v>336</v>
      </c>
      <c r="DL69" s="284">
        <v>5.5000000000000003E-8</v>
      </c>
      <c r="DM69" s="284">
        <v>1.7400000000000001E-6</v>
      </c>
      <c r="DN69" s="284">
        <v>0.03</v>
      </c>
      <c r="DO69" s="280">
        <v>0.97499999999999998</v>
      </c>
      <c r="DP69" s="284"/>
      <c r="DT69" s="282"/>
    </row>
    <row r="70" spans="55:126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S70" s="81" t="s">
        <v>373</v>
      </c>
      <c r="BT70" s="81" t="s">
        <v>290</v>
      </c>
      <c r="BU70" s="166">
        <v>120</v>
      </c>
      <c r="BV70" s="166">
        <v>0.72799999999999998</v>
      </c>
      <c r="BW70" s="81">
        <v>164.9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0.46400000000000002</v>
      </c>
      <c r="CR70" s="244">
        <v>1.15E-2</v>
      </c>
      <c r="CS70" s="243">
        <v>40.51</v>
      </c>
      <c r="CT70" s="243" t="s">
        <v>420</v>
      </c>
      <c r="CU70" s="244">
        <v>2E-16</v>
      </c>
      <c r="CV70" s="81" t="s">
        <v>385</v>
      </c>
      <c r="CW70" s="245" t="s">
        <v>460</v>
      </c>
      <c r="CX70" s="251" t="s">
        <v>347</v>
      </c>
      <c r="CY70" s="246" t="s">
        <v>318</v>
      </c>
      <c r="CZ70" s="247">
        <f>CQ96</f>
        <v>272</v>
      </c>
      <c r="DA70" s="245" t="s">
        <v>317</v>
      </c>
      <c r="DD70" s="278" t="s">
        <v>460</v>
      </c>
      <c r="DE70" s="274" t="s">
        <v>347</v>
      </c>
      <c r="DF70" s="274" t="s">
        <v>318</v>
      </c>
      <c r="DG70" s="278">
        <f>AP37</f>
        <v>250.49882956782048</v>
      </c>
      <c r="DH70" s="278" t="s">
        <v>317</v>
      </c>
      <c r="DJ70" s="280" t="s">
        <v>373</v>
      </c>
      <c r="DK70" s="280" t="s">
        <v>443</v>
      </c>
      <c r="DL70" s="284">
        <v>2.03E-8</v>
      </c>
      <c r="DM70" s="284">
        <v>8.0100000000000004E-7</v>
      </c>
      <c r="DN70" s="284">
        <v>0.03</v>
      </c>
      <c r="DO70" s="280">
        <v>0.98</v>
      </c>
      <c r="DP70" s="284"/>
      <c r="DR70" s="281" t="s">
        <v>460</v>
      </c>
      <c r="DS70" s="288" t="s">
        <v>347</v>
      </c>
      <c r="DT70" s="282" t="s">
        <v>318</v>
      </c>
      <c r="DU70" s="283">
        <f>DL96</f>
        <v>273</v>
      </c>
      <c r="DV70" s="281" t="s">
        <v>317</v>
      </c>
    </row>
    <row r="71" spans="55:126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120</v>
      </c>
      <c r="BU71" s="166">
        <v>69.5</v>
      </c>
      <c r="BV71" s="166">
        <v>2.5499999999999998</v>
      </c>
      <c r="BW71" s="81">
        <v>27.22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0.11</v>
      </c>
      <c r="CR71" s="244">
        <v>8.9700000000000005E-3</v>
      </c>
      <c r="CS71" s="243">
        <v>12.23</v>
      </c>
      <c r="CT71" s="243" t="s">
        <v>420</v>
      </c>
      <c r="CU71" s="244">
        <v>2E-16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55">CQ97</f>
        <v>750</v>
      </c>
      <c r="DA71" s="245" t="s">
        <v>317</v>
      </c>
      <c r="DD71" s="278" t="s">
        <v>460</v>
      </c>
      <c r="DE71" s="274" t="s">
        <v>349</v>
      </c>
      <c r="DF71" s="274" t="s">
        <v>318</v>
      </c>
      <c r="DG71" s="278">
        <f>AP38</f>
        <v>681.98494298132925</v>
      </c>
      <c r="DH71" s="278" t="s">
        <v>317</v>
      </c>
      <c r="DJ71" s="280" t="s">
        <v>373</v>
      </c>
      <c r="DK71" s="280" t="s">
        <v>444</v>
      </c>
      <c r="DL71" s="284">
        <v>0.55900000000000005</v>
      </c>
      <c r="DM71" s="284">
        <v>3.6700000000000003E-2</v>
      </c>
      <c r="DN71" s="284">
        <v>15.24</v>
      </c>
      <c r="DO71" s="280" t="s">
        <v>420</v>
      </c>
      <c r="DP71" s="284">
        <v>2E-16</v>
      </c>
      <c r="DQ71" s="280" t="s">
        <v>385</v>
      </c>
      <c r="DR71" s="281" t="s">
        <v>460</v>
      </c>
      <c r="DS71" s="288" t="s">
        <v>349</v>
      </c>
      <c r="DT71" s="282" t="s">
        <v>318</v>
      </c>
      <c r="DU71" s="283">
        <f t="shared" ref="DU71:DU72" si="56">DL97</f>
        <v>843</v>
      </c>
      <c r="DV71" s="281" t="s">
        <v>317</v>
      </c>
    </row>
    <row r="72" spans="55:126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409</v>
      </c>
      <c r="BU72" s="166">
        <v>-5.14</v>
      </c>
      <c r="BV72" s="166">
        <v>1.41E-2</v>
      </c>
      <c r="BW72" s="81">
        <v>-364.74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0.89800000000000002</v>
      </c>
      <c r="CR72" s="244">
        <v>3.5000000000000003E-2</v>
      </c>
      <c r="CS72" s="243">
        <v>25.63</v>
      </c>
      <c r="CT72" s="243" t="s">
        <v>420</v>
      </c>
      <c r="CU72" s="244">
        <v>2E-16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55"/>
        <v>39.6</v>
      </c>
      <c r="DA72" s="245" t="s">
        <v>317</v>
      </c>
      <c r="DD72" s="278" t="s">
        <v>460</v>
      </c>
      <c r="DE72" s="274" t="s">
        <v>350</v>
      </c>
      <c r="DF72" s="274" t="s">
        <v>318</v>
      </c>
      <c r="DG72" s="278">
        <f>AP39</f>
        <v>57.786795219123512</v>
      </c>
      <c r="DH72" s="278" t="s">
        <v>317</v>
      </c>
      <c r="DJ72" s="280" t="s">
        <v>373</v>
      </c>
      <c r="DK72" s="280" t="s">
        <v>445</v>
      </c>
      <c r="DL72" s="284">
        <v>1.27</v>
      </c>
      <c r="DM72" s="284">
        <v>0.17100000000000001</v>
      </c>
      <c r="DN72" s="284">
        <v>7.46</v>
      </c>
      <c r="DO72" s="284">
        <v>1E-13</v>
      </c>
      <c r="DP72" s="284" t="s">
        <v>385</v>
      </c>
      <c r="DR72" s="281" t="s">
        <v>460</v>
      </c>
      <c r="DS72" s="288" t="s">
        <v>350</v>
      </c>
      <c r="DT72" s="282" t="s">
        <v>318</v>
      </c>
      <c r="DU72" s="283">
        <f t="shared" si="56"/>
        <v>77.599999999999994</v>
      </c>
      <c r="DV72" s="281" t="s">
        <v>317</v>
      </c>
    </row>
    <row r="73" spans="55:126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410</v>
      </c>
      <c r="BU73" s="166">
        <v>-5.22</v>
      </c>
      <c r="BV73" s="166">
        <v>1.5100000000000001E-2</v>
      </c>
      <c r="BW73" s="81">
        <v>-345.49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2.6000000000000001E-6</v>
      </c>
      <c r="CR73" s="244">
        <v>4.35E-5</v>
      </c>
      <c r="CS73" s="243">
        <v>0.06</v>
      </c>
      <c r="CT73" s="244">
        <v>0.95220000000000005</v>
      </c>
      <c r="CW73" s="245" t="s">
        <v>460</v>
      </c>
      <c r="CX73" s="251" t="s">
        <v>352</v>
      </c>
      <c r="CY73" s="246" t="s">
        <v>318</v>
      </c>
      <c r="CZ73" s="247">
        <f>1/CQ103</f>
        <v>460.82949308755758</v>
      </c>
      <c r="DA73" s="245" t="s">
        <v>317</v>
      </c>
      <c r="DD73" s="278" t="s">
        <v>460</v>
      </c>
      <c r="DE73" s="274" t="s">
        <v>352</v>
      </c>
      <c r="DF73" s="274" t="s">
        <v>318</v>
      </c>
      <c r="DG73" s="278">
        <f>AP40</f>
        <v>436.85967796384233</v>
      </c>
      <c r="DH73" s="278" t="s">
        <v>317</v>
      </c>
      <c r="DJ73" s="280" t="s">
        <v>373</v>
      </c>
      <c r="DK73" s="280" t="s">
        <v>337</v>
      </c>
      <c r="DL73" s="284">
        <v>0.55300000000000005</v>
      </c>
      <c r="DM73" s="284">
        <v>0.41099999999999998</v>
      </c>
      <c r="DN73" s="284">
        <v>1.34</v>
      </c>
      <c r="DO73" s="284">
        <v>0.17899999999999999</v>
      </c>
      <c r="DP73" s="284"/>
      <c r="DR73" s="281" t="s">
        <v>460</v>
      </c>
      <c r="DS73" s="288" t="s">
        <v>352</v>
      </c>
      <c r="DT73" s="282" t="s">
        <v>318</v>
      </c>
      <c r="DU73" s="283">
        <f>1/DL103</f>
        <v>4464.2857142857147</v>
      </c>
      <c r="DV73" s="281" t="s">
        <v>317</v>
      </c>
    </row>
    <row r="74" spans="55:126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S74" s="81" t="s">
        <v>373</v>
      </c>
      <c r="BT74" s="81" t="s">
        <v>411</v>
      </c>
      <c r="BU74" s="166">
        <v>-5.62</v>
      </c>
      <c r="BV74" s="166">
        <v>1.6E-2</v>
      </c>
      <c r="BW74" s="81">
        <v>-351.63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0.74099999999999999</v>
      </c>
      <c r="CR74" s="244">
        <v>1.54E-2</v>
      </c>
      <c r="CS74" s="243">
        <v>47.98</v>
      </c>
      <c r="CT74" s="243" t="s">
        <v>420</v>
      </c>
      <c r="CU74" s="244">
        <v>2E-16</v>
      </c>
      <c r="CV74" s="81" t="s">
        <v>385</v>
      </c>
      <c r="CY74" s="246"/>
      <c r="DD74" s="278"/>
      <c r="DE74" s="278"/>
      <c r="DF74" s="274"/>
      <c r="DG74" s="278"/>
      <c r="DH74" s="278"/>
      <c r="DJ74" s="280" t="s">
        <v>373</v>
      </c>
      <c r="DK74" s="280" t="s">
        <v>446</v>
      </c>
      <c r="DL74" s="284">
        <v>1.27</v>
      </c>
      <c r="DM74" s="284">
        <v>6.8000000000000005E-2</v>
      </c>
      <c r="DN74" s="284">
        <v>18.66</v>
      </c>
      <c r="DO74" s="280" t="s">
        <v>420</v>
      </c>
      <c r="DP74" s="284">
        <v>2E-16</v>
      </c>
      <c r="DQ74" s="280" t="s">
        <v>385</v>
      </c>
      <c r="DT74" s="282"/>
    </row>
    <row r="75" spans="55:126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412</v>
      </c>
      <c r="BU75" s="166">
        <v>-5.44</v>
      </c>
      <c r="BV75" s="166">
        <v>1.4999999999999999E-2</v>
      </c>
      <c r="BW75" s="81">
        <v>-361.47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0.56799999999999995</v>
      </c>
      <c r="CR75" s="244">
        <v>2.12E-2</v>
      </c>
      <c r="CS75" s="243">
        <v>26.82</v>
      </c>
      <c r="CT75" s="243" t="s">
        <v>420</v>
      </c>
      <c r="CU75" s="244">
        <v>2E-16</v>
      </c>
      <c r="CV75" s="81" t="s">
        <v>385</v>
      </c>
      <c r="CW75" s="245" t="s">
        <v>460</v>
      </c>
      <c r="CX75" s="251" t="s">
        <v>424</v>
      </c>
      <c r="CY75" s="246" t="s">
        <v>318</v>
      </c>
      <c r="CZ75" s="247">
        <f>CQ112</f>
        <v>998000000</v>
      </c>
      <c r="DA75" s="245" t="s">
        <v>317</v>
      </c>
      <c r="DD75" s="278" t="s">
        <v>460</v>
      </c>
      <c r="DE75" s="274" t="s">
        <v>424</v>
      </c>
      <c r="DF75" s="274" t="s">
        <v>318</v>
      </c>
      <c r="DG75" s="278">
        <f>AP44</f>
        <v>2189622.4999999995</v>
      </c>
      <c r="DH75" s="278" t="s">
        <v>317</v>
      </c>
      <c r="DJ75" s="280" t="s">
        <v>373</v>
      </c>
      <c r="DK75" s="280" t="s">
        <v>447</v>
      </c>
      <c r="DL75" s="284">
        <v>0.32800000000000001</v>
      </c>
      <c r="DM75" s="284">
        <v>8.1500000000000003E-2</v>
      </c>
      <c r="DN75" s="284">
        <v>4.0199999999999996</v>
      </c>
      <c r="DO75" s="284">
        <v>5.8999999999999998E-5</v>
      </c>
      <c r="DP75" s="284" t="s">
        <v>385</v>
      </c>
      <c r="DR75" s="281" t="s">
        <v>460</v>
      </c>
      <c r="DS75" s="288" t="s">
        <v>424</v>
      </c>
      <c r="DT75" s="282" t="s">
        <v>318</v>
      </c>
      <c r="DU75" s="283">
        <f>DL112</f>
        <v>998000000</v>
      </c>
      <c r="DV75" s="281" t="s">
        <v>317</v>
      </c>
    </row>
    <row r="76" spans="55:126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S76" s="81" t="s">
        <v>373</v>
      </c>
      <c r="BT76" s="81" t="s">
        <v>414</v>
      </c>
      <c r="BU76" s="166">
        <v>1.01E-4</v>
      </c>
      <c r="BV76" s="166">
        <v>3.2899999999999998E-6</v>
      </c>
      <c r="BW76" s="81">
        <v>30.66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9.02E-6</v>
      </c>
      <c r="CR76" s="244">
        <v>2.6200000000000003E-4</v>
      </c>
      <c r="CS76" s="243">
        <v>0.03</v>
      </c>
      <c r="CT76" s="244">
        <v>0.97250000000000003</v>
      </c>
      <c r="CU76" s="244"/>
      <c r="CW76" s="245" t="s">
        <v>460</v>
      </c>
      <c r="CX76" s="251" t="s">
        <v>359</v>
      </c>
      <c r="CY76" s="246" t="s">
        <v>318</v>
      </c>
      <c r="CZ76" s="247">
        <f>CQ113</f>
        <v>44400000</v>
      </c>
      <c r="DA76" s="245" t="s">
        <v>317</v>
      </c>
      <c r="DD76" s="278" t="s">
        <v>460</v>
      </c>
      <c r="DE76" s="274" t="s">
        <v>359</v>
      </c>
      <c r="DF76" s="274" t="s">
        <v>318</v>
      </c>
      <c r="DG76" s="278">
        <f>AP45</f>
        <v>2189622.4999999995</v>
      </c>
      <c r="DH76" s="278" t="s">
        <v>317</v>
      </c>
      <c r="DJ76" s="280" t="s">
        <v>373</v>
      </c>
      <c r="DK76" s="280" t="s">
        <v>448</v>
      </c>
      <c r="DL76" s="284">
        <v>5.2799999999999996E-7</v>
      </c>
      <c r="DM76" s="284">
        <v>1.9700000000000001E-5</v>
      </c>
      <c r="DN76" s="284">
        <v>0.03</v>
      </c>
      <c r="DO76" s="284">
        <v>0.97899999999999998</v>
      </c>
      <c r="DP76" s="284"/>
      <c r="DR76" s="281" t="s">
        <v>460</v>
      </c>
      <c r="DS76" s="288" t="s">
        <v>359</v>
      </c>
      <c r="DT76" s="282" t="s">
        <v>318</v>
      </c>
      <c r="DU76" s="283">
        <f>DL113</f>
        <v>44400000</v>
      </c>
      <c r="DV76" s="281" t="s">
        <v>317</v>
      </c>
    </row>
    <row r="77" spans="55:126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S77" s="81" t="s">
        <v>373</v>
      </c>
      <c r="BT77" s="81" t="s">
        <v>415</v>
      </c>
      <c r="BU77" s="166">
        <v>252</v>
      </c>
      <c r="BV77" s="166">
        <v>1.62</v>
      </c>
      <c r="BW77" s="81">
        <v>155.62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2.4899999999999999E-6</v>
      </c>
      <c r="CR77" s="244">
        <v>1.36E-4</v>
      </c>
      <c r="CS77" s="243">
        <v>0.02</v>
      </c>
      <c r="CT77" s="243">
        <v>0.98540000000000005</v>
      </c>
      <c r="CW77" s="245" t="s">
        <v>460</v>
      </c>
      <c r="CX77" s="251" t="s">
        <v>365</v>
      </c>
      <c r="CY77" s="246" t="s">
        <v>318</v>
      </c>
      <c r="CZ77" s="247">
        <f>CQ120</f>
        <v>71</v>
      </c>
      <c r="DA77" s="245" t="s">
        <v>317</v>
      </c>
      <c r="DD77" s="278" t="s">
        <v>460</v>
      </c>
      <c r="DE77" s="274" t="s">
        <v>365</v>
      </c>
      <c r="DF77" s="274" t="s">
        <v>318</v>
      </c>
      <c r="DG77" s="278">
        <f>AP48</f>
        <v>277.72095608671481</v>
      </c>
      <c r="DH77" s="278" t="s">
        <v>317</v>
      </c>
      <c r="DJ77" s="280" t="s">
        <v>373</v>
      </c>
      <c r="DK77" s="280" t="s">
        <v>338</v>
      </c>
      <c r="DL77" s="284">
        <v>1.1499999999999999</v>
      </c>
      <c r="DM77" s="284">
        <v>0.46</v>
      </c>
      <c r="DN77" s="284">
        <v>2.4900000000000002</v>
      </c>
      <c r="DO77" s="280">
        <v>1.2999999999999999E-2</v>
      </c>
      <c r="DP77" s="280" t="s">
        <v>418</v>
      </c>
      <c r="DR77" s="281" t="s">
        <v>460</v>
      </c>
      <c r="DS77" s="288" t="s">
        <v>365</v>
      </c>
      <c r="DT77" s="282" t="s">
        <v>318</v>
      </c>
      <c r="DU77" s="283">
        <f>DL120</f>
        <v>71</v>
      </c>
      <c r="DV77" s="281" t="s">
        <v>317</v>
      </c>
    </row>
    <row r="78" spans="55:126" thickTop="1" thickBot="1" x14ac:dyDescent="0.3">
      <c r="BS78" s="81" t="s">
        <v>373</v>
      </c>
      <c r="BT78" s="81" t="s">
        <v>416</v>
      </c>
      <c r="BU78" s="166">
        <v>5430</v>
      </c>
      <c r="BV78" s="166">
        <v>185</v>
      </c>
      <c r="BW78" s="81">
        <v>29.43</v>
      </c>
      <c r="BX78" s="81" t="s">
        <v>420</v>
      </c>
      <c r="BY78" s="166">
        <v>2E-16</v>
      </c>
      <c r="BZ78" s="81" t="s">
        <v>385</v>
      </c>
      <c r="CO78" s="243" t="s">
        <v>373</v>
      </c>
      <c r="CP78" s="243" t="s">
        <v>449</v>
      </c>
      <c r="CQ78" s="244">
        <v>2.1699999999999999E-8</v>
      </c>
      <c r="CR78" s="244">
        <v>2.12E-6</v>
      </c>
      <c r="CS78" s="243">
        <v>0.01</v>
      </c>
      <c r="CT78" s="243">
        <v>0.99180000000000001</v>
      </c>
      <c r="CW78" s="245" t="s">
        <v>460</v>
      </c>
      <c r="CX78" s="251" t="s">
        <v>367</v>
      </c>
      <c r="CY78" s="246" t="s">
        <v>318</v>
      </c>
      <c r="CZ78" s="247">
        <f t="shared" ref="CZ78:CZ79" si="57">CQ121</f>
        <v>2530</v>
      </c>
      <c r="DA78" s="245" t="s">
        <v>317</v>
      </c>
      <c r="DD78" s="278" t="s">
        <v>460</v>
      </c>
      <c r="DE78" s="274" t="s">
        <v>367</v>
      </c>
      <c r="DF78" s="274" t="s">
        <v>318</v>
      </c>
      <c r="DG78" s="278">
        <f>AP49</f>
        <v>138.8604780433574</v>
      </c>
      <c r="DH78" s="278" t="s">
        <v>317</v>
      </c>
      <c r="DJ78" s="280" t="s">
        <v>373</v>
      </c>
      <c r="DK78" s="280" t="s">
        <v>449</v>
      </c>
      <c r="DL78" s="284">
        <v>2.83E-6</v>
      </c>
      <c r="DM78" s="284">
        <v>1.13E-4</v>
      </c>
      <c r="DN78" s="284">
        <v>0.02</v>
      </c>
      <c r="DO78" s="280">
        <v>0.98</v>
      </c>
      <c r="DR78" s="281" t="s">
        <v>460</v>
      </c>
      <c r="DS78" s="288" t="s">
        <v>367</v>
      </c>
      <c r="DT78" s="282" t="s">
        <v>318</v>
      </c>
      <c r="DU78" s="283">
        <f t="shared" ref="DU78:DU79" si="58">DL121</f>
        <v>2530</v>
      </c>
      <c r="DV78" s="281" t="s">
        <v>317</v>
      </c>
    </row>
    <row r="79" spans="55:126" thickTop="1" thickBot="1" x14ac:dyDescent="0.3">
      <c r="BC79" s="81" t="s">
        <v>373</v>
      </c>
      <c r="BD79" s="81" t="s">
        <v>374</v>
      </c>
      <c r="BE79" s="81" t="s">
        <v>429</v>
      </c>
      <c r="CO79" s="243" t="s">
        <v>373</v>
      </c>
      <c r="CP79" s="243" t="s">
        <v>450</v>
      </c>
      <c r="CQ79" s="244">
        <v>0.215</v>
      </c>
      <c r="CR79" s="244">
        <v>2.6200000000000001E-2</v>
      </c>
      <c r="CS79" s="243">
        <v>8.2100000000000009</v>
      </c>
      <c r="CT79" s="244">
        <v>2.2E-16</v>
      </c>
      <c r="CU79" s="243" t="s">
        <v>385</v>
      </c>
      <c r="CW79" s="245" t="s">
        <v>460</v>
      </c>
      <c r="CX79" s="251" t="s">
        <v>369</v>
      </c>
      <c r="CY79" s="246" t="s">
        <v>318</v>
      </c>
      <c r="CZ79" s="247">
        <f t="shared" si="57"/>
        <v>64.099999999999994</v>
      </c>
      <c r="DA79" s="245" t="s">
        <v>317</v>
      </c>
      <c r="DD79" s="278" t="s">
        <v>460</v>
      </c>
      <c r="DE79" s="274" t="s">
        <v>369</v>
      </c>
      <c r="DF79" s="274" t="s">
        <v>318</v>
      </c>
      <c r="DG79" s="278">
        <f>AP50</f>
        <v>277.72095608671481</v>
      </c>
      <c r="DH79" s="278" t="s">
        <v>317</v>
      </c>
      <c r="DJ79" s="280" t="s">
        <v>373</v>
      </c>
      <c r="DK79" s="280" t="s">
        <v>450</v>
      </c>
      <c r="DL79" s="284">
        <v>0.23899999999999999</v>
      </c>
      <c r="DM79" s="284">
        <v>0.11799999999999999</v>
      </c>
      <c r="DN79" s="284">
        <v>2.0299999999999998</v>
      </c>
      <c r="DO79" s="284">
        <v>4.2999999999999997E-2</v>
      </c>
      <c r="DP79" s="280" t="s">
        <v>418</v>
      </c>
      <c r="DR79" s="281" t="s">
        <v>460</v>
      </c>
      <c r="DS79" s="288" t="s">
        <v>369</v>
      </c>
      <c r="DT79" s="282" t="s">
        <v>318</v>
      </c>
      <c r="DU79" s="283">
        <f t="shared" si="58"/>
        <v>64.099999999999994</v>
      </c>
      <c r="DV79" s="281" t="s">
        <v>317</v>
      </c>
    </row>
    <row r="80" spans="55:126" thickTop="1" thickBot="1" x14ac:dyDescent="0.3">
      <c r="BC80" s="81" t="s">
        <v>373</v>
      </c>
      <c r="BD80" s="81" t="s">
        <v>376</v>
      </c>
      <c r="CO80" s="243" t="s">
        <v>373</v>
      </c>
      <c r="CP80" s="243" t="s">
        <v>451</v>
      </c>
      <c r="CQ80" s="244">
        <v>0.06</v>
      </c>
      <c r="CR80" s="244">
        <v>9.5099999999999994E-3</v>
      </c>
      <c r="CS80" s="243">
        <v>6.31</v>
      </c>
      <c r="CT80" s="244">
        <v>2.8999999999999998E-10</v>
      </c>
      <c r="CU80" s="244" t="s">
        <v>385</v>
      </c>
      <c r="DJ80" s="280" t="s">
        <v>373</v>
      </c>
      <c r="DK80" s="280" t="s">
        <v>451</v>
      </c>
      <c r="DL80" s="284">
        <v>4.6600000000000003E-2</v>
      </c>
      <c r="DM80" s="284">
        <v>3.56E-2</v>
      </c>
      <c r="DN80" s="284">
        <v>1.31</v>
      </c>
      <c r="DO80" s="284">
        <v>0.191</v>
      </c>
      <c r="DP80" s="284"/>
    </row>
    <row r="81" spans="55:121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S81" s="81" t="s">
        <v>373</v>
      </c>
      <c r="BT81" s="81" t="s">
        <v>374</v>
      </c>
      <c r="BU81" s="81" t="s">
        <v>421</v>
      </c>
      <c r="CO81" s="243" t="s">
        <v>373</v>
      </c>
      <c r="CP81" s="243" t="s">
        <v>452</v>
      </c>
      <c r="CQ81" s="244">
        <v>3.3700000000000001E-9</v>
      </c>
      <c r="CR81" s="244">
        <v>1.4999999999999999E-7</v>
      </c>
      <c r="CS81" s="243">
        <v>0.02</v>
      </c>
      <c r="CT81" s="243">
        <v>0.98199999999999998</v>
      </c>
      <c r="DJ81" s="280" t="s">
        <v>373</v>
      </c>
      <c r="DK81" s="280" t="s">
        <v>452</v>
      </c>
      <c r="DL81" s="284">
        <v>7.6799999999999999E-9</v>
      </c>
      <c r="DM81" s="284">
        <v>1.15E-7</v>
      </c>
      <c r="DN81" s="284">
        <v>7.0000000000000007E-2</v>
      </c>
      <c r="DO81" s="280">
        <v>0.94699999999999995</v>
      </c>
      <c r="DP81" s="284"/>
    </row>
    <row r="82" spans="55:121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376</v>
      </c>
      <c r="CO82" s="243" t="s">
        <v>373</v>
      </c>
      <c r="CP82" s="243" t="s">
        <v>453</v>
      </c>
      <c r="CQ82" s="244">
        <v>3.6700000000000003E-2</v>
      </c>
      <c r="CR82" s="244">
        <v>5.9199999999999999E-3</v>
      </c>
      <c r="CS82" s="243">
        <v>6.19</v>
      </c>
      <c r="CT82" s="244">
        <v>6.2000000000000003E-10</v>
      </c>
      <c r="CU82" s="244" t="s">
        <v>385</v>
      </c>
      <c r="DJ82" s="280" t="s">
        <v>373</v>
      </c>
      <c r="DK82" s="280" t="s">
        <v>453</v>
      </c>
      <c r="DL82" s="284">
        <v>4.7600000000000003E-2</v>
      </c>
      <c r="DM82" s="284">
        <v>1.9599999999999999E-2</v>
      </c>
      <c r="DN82" s="284">
        <v>2.4300000000000002</v>
      </c>
      <c r="DO82" s="284">
        <v>1.4999999999999999E-2</v>
      </c>
      <c r="DP82" s="284" t="s">
        <v>418</v>
      </c>
    </row>
    <row r="83" spans="55:121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377</v>
      </c>
      <c r="BU83" s="81" t="s">
        <v>378</v>
      </c>
      <c r="BV83" s="81" t="s">
        <v>379</v>
      </c>
      <c r="BW83" s="81" t="s">
        <v>380</v>
      </c>
      <c r="BX83" s="81" t="s">
        <v>381</v>
      </c>
      <c r="BY83" s="81" t="s">
        <v>382</v>
      </c>
      <c r="CO83" s="243" t="s">
        <v>373</v>
      </c>
      <c r="CP83" s="243" t="s">
        <v>454</v>
      </c>
      <c r="CQ83" s="244">
        <v>8.4900000000000003E-2</v>
      </c>
      <c r="CR83" s="244">
        <v>4.6800000000000001E-3</v>
      </c>
      <c r="CS83" s="243">
        <v>18.14</v>
      </c>
      <c r="CT83" s="243" t="s">
        <v>420</v>
      </c>
      <c r="CU83" s="244">
        <v>2E-16</v>
      </c>
      <c r="CV83" s="81" t="s">
        <v>385</v>
      </c>
      <c r="DJ83" s="280" t="s">
        <v>373</v>
      </c>
      <c r="DK83" s="280" t="s">
        <v>454</v>
      </c>
      <c r="DL83" s="284">
        <v>0.11899999999999999</v>
      </c>
      <c r="DM83" s="284">
        <v>1.7299999999999999E-2</v>
      </c>
      <c r="DN83" s="284">
        <v>6.86</v>
      </c>
      <c r="DO83" s="284">
        <v>7.8999999999999999E-12</v>
      </c>
      <c r="DP83" s="284" t="s">
        <v>385</v>
      </c>
    </row>
    <row r="84" spans="55:121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422</v>
      </c>
      <c r="BU84" s="166">
        <v>289</v>
      </c>
      <c r="BV84" s="166">
        <v>0.34499999999999997</v>
      </c>
      <c r="BW84" s="81">
        <v>837.17</v>
      </c>
      <c r="BX84" s="81" t="s">
        <v>420</v>
      </c>
      <c r="BY84" s="166">
        <v>2E-16</v>
      </c>
      <c r="BZ84" s="81" t="s">
        <v>385</v>
      </c>
      <c r="CO84" s="243" t="s">
        <v>373</v>
      </c>
      <c r="CP84" s="243" t="s">
        <v>303</v>
      </c>
      <c r="CQ84" s="244">
        <v>275000000</v>
      </c>
      <c r="CR84" s="244">
        <v>8190000</v>
      </c>
      <c r="CS84" s="243">
        <v>33.56</v>
      </c>
      <c r="CT84" s="244" t="s">
        <v>420</v>
      </c>
      <c r="CU84" s="244">
        <v>2E-16</v>
      </c>
      <c r="CV84" s="81" t="s">
        <v>385</v>
      </c>
      <c r="DJ84" s="280" t="s">
        <v>373</v>
      </c>
      <c r="DK84" s="280" t="s">
        <v>303</v>
      </c>
      <c r="DL84" s="284">
        <v>2520000</v>
      </c>
      <c r="DM84" s="284">
        <v>111000</v>
      </c>
      <c r="DN84" s="284">
        <v>22.62</v>
      </c>
      <c r="DO84" s="284" t="s">
        <v>420</v>
      </c>
      <c r="DP84" s="284">
        <v>2E-16</v>
      </c>
      <c r="DQ84" s="280" t="s">
        <v>385</v>
      </c>
    </row>
    <row r="85" spans="55:121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423</v>
      </c>
      <c r="BU85" s="166">
        <v>292</v>
      </c>
      <c r="BV85" s="166">
        <v>0.36699999999999999</v>
      </c>
      <c r="BW85" s="81">
        <v>796.26</v>
      </c>
      <c r="BX85" s="81" t="s">
        <v>420</v>
      </c>
      <c r="BY85" s="166">
        <v>2E-16</v>
      </c>
      <c r="BZ85" s="81" t="s">
        <v>385</v>
      </c>
      <c r="CO85" s="243" t="s">
        <v>373</v>
      </c>
      <c r="CP85" s="243" t="s">
        <v>395</v>
      </c>
      <c r="CQ85" s="244">
        <v>2500000</v>
      </c>
      <c r="CR85" s="244">
        <v>9270</v>
      </c>
      <c r="CS85" s="243">
        <v>269.67</v>
      </c>
      <c r="CT85" s="243" t="s">
        <v>420</v>
      </c>
      <c r="CU85" s="244">
        <v>2E-16</v>
      </c>
      <c r="CV85" s="81" t="s">
        <v>385</v>
      </c>
      <c r="DJ85" s="280" t="s">
        <v>373</v>
      </c>
      <c r="DK85" s="280" t="s">
        <v>395</v>
      </c>
      <c r="DL85" s="284">
        <v>1170000</v>
      </c>
      <c r="DM85" s="284">
        <v>33600</v>
      </c>
      <c r="DN85" s="284">
        <v>34.770000000000003</v>
      </c>
      <c r="DO85" s="280" t="s">
        <v>420</v>
      </c>
      <c r="DP85" s="284">
        <v>2E-16</v>
      </c>
      <c r="DQ85" s="280" t="s">
        <v>385</v>
      </c>
    </row>
    <row r="86" spans="55:121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353</v>
      </c>
      <c r="BU86" s="166">
        <v>9.84</v>
      </c>
      <c r="BV86" s="166">
        <v>1.27</v>
      </c>
      <c r="BW86" s="81">
        <v>7.73</v>
      </c>
      <c r="BX86" s="166">
        <v>1.4E-14</v>
      </c>
      <c r="BY86" s="81" t="s">
        <v>385</v>
      </c>
      <c r="CO86" s="243" t="s">
        <v>373</v>
      </c>
      <c r="CP86" s="243" t="s">
        <v>296</v>
      </c>
      <c r="CQ86" s="244">
        <v>27800000</v>
      </c>
      <c r="CR86" s="244">
        <v>563000</v>
      </c>
      <c r="CS86" s="243">
        <v>49.32</v>
      </c>
      <c r="CT86" s="243" t="s">
        <v>420</v>
      </c>
      <c r="CU86" s="244">
        <v>2E-16</v>
      </c>
      <c r="CV86" s="81" t="s">
        <v>385</v>
      </c>
      <c r="DJ86" s="280" t="s">
        <v>373</v>
      </c>
      <c r="DK86" s="280" t="s">
        <v>296</v>
      </c>
      <c r="DL86" s="284">
        <v>63800000</v>
      </c>
      <c r="DM86" s="284">
        <v>12500000</v>
      </c>
      <c r="DN86" s="284">
        <v>5.09</v>
      </c>
      <c r="DO86" s="284">
        <v>3.7E-7</v>
      </c>
      <c r="DP86" s="284" t="s">
        <v>385</v>
      </c>
    </row>
    <row r="87" spans="55:121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355</v>
      </c>
      <c r="BU87" s="166">
        <v>1.35</v>
      </c>
      <c r="BV87" s="166">
        <v>0.24399999999999999</v>
      </c>
      <c r="BW87" s="81">
        <v>5.54</v>
      </c>
      <c r="BX87" s="166">
        <v>3.1E-8</v>
      </c>
      <c r="BY87" s="81" t="s">
        <v>385</v>
      </c>
      <c r="CO87" s="243" t="s">
        <v>373</v>
      </c>
      <c r="CP87" s="243" t="s">
        <v>298</v>
      </c>
      <c r="CQ87" s="244">
        <v>24900000</v>
      </c>
      <c r="CR87" s="244">
        <v>454000</v>
      </c>
      <c r="CS87" s="243">
        <v>54.72</v>
      </c>
      <c r="CT87" s="243" t="s">
        <v>420</v>
      </c>
      <c r="CU87" s="244">
        <v>2E-16</v>
      </c>
      <c r="CV87" s="81" t="s">
        <v>385</v>
      </c>
      <c r="DJ87" s="280" t="s">
        <v>373</v>
      </c>
      <c r="DK87" s="280" t="s">
        <v>298</v>
      </c>
      <c r="DL87" s="284">
        <v>38000000</v>
      </c>
      <c r="DM87" s="284">
        <v>952000</v>
      </c>
      <c r="DN87" s="284">
        <v>39.909999999999997</v>
      </c>
      <c r="DO87" s="280" t="s">
        <v>420</v>
      </c>
      <c r="DP87" s="284">
        <v>2E-16</v>
      </c>
      <c r="DQ87" s="280" t="s">
        <v>385</v>
      </c>
    </row>
    <row r="88" spans="55:121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S88" s="81" t="s">
        <v>373</v>
      </c>
      <c r="BT88" s="81" t="s">
        <v>424</v>
      </c>
      <c r="BU88" s="166">
        <v>139000000</v>
      </c>
      <c r="BV88" s="166">
        <v>35000000</v>
      </c>
      <c r="BW88" s="81">
        <v>3.98</v>
      </c>
      <c r="BX88" s="166">
        <v>6.8999999999999997E-5</v>
      </c>
      <c r="BY88" s="81" t="s">
        <v>385</v>
      </c>
      <c r="CO88" s="243" t="s">
        <v>373</v>
      </c>
      <c r="CP88" s="243" t="s">
        <v>396</v>
      </c>
      <c r="CQ88" s="244">
        <v>-30.2</v>
      </c>
      <c r="CR88" s="244">
        <v>65</v>
      </c>
      <c r="CS88" s="243">
        <v>-0.47</v>
      </c>
      <c r="CT88" s="243">
        <v>0.64149999999999996</v>
      </c>
      <c r="DJ88" s="280" t="s">
        <v>373</v>
      </c>
      <c r="DK88" s="280" t="s">
        <v>396</v>
      </c>
      <c r="DL88" s="284">
        <v>-21.2</v>
      </c>
      <c r="DM88" s="284">
        <v>9.64</v>
      </c>
      <c r="DN88" s="284">
        <v>-2.2000000000000002</v>
      </c>
      <c r="DO88" s="280">
        <v>2.8000000000000001E-2</v>
      </c>
      <c r="DP88" s="284" t="s">
        <v>418</v>
      </c>
    </row>
    <row r="89" spans="55:121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S89" s="81" t="s">
        <v>373</v>
      </c>
      <c r="BT89" s="81" t="s">
        <v>359</v>
      </c>
      <c r="BU89" s="166">
        <v>18800000</v>
      </c>
      <c r="BV89" s="166">
        <v>2330000</v>
      </c>
      <c r="BW89" s="81">
        <v>8.09</v>
      </c>
      <c r="BX89" s="166">
        <v>6.7000000000000004E-16</v>
      </c>
      <c r="BY89" s="81" t="s">
        <v>385</v>
      </c>
      <c r="CO89" s="243" t="s">
        <v>373</v>
      </c>
      <c r="CP89" s="243" t="s">
        <v>397</v>
      </c>
      <c r="CQ89" s="244">
        <v>-15.9</v>
      </c>
      <c r="CR89" s="244">
        <v>12.1</v>
      </c>
      <c r="CS89" s="243">
        <v>-1.32</v>
      </c>
      <c r="CT89" s="243">
        <v>0.1875</v>
      </c>
      <c r="DJ89" s="280" t="s">
        <v>373</v>
      </c>
      <c r="DK89" s="280" t="s">
        <v>397</v>
      </c>
      <c r="DL89" s="284">
        <v>-14</v>
      </c>
      <c r="DM89" s="284">
        <v>16.600000000000001</v>
      </c>
      <c r="DN89" s="284">
        <v>-0.84</v>
      </c>
      <c r="DO89" s="280">
        <v>0.39800000000000002</v>
      </c>
      <c r="DP89" s="284"/>
    </row>
    <row r="90" spans="55:121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401</v>
      </c>
      <c r="BU90" s="166">
        <v>8.0500000000000007</v>
      </c>
      <c r="BV90" s="166">
        <v>5.5100000000000003E-2</v>
      </c>
      <c r="BW90" s="81">
        <v>146.16999999999999</v>
      </c>
      <c r="BX90" s="81" t="s">
        <v>420</v>
      </c>
      <c r="BY90" s="166">
        <v>2E-16</v>
      </c>
      <c r="BZ90" s="81" t="s">
        <v>385</v>
      </c>
      <c r="CO90" s="243" t="s">
        <v>373</v>
      </c>
      <c r="CP90" s="243" t="s">
        <v>399</v>
      </c>
      <c r="CQ90" s="244">
        <v>-34.200000000000003</v>
      </c>
      <c r="CR90" s="244">
        <v>224</v>
      </c>
      <c r="CS90" s="243">
        <v>-0.15</v>
      </c>
      <c r="CT90" s="243">
        <v>0.87860000000000005</v>
      </c>
      <c r="DJ90" s="280" t="s">
        <v>373</v>
      </c>
      <c r="DK90" s="280" t="s">
        <v>399</v>
      </c>
      <c r="DL90" s="284">
        <v>-12.2</v>
      </c>
      <c r="DM90" s="284">
        <v>9.1199999999999992</v>
      </c>
      <c r="DN90" s="284">
        <v>-1.33</v>
      </c>
      <c r="DO90" s="280">
        <v>0.183</v>
      </c>
      <c r="DP90" s="284"/>
    </row>
    <row r="91" spans="55:121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425</v>
      </c>
      <c r="BU91" s="166">
        <v>10</v>
      </c>
      <c r="BV91" s="166">
        <v>2.14E-3</v>
      </c>
      <c r="BW91" s="81">
        <v>4675.1499999999996</v>
      </c>
      <c r="BX91" s="81" t="s">
        <v>420</v>
      </c>
      <c r="BY91" s="166">
        <v>2E-16</v>
      </c>
      <c r="BZ91" s="81" t="s">
        <v>385</v>
      </c>
      <c r="CO91" s="243" t="s">
        <v>373</v>
      </c>
      <c r="CP91" s="243" t="s">
        <v>400</v>
      </c>
      <c r="CQ91" s="244">
        <v>-17.2</v>
      </c>
      <c r="CR91" s="244">
        <v>66.099999999999994</v>
      </c>
      <c r="CS91" s="243">
        <v>-0.26</v>
      </c>
      <c r="CT91" s="243">
        <v>0.79449999999999998</v>
      </c>
      <c r="DJ91" s="280" t="s">
        <v>373</v>
      </c>
      <c r="DK91" s="280" t="s">
        <v>400</v>
      </c>
      <c r="DL91" s="284">
        <v>-13.4</v>
      </c>
      <c r="DM91" s="284">
        <v>33.799999999999997</v>
      </c>
      <c r="DN91" s="284">
        <v>-0.4</v>
      </c>
      <c r="DO91" s="280">
        <v>0.69099999999999995</v>
      </c>
      <c r="DP91" s="284"/>
    </row>
    <row r="92" spans="55:121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413</v>
      </c>
      <c r="BU92" s="166">
        <v>-4.74</v>
      </c>
      <c r="BV92" s="166">
        <v>3.8199999999999998E-2</v>
      </c>
      <c r="BW92" s="81">
        <v>-124.2</v>
      </c>
      <c r="BX92" s="81" t="s">
        <v>420</v>
      </c>
      <c r="BY92" s="166">
        <v>2E-16</v>
      </c>
      <c r="BZ92" s="81" t="s">
        <v>385</v>
      </c>
      <c r="CO92" s="243" t="s">
        <v>373</v>
      </c>
      <c r="CP92" s="243" t="s">
        <v>402</v>
      </c>
      <c r="CQ92" s="244">
        <v>6.5799999999999997E-2</v>
      </c>
      <c r="CR92" s="244">
        <v>4.44E-4</v>
      </c>
      <c r="CS92" s="243">
        <v>148.28</v>
      </c>
      <c r="CT92" s="243" t="s">
        <v>420</v>
      </c>
      <c r="CU92" s="244">
        <v>2E-16</v>
      </c>
      <c r="CV92" s="81" t="s">
        <v>385</v>
      </c>
      <c r="DJ92" s="280" t="s">
        <v>373</v>
      </c>
      <c r="DK92" s="280" t="s">
        <v>402</v>
      </c>
      <c r="DL92" s="284">
        <v>7.2900000000000006E-2</v>
      </c>
      <c r="DM92" s="284">
        <v>1.82E-3</v>
      </c>
      <c r="DN92" s="284">
        <v>40.15</v>
      </c>
      <c r="DO92" s="280" t="s">
        <v>420</v>
      </c>
      <c r="DP92" s="284">
        <v>2E-16</v>
      </c>
      <c r="DQ92" s="280" t="s">
        <v>385</v>
      </c>
    </row>
    <row r="93" spans="55:121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426</v>
      </c>
      <c r="BU93" s="166">
        <v>-4.71</v>
      </c>
      <c r="BV93" s="166">
        <v>4.3700000000000003E-2</v>
      </c>
      <c r="BW93" s="81">
        <v>-107.8</v>
      </c>
      <c r="BX93" s="81" t="s">
        <v>420</v>
      </c>
      <c r="BY93" s="166">
        <v>2E-16</v>
      </c>
      <c r="BZ93" s="81" t="s">
        <v>385</v>
      </c>
      <c r="CO93" s="243" t="s">
        <v>373</v>
      </c>
      <c r="CP93" s="243" t="s">
        <v>403</v>
      </c>
      <c r="CQ93" s="244">
        <v>0.20799999999999999</v>
      </c>
      <c r="CR93" s="244">
        <v>1.33E-3</v>
      </c>
      <c r="CS93" s="243">
        <v>156.47</v>
      </c>
      <c r="CT93" s="243" t="s">
        <v>420</v>
      </c>
      <c r="CU93" s="244">
        <v>2E-16</v>
      </c>
      <c r="CV93" s="81" t="s">
        <v>385</v>
      </c>
      <c r="DJ93" s="280" t="s">
        <v>373</v>
      </c>
      <c r="DK93" s="280" t="s">
        <v>403</v>
      </c>
      <c r="DL93" s="284">
        <v>0.215</v>
      </c>
      <c r="DM93" s="284">
        <v>4.2199999999999998E-3</v>
      </c>
      <c r="DN93" s="284">
        <v>51.1</v>
      </c>
      <c r="DO93" s="280" t="s">
        <v>420</v>
      </c>
      <c r="DP93" s="284">
        <v>2E-16</v>
      </c>
      <c r="DQ93" s="280" t="s">
        <v>385</v>
      </c>
    </row>
    <row r="94" spans="55:121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365</v>
      </c>
      <c r="BU94" s="166">
        <v>192</v>
      </c>
      <c r="BV94" s="166">
        <v>3.81</v>
      </c>
      <c r="BW94" s="81">
        <v>50.34</v>
      </c>
      <c r="BX94" s="81" t="s">
        <v>420</v>
      </c>
      <c r="BY94" s="166">
        <v>2E-16</v>
      </c>
      <c r="BZ94" s="81" t="s">
        <v>385</v>
      </c>
      <c r="CO94" s="243" t="s">
        <v>373</v>
      </c>
      <c r="CP94" s="243" t="s">
        <v>404</v>
      </c>
      <c r="CQ94" s="244">
        <v>0.68899999999999995</v>
      </c>
      <c r="CR94" s="244">
        <v>1.7099999999999999E-3</v>
      </c>
      <c r="CS94" s="243">
        <v>403.45</v>
      </c>
      <c r="CT94" s="243" t="s">
        <v>420</v>
      </c>
      <c r="CU94" s="244">
        <v>2E-16</v>
      </c>
      <c r="CV94" s="81" t="s">
        <v>385</v>
      </c>
      <c r="DJ94" s="280" t="s">
        <v>373</v>
      </c>
      <c r="DK94" s="280" t="s">
        <v>404</v>
      </c>
      <c r="DL94" s="284">
        <v>0.63500000000000001</v>
      </c>
      <c r="DM94" s="284">
        <v>5.13E-3</v>
      </c>
      <c r="DN94" s="284">
        <v>123.82</v>
      </c>
      <c r="DO94" s="280" t="s">
        <v>420</v>
      </c>
      <c r="DP94" s="284">
        <v>2E-16</v>
      </c>
      <c r="DQ94" s="280" t="s">
        <v>385</v>
      </c>
    </row>
    <row r="95" spans="55:121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367</v>
      </c>
      <c r="BU95" s="166">
        <v>2.63E-4</v>
      </c>
      <c r="BV95" s="166">
        <v>6.5899999999999997E-4</v>
      </c>
      <c r="BW95" s="81">
        <v>0.4</v>
      </c>
      <c r="BX95" s="81">
        <v>0.69</v>
      </c>
      <c r="CO95" s="243" t="s">
        <v>373</v>
      </c>
      <c r="CP95" s="243" t="s">
        <v>405</v>
      </c>
      <c r="CQ95" s="244">
        <v>2.7300000000000001E-2</v>
      </c>
      <c r="CR95" s="244">
        <v>2.33E-4</v>
      </c>
      <c r="CS95" s="243">
        <v>117.44</v>
      </c>
      <c r="CT95" s="243" t="s">
        <v>420</v>
      </c>
      <c r="CU95" s="244">
        <v>2E-16</v>
      </c>
      <c r="CV95" s="81" t="s">
        <v>385</v>
      </c>
      <c r="DJ95" s="280" t="s">
        <v>373</v>
      </c>
      <c r="DK95" s="280" t="s">
        <v>405</v>
      </c>
      <c r="DL95" s="284">
        <v>2.6499999999999999E-2</v>
      </c>
      <c r="DM95" s="284">
        <v>6.0499999999999996E-4</v>
      </c>
      <c r="DN95" s="284">
        <v>43.76</v>
      </c>
      <c r="DO95" s="280" t="s">
        <v>420</v>
      </c>
      <c r="DP95" s="284">
        <v>2E-16</v>
      </c>
      <c r="DQ95" s="280" t="s">
        <v>385</v>
      </c>
    </row>
    <row r="96" spans="55:121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369</v>
      </c>
      <c r="BU96" s="166">
        <v>389</v>
      </c>
      <c r="BV96" s="166">
        <v>9.27</v>
      </c>
      <c r="BW96" s="81">
        <v>41.99</v>
      </c>
      <c r="BX96" s="81" t="s">
        <v>420</v>
      </c>
      <c r="BY96" s="166">
        <v>2E-16</v>
      </c>
      <c r="BZ96" s="81" t="s">
        <v>385</v>
      </c>
      <c r="CO96" s="243" t="s">
        <v>373</v>
      </c>
      <c r="CP96" s="243" t="s">
        <v>407</v>
      </c>
      <c r="CQ96" s="244">
        <v>272</v>
      </c>
      <c r="CR96" s="244">
        <v>1.53</v>
      </c>
      <c r="CS96" s="243">
        <v>177.98</v>
      </c>
      <c r="CT96" s="243" t="s">
        <v>420</v>
      </c>
      <c r="CU96" s="244">
        <v>2E-16</v>
      </c>
      <c r="CV96" s="81" t="s">
        <v>385</v>
      </c>
      <c r="DJ96" s="280" t="s">
        <v>373</v>
      </c>
      <c r="DK96" s="280" t="s">
        <v>407</v>
      </c>
      <c r="DL96" s="284">
        <v>273</v>
      </c>
      <c r="DM96" s="284">
        <v>4.21</v>
      </c>
      <c r="DN96" s="284">
        <v>64.95</v>
      </c>
      <c r="DO96" s="280" t="s">
        <v>420</v>
      </c>
      <c r="DP96" s="284">
        <v>2E-16</v>
      </c>
      <c r="DQ96" s="280" t="s">
        <v>385</v>
      </c>
    </row>
    <row r="97" spans="93:121" thickTop="1" thickBot="1" x14ac:dyDescent="0.3">
      <c r="CO97" s="243" t="s">
        <v>373</v>
      </c>
      <c r="CP97" s="243" t="s">
        <v>290</v>
      </c>
      <c r="CQ97" s="244">
        <v>750</v>
      </c>
      <c r="CR97" s="244">
        <v>4.8</v>
      </c>
      <c r="CS97" s="243">
        <v>156.19999999999999</v>
      </c>
      <c r="CT97" s="243" t="s">
        <v>420</v>
      </c>
      <c r="CU97" s="244">
        <v>2E-16</v>
      </c>
      <c r="CV97" s="81" t="s">
        <v>385</v>
      </c>
      <c r="DJ97" s="280" t="s">
        <v>373</v>
      </c>
      <c r="DK97" s="280" t="s">
        <v>290</v>
      </c>
      <c r="DL97" s="284">
        <v>843</v>
      </c>
      <c r="DM97" s="284">
        <v>9.5299999999999994</v>
      </c>
      <c r="DN97" s="280">
        <v>88.46</v>
      </c>
      <c r="DO97" s="280" t="s">
        <v>420</v>
      </c>
      <c r="DP97" s="284">
        <v>2E-16</v>
      </c>
      <c r="DQ97" s="280" t="s">
        <v>385</v>
      </c>
    </row>
    <row r="98" spans="93:121" thickTop="1" thickBot="1" x14ac:dyDescent="0.3">
      <c r="CO98" s="243" t="s">
        <v>373</v>
      </c>
      <c r="CP98" s="243" t="s">
        <v>120</v>
      </c>
      <c r="CQ98" s="244">
        <v>39.6</v>
      </c>
      <c r="CR98" s="244">
        <v>0.22700000000000001</v>
      </c>
      <c r="CS98" s="243">
        <v>174.34</v>
      </c>
      <c r="CT98" s="243" t="s">
        <v>420</v>
      </c>
      <c r="CU98" s="244">
        <v>2E-16</v>
      </c>
      <c r="CV98" s="81" t="s">
        <v>385</v>
      </c>
      <c r="DJ98" s="280" t="s">
        <v>373</v>
      </c>
      <c r="DK98" s="280" t="s">
        <v>120</v>
      </c>
      <c r="DL98" s="284">
        <v>77.599999999999994</v>
      </c>
      <c r="DM98" s="284">
        <v>1.05</v>
      </c>
      <c r="DN98" s="280">
        <v>74.14</v>
      </c>
      <c r="DO98" s="280" t="s">
        <v>420</v>
      </c>
      <c r="DP98" s="284">
        <v>2E-16</v>
      </c>
      <c r="DQ98" s="280" t="s">
        <v>385</v>
      </c>
    </row>
    <row r="99" spans="93:121" thickTop="1" thickBot="1" x14ac:dyDescent="0.3">
      <c r="CO99" s="243" t="s">
        <v>373</v>
      </c>
      <c r="CP99" s="243" t="s">
        <v>409</v>
      </c>
      <c r="CQ99" s="244">
        <v>-7.27</v>
      </c>
      <c r="CR99" s="244">
        <v>1.8200000000000001E-2</v>
      </c>
      <c r="CS99" s="243">
        <v>-398.75</v>
      </c>
      <c r="CT99" s="243" t="s">
        <v>420</v>
      </c>
      <c r="CU99" s="244">
        <v>2E-16</v>
      </c>
      <c r="CV99" s="81" t="s">
        <v>385</v>
      </c>
      <c r="DJ99" s="280" t="s">
        <v>373</v>
      </c>
      <c r="DK99" s="280" t="s">
        <v>409</v>
      </c>
      <c r="DL99" s="284">
        <v>-4.83</v>
      </c>
      <c r="DM99" s="284">
        <v>2.9100000000000001E-2</v>
      </c>
      <c r="DN99" s="280">
        <v>-165.9</v>
      </c>
      <c r="DO99" s="280" t="s">
        <v>420</v>
      </c>
      <c r="DP99" s="284">
        <v>2E-16</v>
      </c>
      <c r="DQ99" s="280" t="s">
        <v>385</v>
      </c>
    </row>
    <row r="100" spans="93:121" thickTop="1" thickBot="1" x14ac:dyDescent="0.3">
      <c r="CO100" s="243" t="s">
        <v>373</v>
      </c>
      <c r="CP100" s="243" t="s">
        <v>410</v>
      </c>
      <c r="CQ100" s="244">
        <v>-6.85</v>
      </c>
      <c r="CR100" s="244">
        <v>1.54E-2</v>
      </c>
      <c r="CS100" s="243">
        <v>-446.24</v>
      </c>
      <c r="CT100" s="243" t="s">
        <v>420</v>
      </c>
      <c r="CU100" s="244">
        <v>2E-16</v>
      </c>
      <c r="CV100" s="81" t="s">
        <v>385</v>
      </c>
      <c r="DJ100" s="280" t="s">
        <v>373</v>
      </c>
      <c r="DK100" s="280" t="s">
        <v>410</v>
      </c>
      <c r="DL100" s="284">
        <v>-5.39</v>
      </c>
      <c r="DM100" s="284">
        <v>2.7400000000000001E-2</v>
      </c>
      <c r="DN100" s="280">
        <v>-197</v>
      </c>
      <c r="DO100" s="280" t="s">
        <v>420</v>
      </c>
      <c r="DP100" s="284">
        <v>2E-16</v>
      </c>
      <c r="DQ100" s="280" t="s">
        <v>385</v>
      </c>
    </row>
    <row r="101" spans="93:121" thickTop="1" thickBot="1" x14ac:dyDescent="0.3">
      <c r="CO101" s="243" t="s">
        <v>373</v>
      </c>
      <c r="CP101" s="243" t="s">
        <v>411</v>
      </c>
      <c r="CQ101" s="244">
        <v>-6.82</v>
      </c>
      <c r="CR101" s="244">
        <v>1.6199999999999999E-2</v>
      </c>
      <c r="CS101" s="243">
        <v>-421.14</v>
      </c>
      <c r="CT101" s="243" t="s">
        <v>420</v>
      </c>
      <c r="CU101" s="244">
        <v>2E-16</v>
      </c>
      <c r="CV101" s="81" t="s">
        <v>385</v>
      </c>
      <c r="DJ101" s="280" t="s">
        <v>373</v>
      </c>
      <c r="DK101" s="280" t="s">
        <v>411</v>
      </c>
      <c r="DL101" s="284">
        <v>-5.87</v>
      </c>
      <c r="DM101" s="284">
        <v>2.6800000000000001E-2</v>
      </c>
      <c r="DN101" s="280">
        <v>-219.52</v>
      </c>
      <c r="DO101" s="280" t="s">
        <v>420</v>
      </c>
      <c r="DP101" s="284">
        <v>2E-16</v>
      </c>
      <c r="DQ101" s="280" t="s">
        <v>385</v>
      </c>
    </row>
    <row r="102" spans="93:121" thickTop="1" thickBot="1" x14ac:dyDescent="0.3">
      <c r="CO102" s="243" t="s">
        <v>373</v>
      </c>
      <c r="CP102" s="243" t="s">
        <v>412</v>
      </c>
      <c r="CQ102" s="244">
        <v>-6.07</v>
      </c>
      <c r="CR102" s="244">
        <v>1.72E-2</v>
      </c>
      <c r="CS102" s="243">
        <v>-353.08</v>
      </c>
      <c r="CT102" s="243" t="s">
        <v>420</v>
      </c>
      <c r="CU102" s="244">
        <v>2E-16</v>
      </c>
      <c r="CV102" s="81" t="s">
        <v>385</v>
      </c>
      <c r="DJ102" s="280" t="s">
        <v>373</v>
      </c>
      <c r="DK102" s="280" t="s">
        <v>412</v>
      </c>
      <c r="DL102" s="284">
        <v>-4.99</v>
      </c>
      <c r="DM102" s="284">
        <v>3.0599999999999999E-2</v>
      </c>
      <c r="DN102" s="280">
        <v>-163.04</v>
      </c>
      <c r="DO102" s="280" t="s">
        <v>420</v>
      </c>
      <c r="DP102" s="284">
        <v>2E-16</v>
      </c>
      <c r="DQ102" s="280" t="s">
        <v>385</v>
      </c>
    </row>
    <row r="103" spans="93:121" thickTop="1" thickBot="1" x14ac:dyDescent="0.3">
      <c r="CO103" s="243" t="s">
        <v>373</v>
      </c>
      <c r="CP103" s="243" t="s">
        <v>414</v>
      </c>
      <c r="CQ103" s="244">
        <v>2.1700000000000001E-3</v>
      </c>
      <c r="CR103" s="244">
        <v>2.5199999999999999E-5</v>
      </c>
      <c r="CS103" s="243">
        <v>85.84</v>
      </c>
      <c r="CT103" s="243" t="s">
        <v>420</v>
      </c>
      <c r="CU103" s="244">
        <v>2E-16</v>
      </c>
      <c r="CV103" s="81" t="s">
        <v>385</v>
      </c>
      <c r="DJ103" s="280" t="s">
        <v>373</v>
      </c>
      <c r="DK103" s="280" t="s">
        <v>414</v>
      </c>
      <c r="DL103" s="284">
        <v>2.24E-4</v>
      </c>
      <c r="DM103" s="284">
        <v>4.46E-5</v>
      </c>
      <c r="DN103" s="280">
        <v>5.0199999999999996</v>
      </c>
      <c r="DO103" s="284">
        <v>5.4000000000000002E-7</v>
      </c>
      <c r="DP103" s="284" t="s">
        <v>385</v>
      </c>
    </row>
    <row r="104" spans="93:121" thickTop="1" thickBot="1" x14ac:dyDescent="0.3">
      <c r="CO104" s="243" t="s">
        <v>373</v>
      </c>
      <c r="CP104" s="243" t="s">
        <v>415</v>
      </c>
      <c r="CQ104" s="244">
        <v>66.099999999999994</v>
      </c>
      <c r="CR104" s="244">
        <v>0.48</v>
      </c>
      <c r="CS104" s="243">
        <v>137.65</v>
      </c>
      <c r="CT104" s="243" t="s">
        <v>420</v>
      </c>
      <c r="CU104" s="244">
        <v>2E-16</v>
      </c>
      <c r="CV104" s="81" t="s">
        <v>385</v>
      </c>
      <c r="DJ104" s="280" t="s">
        <v>373</v>
      </c>
      <c r="DK104" s="280" t="s">
        <v>415</v>
      </c>
      <c r="DL104" s="284">
        <v>68.5</v>
      </c>
      <c r="DM104" s="284">
        <v>1.61</v>
      </c>
      <c r="DN104" s="280">
        <v>42.5</v>
      </c>
      <c r="DO104" s="280" t="s">
        <v>420</v>
      </c>
      <c r="DP104" s="284">
        <v>2E-16</v>
      </c>
      <c r="DQ104" s="280" t="s">
        <v>385</v>
      </c>
    </row>
    <row r="105" spans="93:121" thickTop="1" thickBot="1" x14ac:dyDescent="0.3">
      <c r="CO105" s="243" t="s">
        <v>373</v>
      </c>
      <c r="CP105" s="243" t="s">
        <v>416</v>
      </c>
      <c r="CQ105" s="244">
        <v>9940</v>
      </c>
      <c r="CR105" s="244">
        <v>276</v>
      </c>
      <c r="CS105" s="243">
        <v>36</v>
      </c>
      <c r="CT105" s="244" t="s">
        <v>420</v>
      </c>
      <c r="CU105" s="244">
        <v>2E-16</v>
      </c>
      <c r="CV105" s="81" t="s">
        <v>385</v>
      </c>
      <c r="DJ105" s="280" t="s">
        <v>373</v>
      </c>
      <c r="DK105" s="280" t="s">
        <v>416</v>
      </c>
      <c r="DL105" s="284">
        <v>126</v>
      </c>
      <c r="DM105" s="284">
        <v>6.04</v>
      </c>
      <c r="DN105" s="280">
        <v>20.86</v>
      </c>
      <c r="DO105" s="284" t="s">
        <v>420</v>
      </c>
      <c r="DP105" s="284">
        <v>2E-16</v>
      </c>
      <c r="DQ105" s="280" t="s">
        <v>385</v>
      </c>
    </row>
    <row r="108" spans="93:121" thickTop="1" thickBot="1" x14ac:dyDescent="0.3">
      <c r="CO108" s="243" t="s">
        <v>373</v>
      </c>
      <c r="CP108" s="243" t="s">
        <v>422</v>
      </c>
      <c r="CQ108" s="244">
        <v>294</v>
      </c>
      <c r="CR108" s="244">
        <v>0.14499999999999999</v>
      </c>
      <c r="CS108" s="243">
        <v>2030.62</v>
      </c>
      <c r="CT108" s="243" t="s">
        <v>420</v>
      </c>
      <c r="CU108" s="244">
        <v>2E-16</v>
      </c>
      <c r="CV108" s="243" t="s">
        <v>385</v>
      </c>
      <c r="DJ108" s="280" t="s">
        <v>373</v>
      </c>
      <c r="DK108" s="280" t="s">
        <v>422</v>
      </c>
      <c r="DL108" s="284">
        <v>294</v>
      </c>
      <c r="DM108" s="284">
        <v>0.14499999999999999</v>
      </c>
      <c r="DN108" s="280">
        <v>2030.62</v>
      </c>
      <c r="DO108" s="280" t="s">
        <v>420</v>
      </c>
      <c r="DP108" s="284">
        <v>2E-16</v>
      </c>
      <c r="DQ108" s="280" t="s">
        <v>385</v>
      </c>
    </row>
    <row r="109" spans="93:121" thickTop="1" thickBot="1" x14ac:dyDescent="0.3">
      <c r="CO109" s="243" t="s">
        <v>373</v>
      </c>
      <c r="CP109" s="243" t="s">
        <v>423</v>
      </c>
      <c r="CQ109" s="244">
        <v>296</v>
      </c>
      <c r="CR109" s="244">
        <v>0.11</v>
      </c>
      <c r="CS109" s="243">
        <v>2698.37</v>
      </c>
      <c r="CT109" s="243" t="s">
        <v>420</v>
      </c>
      <c r="CU109" s="244">
        <v>2E-16</v>
      </c>
      <c r="CV109" s="81" t="s">
        <v>385</v>
      </c>
      <c r="DJ109" s="280" t="s">
        <v>373</v>
      </c>
      <c r="DK109" s="280" t="s">
        <v>423</v>
      </c>
      <c r="DL109" s="284">
        <v>296</v>
      </c>
      <c r="DM109" s="284">
        <v>0.11</v>
      </c>
      <c r="DN109" s="280">
        <v>2698.37</v>
      </c>
      <c r="DO109" s="280" t="s">
        <v>420</v>
      </c>
      <c r="DP109" s="284">
        <v>2E-16</v>
      </c>
      <c r="DQ109" s="280" t="s">
        <v>385</v>
      </c>
    </row>
    <row r="110" spans="93:121" thickTop="1" thickBot="1" x14ac:dyDescent="0.3">
      <c r="CO110" s="243" t="s">
        <v>373</v>
      </c>
      <c r="CP110" s="243" t="s">
        <v>353</v>
      </c>
      <c r="CQ110" s="244">
        <v>0.14199999999999999</v>
      </c>
      <c r="CR110" s="244">
        <v>4.6299999999999996E-3</v>
      </c>
      <c r="CS110" s="243">
        <v>30.58</v>
      </c>
      <c r="CT110" s="244" t="s">
        <v>420</v>
      </c>
      <c r="CU110" s="244">
        <v>2E-16</v>
      </c>
      <c r="CV110" s="81" t="s">
        <v>385</v>
      </c>
      <c r="DJ110" s="280" t="s">
        <v>373</v>
      </c>
      <c r="DK110" s="280" t="s">
        <v>353</v>
      </c>
      <c r="DL110" s="284">
        <v>0.14199999999999999</v>
      </c>
      <c r="DM110" s="284">
        <v>4.6299999999999996E-3</v>
      </c>
      <c r="DN110" s="280">
        <v>30.58</v>
      </c>
      <c r="DO110" s="284" t="s">
        <v>420</v>
      </c>
      <c r="DP110" s="284">
        <v>2E-16</v>
      </c>
      <c r="DQ110" s="280" t="s">
        <v>385</v>
      </c>
    </row>
    <row r="111" spans="93:121" thickTop="1" thickBot="1" x14ac:dyDescent="0.3">
      <c r="CO111" s="243" t="s">
        <v>373</v>
      </c>
      <c r="CP111" s="243" t="s">
        <v>355</v>
      </c>
      <c r="CQ111" s="244">
        <v>5.9799999999999999E-2</v>
      </c>
      <c r="CR111" s="244">
        <v>3.1199999999999999E-3</v>
      </c>
      <c r="CS111" s="243">
        <v>19.18</v>
      </c>
      <c r="CT111" s="244" t="s">
        <v>420</v>
      </c>
      <c r="CU111" s="244">
        <v>2E-16</v>
      </c>
      <c r="CV111" s="81" t="s">
        <v>385</v>
      </c>
      <c r="DJ111" s="280" t="s">
        <v>373</v>
      </c>
      <c r="DK111" s="280" t="s">
        <v>355</v>
      </c>
      <c r="DL111" s="284">
        <v>5.9799999999999999E-2</v>
      </c>
      <c r="DM111" s="284">
        <v>3.1199999999999999E-3</v>
      </c>
      <c r="DN111" s="280">
        <v>19.18</v>
      </c>
      <c r="DO111" s="284" t="s">
        <v>420</v>
      </c>
      <c r="DP111" s="284">
        <v>2E-16</v>
      </c>
      <c r="DQ111" s="280" t="s">
        <v>385</v>
      </c>
    </row>
    <row r="112" spans="93:121" thickTop="1" thickBot="1" x14ac:dyDescent="0.3">
      <c r="CO112" s="243" t="s">
        <v>373</v>
      </c>
      <c r="CP112" s="243" t="s">
        <v>424</v>
      </c>
      <c r="CQ112" s="244">
        <v>998000000</v>
      </c>
      <c r="CR112" s="244">
        <v>6660000</v>
      </c>
      <c r="CS112" s="243">
        <v>149.77000000000001</v>
      </c>
      <c r="CT112" s="244" t="s">
        <v>420</v>
      </c>
      <c r="CU112" s="244">
        <v>2E-16</v>
      </c>
      <c r="CV112" s="81" t="s">
        <v>385</v>
      </c>
      <c r="DJ112" s="280" t="s">
        <v>373</v>
      </c>
      <c r="DK112" s="280" t="s">
        <v>424</v>
      </c>
      <c r="DL112" s="284">
        <v>998000000</v>
      </c>
      <c r="DM112" s="284">
        <v>6660000</v>
      </c>
      <c r="DN112" s="280">
        <v>149.77000000000001</v>
      </c>
      <c r="DO112" s="284" t="s">
        <v>420</v>
      </c>
      <c r="DP112" s="284">
        <v>2E-16</v>
      </c>
      <c r="DQ112" s="280" t="s">
        <v>385</v>
      </c>
    </row>
    <row r="113" spans="93:121" thickTop="1" thickBot="1" x14ac:dyDescent="0.3">
      <c r="CO113" s="243" t="s">
        <v>373</v>
      </c>
      <c r="CP113" s="243" t="s">
        <v>359</v>
      </c>
      <c r="CQ113" s="244">
        <v>44400000</v>
      </c>
      <c r="CR113" s="244">
        <v>6180000</v>
      </c>
      <c r="CS113" s="243">
        <v>7.19</v>
      </c>
      <c r="CT113" s="244">
        <v>7.3999999999999998E-13</v>
      </c>
      <c r="CU113" s="243" t="s">
        <v>385</v>
      </c>
      <c r="DJ113" s="280" t="s">
        <v>373</v>
      </c>
      <c r="DK113" s="280" t="s">
        <v>359</v>
      </c>
      <c r="DL113" s="284">
        <v>44400000</v>
      </c>
      <c r="DM113" s="284">
        <v>6180000</v>
      </c>
      <c r="DN113" s="280">
        <v>7.19</v>
      </c>
      <c r="DO113" s="284">
        <v>7.3999999999999998E-13</v>
      </c>
      <c r="DP113" s="280" t="s">
        <v>385</v>
      </c>
    </row>
    <row r="114" spans="93:121" thickTop="1" thickBot="1" x14ac:dyDescent="0.3">
      <c r="CO114" s="243" t="s">
        <v>373</v>
      </c>
      <c r="CP114" s="243" t="s">
        <v>401</v>
      </c>
      <c r="CQ114" s="244">
        <v>-15.7</v>
      </c>
      <c r="CR114" s="244">
        <v>1.1200000000000001</v>
      </c>
      <c r="CS114" s="243">
        <v>-14.04</v>
      </c>
      <c r="CT114" s="243" t="s">
        <v>420</v>
      </c>
      <c r="CU114" s="244">
        <v>2E-16</v>
      </c>
      <c r="CV114" s="81" t="s">
        <v>385</v>
      </c>
      <c r="DJ114" s="280" t="s">
        <v>373</v>
      </c>
      <c r="DK114" s="280" t="s">
        <v>401</v>
      </c>
      <c r="DL114" s="284">
        <v>-15.7</v>
      </c>
      <c r="DM114" s="284">
        <v>1.1200000000000001</v>
      </c>
      <c r="DN114" s="280">
        <v>-14.04</v>
      </c>
      <c r="DO114" s="280" t="s">
        <v>420</v>
      </c>
      <c r="DP114" s="284">
        <v>2E-16</v>
      </c>
      <c r="DQ114" s="280" t="s">
        <v>385</v>
      </c>
    </row>
    <row r="115" spans="93:121" thickTop="1" thickBot="1" x14ac:dyDescent="0.3">
      <c r="CO115" s="243" t="s">
        <v>373</v>
      </c>
      <c r="CP115" s="243" t="s">
        <v>425</v>
      </c>
      <c r="CQ115" s="244">
        <v>-20.6</v>
      </c>
      <c r="CR115" s="244">
        <v>1.37</v>
      </c>
      <c r="CS115" s="243">
        <v>-15.05</v>
      </c>
      <c r="CT115" s="243" t="s">
        <v>420</v>
      </c>
      <c r="CU115" s="244">
        <v>2E-16</v>
      </c>
      <c r="CV115" s="81" t="s">
        <v>385</v>
      </c>
      <c r="DJ115" s="280" t="s">
        <v>373</v>
      </c>
      <c r="DK115" s="280" t="s">
        <v>425</v>
      </c>
      <c r="DL115" s="284">
        <v>-20.6</v>
      </c>
      <c r="DM115" s="284">
        <v>1.37</v>
      </c>
      <c r="DN115" s="280">
        <v>-15.05</v>
      </c>
      <c r="DO115" s="280" t="s">
        <v>420</v>
      </c>
      <c r="DP115" s="284">
        <v>2E-16</v>
      </c>
      <c r="DQ115" s="280" t="s">
        <v>385</v>
      </c>
    </row>
    <row r="116" spans="93:121" thickTop="1" thickBot="1" x14ac:dyDescent="0.3">
      <c r="CO116" s="243" t="s">
        <v>373</v>
      </c>
      <c r="CP116" s="243" t="s">
        <v>430</v>
      </c>
      <c r="CQ116" s="244">
        <v>5.8500000000000003E-2</v>
      </c>
      <c r="CR116" s="244">
        <v>2.7099999999999997E-4</v>
      </c>
      <c r="CS116" s="243">
        <v>215.65</v>
      </c>
      <c r="CT116" s="243" t="s">
        <v>420</v>
      </c>
      <c r="CU116" s="244">
        <v>2E-16</v>
      </c>
      <c r="CV116" s="81" t="s">
        <v>385</v>
      </c>
      <c r="DJ116" s="280" t="s">
        <v>373</v>
      </c>
      <c r="DK116" s="280" t="s">
        <v>430</v>
      </c>
      <c r="DL116" s="284">
        <v>5.8500000000000003E-2</v>
      </c>
      <c r="DM116" s="284">
        <v>2.7099999999999997E-4</v>
      </c>
      <c r="DN116" s="280">
        <v>215.65</v>
      </c>
      <c r="DO116" s="280" t="s">
        <v>420</v>
      </c>
      <c r="DP116" s="284">
        <v>2E-16</v>
      </c>
      <c r="DQ116" s="280" t="s">
        <v>385</v>
      </c>
    </row>
    <row r="117" spans="93:121" thickTop="1" thickBot="1" x14ac:dyDescent="0.3">
      <c r="CO117" s="243" t="s">
        <v>373</v>
      </c>
      <c r="CP117" s="243" t="s">
        <v>431</v>
      </c>
      <c r="CQ117" s="244">
        <v>2.64E-2</v>
      </c>
      <c r="CR117" s="244">
        <v>1.9599999999999999E-4</v>
      </c>
      <c r="CS117" s="243">
        <v>134.62</v>
      </c>
      <c r="CT117" s="243" t="s">
        <v>420</v>
      </c>
      <c r="CU117" s="244">
        <v>2E-16</v>
      </c>
      <c r="CV117" s="81" t="s">
        <v>385</v>
      </c>
      <c r="DJ117" s="280" t="s">
        <v>373</v>
      </c>
      <c r="DK117" s="280" t="s">
        <v>431</v>
      </c>
      <c r="DL117" s="284">
        <v>2.64E-2</v>
      </c>
      <c r="DM117" s="284">
        <v>1.9599999999999999E-4</v>
      </c>
      <c r="DN117" s="280">
        <v>134.62</v>
      </c>
      <c r="DO117" s="280" t="s">
        <v>420</v>
      </c>
      <c r="DP117" s="284">
        <v>2E-16</v>
      </c>
      <c r="DQ117" s="280" t="s">
        <v>385</v>
      </c>
    </row>
    <row r="118" spans="93:121" thickTop="1" thickBot="1" x14ac:dyDescent="0.3">
      <c r="CO118" s="243" t="s">
        <v>373</v>
      </c>
      <c r="CP118" s="243" t="s">
        <v>413</v>
      </c>
      <c r="CQ118" s="244">
        <v>-5.65</v>
      </c>
      <c r="CR118" s="244">
        <v>1.7500000000000002E-2</v>
      </c>
      <c r="CS118" s="243">
        <v>-322.94</v>
      </c>
      <c r="CT118" s="243" t="s">
        <v>420</v>
      </c>
      <c r="CU118" s="244">
        <v>2E-16</v>
      </c>
      <c r="CV118" s="81" t="s">
        <v>385</v>
      </c>
      <c r="DJ118" s="280" t="s">
        <v>373</v>
      </c>
      <c r="DK118" s="280" t="s">
        <v>413</v>
      </c>
      <c r="DL118" s="284">
        <v>-5.65</v>
      </c>
      <c r="DM118" s="284">
        <v>1.7500000000000002E-2</v>
      </c>
      <c r="DN118" s="280">
        <v>-322.94</v>
      </c>
      <c r="DO118" s="280" t="s">
        <v>420</v>
      </c>
      <c r="DP118" s="284">
        <v>2E-16</v>
      </c>
      <c r="DQ118" s="280" t="s">
        <v>385</v>
      </c>
    </row>
    <row r="119" spans="93:121" thickTop="1" thickBot="1" x14ac:dyDescent="0.3">
      <c r="CO119" s="243" t="s">
        <v>373</v>
      </c>
      <c r="CP119" s="243" t="s">
        <v>426</v>
      </c>
      <c r="CQ119" s="244">
        <v>-5.32</v>
      </c>
      <c r="CR119" s="244">
        <v>1.6500000000000001E-2</v>
      </c>
      <c r="CS119" s="243">
        <v>-321.99</v>
      </c>
      <c r="CT119" s="243" t="s">
        <v>420</v>
      </c>
      <c r="CU119" s="244">
        <v>2E-16</v>
      </c>
      <c r="CV119" s="81" t="s">
        <v>385</v>
      </c>
      <c r="DJ119" s="280" t="s">
        <v>373</v>
      </c>
      <c r="DK119" s="280" t="s">
        <v>426</v>
      </c>
      <c r="DL119" s="284">
        <v>-5.32</v>
      </c>
      <c r="DM119" s="284">
        <v>1.6500000000000001E-2</v>
      </c>
      <c r="DN119" s="280">
        <v>-321.99</v>
      </c>
      <c r="DO119" s="280" t="s">
        <v>420</v>
      </c>
      <c r="DP119" s="284">
        <v>2E-16</v>
      </c>
      <c r="DQ119" s="280" t="s">
        <v>385</v>
      </c>
    </row>
    <row r="120" spans="93:121" thickTop="1" thickBot="1" x14ac:dyDescent="0.3">
      <c r="CO120" s="243" t="s">
        <v>373</v>
      </c>
      <c r="CP120" s="243" t="s">
        <v>365</v>
      </c>
      <c r="CQ120" s="244">
        <v>71</v>
      </c>
      <c r="CR120" s="244">
        <v>0.54900000000000004</v>
      </c>
      <c r="CS120" s="243">
        <v>129.38999999999999</v>
      </c>
      <c r="CT120" s="243" t="s">
        <v>420</v>
      </c>
      <c r="CU120" s="244">
        <v>2E-16</v>
      </c>
      <c r="CV120" s="81" t="s">
        <v>385</v>
      </c>
      <c r="DJ120" s="280" t="s">
        <v>373</v>
      </c>
      <c r="DK120" s="280" t="s">
        <v>365</v>
      </c>
      <c r="DL120" s="284">
        <v>71</v>
      </c>
      <c r="DM120" s="284">
        <v>0.54900000000000004</v>
      </c>
      <c r="DN120" s="280">
        <v>129.38999999999999</v>
      </c>
      <c r="DO120" s="280" t="s">
        <v>420</v>
      </c>
      <c r="DP120" s="284">
        <v>2E-16</v>
      </c>
      <c r="DQ120" s="280" t="s">
        <v>385</v>
      </c>
    </row>
    <row r="121" spans="93:121" thickTop="1" thickBot="1" x14ac:dyDescent="0.3">
      <c r="CO121" s="243" t="s">
        <v>373</v>
      </c>
      <c r="CP121" s="243" t="s">
        <v>367</v>
      </c>
      <c r="CQ121" s="244">
        <v>2530</v>
      </c>
      <c r="CR121" s="244">
        <v>355</v>
      </c>
      <c r="CS121" s="243">
        <v>7.13</v>
      </c>
      <c r="CT121" s="244">
        <v>1.1E-12</v>
      </c>
      <c r="CU121" s="243" t="s">
        <v>385</v>
      </c>
      <c r="DJ121" s="280" t="s">
        <v>373</v>
      </c>
      <c r="DK121" s="280" t="s">
        <v>367</v>
      </c>
      <c r="DL121" s="284">
        <v>2530</v>
      </c>
      <c r="DM121" s="284">
        <v>355</v>
      </c>
      <c r="DN121" s="280">
        <v>7.13</v>
      </c>
      <c r="DO121" s="284">
        <v>1.1E-12</v>
      </c>
      <c r="DP121" s="280" t="s">
        <v>385</v>
      </c>
    </row>
    <row r="122" spans="93:121" thickTop="1" thickBot="1" x14ac:dyDescent="0.3">
      <c r="CO122" s="243" t="s">
        <v>373</v>
      </c>
      <c r="CP122" s="243" t="s">
        <v>369</v>
      </c>
      <c r="CQ122" s="244">
        <v>64.099999999999994</v>
      </c>
      <c r="CR122" s="244">
        <v>0.56599999999999995</v>
      </c>
      <c r="CS122" s="243">
        <v>113.36</v>
      </c>
      <c r="CT122" s="243" t="s">
        <v>420</v>
      </c>
      <c r="CU122" s="244">
        <v>2E-16</v>
      </c>
      <c r="CV122" s="81" t="s">
        <v>385</v>
      </c>
      <c r="DJ122" s="280" t="s">
        <v>373</v>
      </c>
      <c r="DK122" s="280" t="s">
        <v>369</v>
      </c>
      <c r="DL122" s="284">
        <v>64.099999999999994</v>
      </c>
      <c r="DM122" s="284">
        <v>0.56599999999999995</v>
      </c>
      <c r="DN122" s="280">
        <v>113.36</v>
      </c>
      <c r="DO122" s="280" t="s">
        <v>420</v>
      </c>
      <c r="DP122" s="284">
        <v>2E-16</v>
      </c>
      <c r="DQ122" s="280" t="s">
        <v>385</v>
      </c>
    </row>
  </sheetData>
  <mergeCells count="8">
    <mergeCell ref="F36:G36"/>
    <mergeCell ref="B1:H1"/>
    <mergeCell ref="B3:I3"/>
    <mergeCell ref="K3:U3"/>
    <mergeCell ref="W3:AH3"/>
    <mergeCell ref="L4:P4"/>
    <mergeCell ref="F33:G33"/>
    <mergeCell ref="F34:G34"/>
  </mergeCells>
  <pageMargins left="0.25" right="0.25" top="0.75" bottom="0.75" header="0.51180555555555496" footer="0.51180555555555496"/>
  <pageSetup paperSize="9"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Gebouwgegevens Tabula</vt:lpstr>
      <vt:lpstr>Gebouwgegevens Allacker</vt:lpstr>
      <vt:lpstr>Tabula data</vt:lpstr>
      <vt:lpstr>Verwarming Allacker</vt:lpstr>
      <vt:lpstr>Verwarming Tabula</vt:lpstr>
      <vt:lpstr>Gebouwgegevens Tabula 2zone</vt:lpstr>
      <vt:lpstr>Tabula Ref1</vt:lpstr>
      <vt:lpstr>Tabula Ref2</vt:lpstr>
      <vt:lpstr>Tabula RefULG 1</vt:lpstr>
      <vt:lpstr>Tabula RefULG 2</vt:lpstr>
      <vt:lpstr>Verwarming Tabula 2zone</vt:lpstr>
      <vt:lpstr>Verwarming Tabula 2zone Ref1</vt:lpstr>
      <vt:lpstr>Verwarming Tabula 2zone Ref2</vt:lpstr>
      <vt:lpstr>Verwarming Tabula 2zone RefULG1</vt:lpstr>
      <vt:lpstr>Verwarming Tabula 2zone RefULG2</vt:lpstr>
      <vt:lpstr>PropertiesGB_Theoretical</vt:lpstr>
      <vt:lpstr>Sheet8</vt:lpstr>
      <vt:lpstr>Sheet9</vt:lpstr>
      <vt:lpstr>'Gebouwgegevens Allacker'!Print_Area</vt:lpstr>
      <vt:lpstr>'Gebouwgegevens Tabula'!Print_Area</vt:lpstr>
      <vt:lpstr>'Gebouwgegevens Tabula 2zone'!Print_Area</vt:lpstr>
      <vt:lpstr>'Tabula data'!Print_Area</vt:lpstr>
      <vt:lpstr>'Tabula Ref1'!Print_Area</vt:lpstr>
      <vt:lpstr>'Tabula Ref2'!Print_Area</vt:lpstr>
      <vt:lpstr>'Tabula RefULG 1'!Print_Area</vt:lpstr>
      <vt:lpstr>'Tabula RefULG 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REYNDERG</dc:creator>
  <cp:lastModifiedBy>Glenn Reynders</cp:lastModifiedBy>
  <cp:revision>0</cp:revision>
  <cp:lastPrinted>2013-07-29T10:47:59Z</cp:lastPrinted>
  <dcterms:created xsi:type="dcterms:W3CDTF">2011-08-19T12:11:09Z</dcterms:created>
  <dcterms:modified xsi:type="dcterms:W3CDTF">2014-08-27T21:52:55Z</dcterms:modified>
</cp:coreProperties>
</file>