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432" tabRatio="910" firstSheet="2" activeTab="9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2zone Ref 1" sheetId="11" r:id="rId7"/>
    <sheet name="Tabula 2zone Ref 2" sheetId="12" r:id="rId8"/>
    <sheet name="Tabula RefULG 1" sheetId="15" r:id="rId9"/>
    <sheet name="Tabula RefULG 2" sheetId="16" r:id="rId10"/>
    <sheet name="Verwarming Tabula 2zone" sheetId="7" r:id="rId11"/>
    <sheet name="Verwarming Tabula 2zone Ref 1" sheetId="13" r:id="rId12"/>
    <sheet name="Verwarming Tabula 2zone Ref 2" sheetId="14" r:id="rId13"/>
    <sheet name="Verwarming Tabula 2zone RefULG1" sheetId="17" r:id="rId14"/>
    <sheet name="Verwarming Tabula 2zone RefULG2" sheetId="18" r:id="rId15"/>
    <sheet name="PropertiesGB_Theoretical" sheetId="9" r:id="rId16"/>
    <sheet name="Vloerverwarming zonder QRH" sheetId="10" r:id="rId17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2zone'!$A$1:$H$37,'Gebouwgegevens Tabula 2zone'!$K$3:$U$32,'Gebouwgegevens Tabula 2zone'!$W$3:$AH$52</definedName>
    <definedName name="_xlnm.Print_Area" localSheetId="6">'Tabula 2zone Ref 1'!$A$1:$H$37,'Tabula 2zone Ref 1'!$J$3:$T$32,'Tabula 2zone Ref 1'!$V$3:$AG$52</definedName>
    <definedName name="_xlnm.Print_Area" localSheetId="7">'Tabula 2zone Ref 2'!$A$1:$H$37,'Tabula 2zone Ref 2'!$J$3:$T$32,'Tabula 2zone Ref 2'!$V$3:$AG$54</definedName>
    <definedName name="_xlnm.Print_Area" localSheetId="2">'Tabula data'!$A$1:$D$28,'Tabula data'!$F$1:$Q$31,'Tabula data'!$A$31:$D$46</definedName>
    <definedName name="_xlnm.Print_Area" localSheetId="8">'Tabula RefULG 1'!$A$1:$H$37,'Tabula RefULG 1'!$K$3:$U$32,'Tabula RefULG 1'!$W$3:$AH$52</definedName>
    <definedName name="_xlnm.Print_Area" localSheetId="9">'Tabula RefULG 2'!$A$1:$H$37,'Tabula RefULG 2'!$K$3:$U$32,'Tabula RefULG 2'!$W$3:$AH$52</definedName>
  </definedNames>
  <calcPr calcId="145621"/>
</workbook>
</file>

<file path=xl/calcChain.xml><?xml version="1.0" encoding="utf-8"?>
<calcChain xmlns="http://schemas.openxmlformats.org/spreadsheetml/2006/main">
  <c r="D64" i="16" l="1"/>
  <c r="C64" i="16"/>
  <c r="B59" i="16"/>
  <c r="D59" i="16" s="1"/>
  <c r="D64" i="15"/>
  <c r="C64" i="15"/>
  <c r="B62" i="15"/>
  <c r="C62" i="15" s="1"/>
  <c r="D62" i="15" s="1"/>
  <c r="B61" i="15"/>
  <c r="C61" i="15" s="1"/>
  <c r="D61" i="15" s="1"/>
  <c r="D60" i="15"/>
  <c r="D65" i="15" s="1"/>
  <c r="C60" i="15"/>
  <c r="C65" i="15" s="1"/>
  <c r="B60" i="15"/>
  <c r="B59" i="15"/>
  <c r="C59" i="15" s="1"/>
  <c r="C58" i="15"/>
  <c r="B58" i="15"/>
  <c r="D58" i="15" s="1"/>
  <c r="D64" i="6"/>
  <c r="D65" i="6" s="1"/>
  <c r="C64" i="6"/>
  <c r="C65" i="6" s="1"/>
  <c r="B59" i="6"/>
  <c r="C62" i="6"/>
  <c r="D62" i="6" s="1"/>
  <c r="B62" i="6"/>
  <c r="B61" i="6"/>
  <c r="C61" i="6" s="1"/>
  <c r="D61" i="6" s="1"/>
  <c r="D60" i="6"/>
  <c r="C60" i="6"/>
  <c r="B60" i="6"/>
  <c r="D59" i="6"/>
  <c r="C59" i="6"/>
  <c r="C58" i="6"/>
  <c r="D58" i="6" s="1"/>
  <c r="B58" i="6"/>
  <c r="B62" i="16"/>
  <c r="C62" i="16" s="1"/>
  <c r="D62" i="16" s="1"/>
  <c r="B61" i="16"/>
  <c r="C61" i="16" s="1"/>
  <c r="D61" i="16" s="1"/>
  <c r="D60" i="16"/>
  <c r="C60" i="16"/>
  <c r="B60" i="16"/>
  <c r="C58" i="16"/>
  <c r="B58" i="16"/>
  <c r="D58" i="16" s="1"/>
  <c r="D65" i="16" l="1"/>
  <c r="B64" i="15"/>
  <c r="B65" i="15"/>
  <c r="D59" i="15"/>
  <c r="B64" i="6"/>
  <c r="B65" i="6" s="1"/>
  <c r="C59" i="16"/>
  <c r="B65" i="16"/>
  <c r="AP47" i="16"/>
  <c r="AP46" i="16"/>
  <c r="AP35" i="16"/>
  <c r="AP34" i="16"/>
  <c r="AP33" i="16"/>
  <c r="AP17" i="16"/>
  <c r="AP16" i="16"/>
  <c r="AP15" i="16"/>
  <c r="AP14" i="16"/>
  <c r="AP4" i="16"/>
  <c r="AA27" i="16"/>
  <c r="AP20" i="16"/>
  <c r="AP19" i="16"/>
  <c r="AP37" i="16"/>
  <c r="AP24" i="16"/>
  <c r="AP9" i="16"/>
  <c r="AP21" i="16"/>
  <c r="AP23" i="16"/>
  <c r="AP40" i="16"/>
  <c r="AP38" i="16"/>
  <c r="AP40" i="15"/>
  <c r="AP37" i="15"/>
  <c r="B139" i="13" l="1"/>
  <c r="B139" i="17" l="1"/>
  <c r="B139" i="7" l="1"/>
  <c r="EB78" i="6" l="1"/>
  <c r="EB79" i="6"/>
  <c r="EB77" i="6"/>
  <c r="AE46" i="15" l="1"/>
  <c r="AD46" i="15"/>
  <c r="AE45" i="15"/>
  <c r="AD45" i="15"/>
  <c r="AE44" i="15"/>
  <c r="AD44" i="15"/>
  <c r="AP24" i="15" s="1"/>
  <c r="AE43" i="15"/>
  <c r="AD43" i="15"/>
  <c r="AP20" i="15" s="1"/>
  <c r="AE42" i="15"/>
  <c r="AD42" i="15"/>
  <c r="AA40" i="15" s="1"/>
  <c r="AG40" i="15"/>
  <c r="AE40" i="15"/>
  <c r="AE19" i="15"/>
  <c r="AD19" i="15"/>
  <c r="AE18" i="15"/>
  <c r="AG13" i="15" s="1"/>
  <c r="AD18" i="15"/>
  <c r="EH70" i="15" s="1"/>
  <c r="AE17" i="15"/>
  <c r="AD17" i="15"/>
  <c r="AE15" i="15"/>
  <c r="AE13" i="15" s="1"/>
  <c r="AD15" i="15"/>
  <c r="AA13" i="15" s="1"/>
  <c r="AD50" i="16"/>
  <c r="AG49" i="16"/>
  <c r="AE49" i="16"/>
  <c r="AE46" i="16"/>
  <c r="AD46" i="16"/>
  <c r="AE45" i="16"/>
  <c r="AD45" i="16"/>
  <c r="AE44" i="16"/>
  <c r="AD44" i="16"/>
  <c r="AE43" i="16"/>
  <c r="AD43" i="16"/>
  <c r="AE42" i="16"/>
  <c r="AE40" i="16" s="1"/>
  <c r="AD42" i="16"/>
  <c r="AA40" i="16"/>
  <c r="AD36" i="16"/>
  <c r="AG35" i="16"/>
  <c r="AE35" i="16"/>
  <c r="AE32" i="16"/>
  <c r="AD32" i="16"/>
  <c r="AE31" i="16"/>
  <c r="AD31" i="16"/>
  <c r="AE30" i="16"/>
  <c r="AE27" i="16" s="1"/>
  <c r="AD30" i="16"/>
  <c r="AE29" i="16"/>
  <c r="AD29" i="16"/>
  <c r="AG27" i="16"/>
  <c r="AE25" i="16"/>
  <c r="AD25" i="16"/>
  <c r="AE24" i="16"/>
  <c r="AD24" i="16"/>
  <c r="AE23" i="16"/>
  <c r="AG21" i="16" s="1"/>
  <c r="AD23" i="16"/>
  <c r="AA21" i="16" s="1"/>
  <c r="AE19" i="16"/>
  <c r="AD19" i="16"/>
  <c r="AE18" i="16"/>
  <c r="AD18" i="16"/>
  <c r="AE17" i="16"/>
  <c r="AE13" i="16" s="1"/>
  <c r="AD17" i="16"/>
  <c r="AE15" i="16"/>
  <c r="AD15" i="16"/>
  <c r="AA13" i="16" s="1"/>
  <c r="AG13" i="16"/>
  <c r="AE10" i="16"/>
  <c r="AG5" i="16" s="1"/>
  <c r="AD10" i="16"/>
  <c r="AE9" i="16"/>
  <c r="AD9" i="16"/>
  <c r="AE8" i="16"/>
  <c r="AE7" i="16"/>
  <c r="AE5" i="16" s="1"/>
  <c r="AD7" i="16"/>
  <c r="AA5" i="16"/>
  <c r="B127" i="18"/>
  <c r="B127" i="17"/>
  <c r="B48" i="18"/>
  <c r="B48" i="17"/>
  <c r="B133" i="18"/>
  <c r="B130" i="18"/>
  <c r="F109" i="18"/>
  <c r="E109" i="18"/>
  <c r="D109" i="18"/>
  <c r="H109" i="18" s="1"/>
  <c r="C109" i="18"/>
  <c r="G109" i="18" s="1"/>
  <c r="F108" i="18"/>
  <c r="E108" i="18"/>
  <c r="D108" i="18"/>
  <c r="H108" i="18" s="1"/>
  <c r="C108" i="18"/>
  <c r="G108" i="18" s="1"/>
  <c r="F92" i="18"/>
  <c r="E92" i="18"/>
  <c r="D92" i="18"/>
  <c r="C92" i="18"/>
  <c r="F91" i="18"/>
  <c r="E91" i="18"/>
  <c r="D91" i="18"/>
  <c r="C91" i="18"/>
  <c r="F90" i="18"/>
  <c r="E90" i="18"/>
  <c r="D90" i="18"/>
  <c r="C90" i="18"/>
  <c r="F89" i="18"/>
  <c r="E89" i="18"/>
  <c r="D89" i="18"/>
  <c r="C89" i="18"/>
  <c r="F88" i="18"/>
  <c r="E88" i="18"/>
  <c r="D88" i="18"/>
  <c r="C88" i="18"/>
  <c r="F87" i="18"/>
  <c r="E87" i="18"/>
  <c r="D87" i="18"/>
  <c r="C87" i="18"/>
  <c r="F86" i="18"/>
  <c r="E86" i="18"/>
  <c r="D86" i="18"/>
  <c r="C86" i="18"/>
  <c r="F85" i="18"/>
  <c r="E85" i="18"/>
  <c r="D85" i="18"/>
  <c r="C85" i="18"/>
  <c r="F84" i="18"/>
  <c r="E84" i="18"/>
  <c r="D84" i="18"/>
  <c r="C84" i="18"/>
  <c r="B66" i="18"/>
  <c r="B54" i="18"/>
  <c r="B51" i="18"/>
  <c r="B58" i="18" s="1"/>
  <c r="G58" i="18" s="1"/>
  <c r="F34" i="18"/>
  <c r="E34" i="18"/>
  <c r="D34" i="18"/>
  <c r="H34" i="18" s="1"/>
  <c r="C34" i="18"/>
  <c r="G34" i="18" s="1"/>
  <c r="F33" i="18"/>
  <c r="E33" i="18"/>
  <c r="D33" i="18"/>
  <c r="H33" i="18" s="1"/>
  <c r="C33" i="18"/>
  <c r="G33" i="18" s="1"/>
  <c r="K28" i="18"/>
  <c r="I28" i="18"/>
  <c r="E28" i="18"/>
  <c r="D28" i="18"/>
  <c r="C28" i="18"/>
  <c r="F22" i="18"/>
  <c r="E22" i="18"/>
  <c r="D22" i="18"/>
  <c r="C22" i="18"/>
  <c r="F21" i="18"/>
  <c r="E21" i="18"/>
  <c r="D21" i="18"/>
  <c r="C21" i="18"/>
  <c r="B19" i="18"/>
  <c r="F19" i="18" s="1"/>
  <c r="E18" i="18"/>
  <c r="C18" i="18"/>
  <c r="B18" i="18"/>
  <c r="B17" i="18"/>
  <c r="E16" i="18"/>
  <c r="D16" i="18"/>
  <c r="C16" i="18"/>
  <c r="B16" i="18"/>
  <c r="F16" i="18" s="1"/>
  <c r="B15" i="18"/>
  <c r="F15" i="18" s="1"/>
  <c r="E14" i="18"/>
  <c r="C14" i="18"/>
  <c r="B14" i="18"/>
  <c r="B13" i="18"/>
  <c r="E12" i="18"/>
  <c r="D12" i="18"/>
  <c r="C12" i="18"/>
  <c r="B12" i="18"/>
  <c r="F12" i="18" s="1"/>
  <c r="B776" i="18"/>
  <c r="B778" i="18" s="1"/>
  <c r="B777" i="18" s="1"/>
  <c r="G768" i="18"/>
  <c r="B768" i="18"/>
  <c r="B770" i="18" s="1"/>
  <c r="B771" i="18" s="1"/>
  <c r="B764" i="18"/>
  <c r="B761" i="18"/>
  <c r="J750" i="18"/>
  <c r="I750" i="18"/>
  <c r="F750" i="18"/>
  <c r="E750" i="18"/>
  <c r="D750" i="18"/>
  <c r="H750" i="18" s="1"/>
  <c r="C750" i="18"/>
  <c r="G750" i="18" s="1"/>
  <c r="K750" i="18" s="1"/>
  <c r="J749" i="18"/>
  <c r="I749" i="18"/>
  <c r="F749" i="18"/>
  <c r="E749" i="18"/>
  <c r="D749" i="18"/>
  <c r="H749" i="18" s="1"/>
  <c r="C749" i="18"/>
  <c r="G749" i="18" s="1"/>
  <c r="J748" i="18"/>
  <c r="I748" i="18"/>
  <c r="F748" i="18"/>
  <c r="E748" i="18"/>
  <c r="D748" i="18"/>
  <c r="H748" i="18" s="1"/>
  <c r="C748" i="18"/>
  <c r="G748" i="18" s="1"/>
  <c r="K748" i="18" s="1"/>
  <c r="J747" i="18"/>
  <c r="I747" i="18"/>
  <c r="F747" i="18"/>
  <c r="E747" i="18"/>
  <c r="D747" i="18"/>
  <c r="H747" i="18" s="1"/>
  <c r="C747" i="18"/>
  <c r="G747" i="18" s="1"/>
  <c r="J746" i="18"/>
  <c r="I746" i="18"/>
  <c r="F746" i="18"/>
  <c r="E746" i="18"/>
  <c r="D746" i="18"/>
  <c r="H746" i="18" s="1"/>
  <c r="C746" i="18"/>
  <c r="G746" i="18" s="1"/>
  <c r="K746" i="18" s="1"/>
  <c r="J745" i="18"/>
  <c r="I745" i="18"/>
  <c r="F745" i="18"/>
  <c r="E745" i="18"/>
  <c r="D745" i="18"/>
  <c r="H745" i="18" s="1"/>
  <c r="C745" i="18"/>
  <c r="G745" i="18" s="1"/>
  <c r="J744" i="18"/>
  <c r="I744" i="18"/>
  <c r="F744" i="18"/>
  <c r="E744" i="18"/>
  <c r="D744" i="18"/>
  <c r="H744" i="18" s="1"/>
  <c r="C744" i="18"/>
  <c r="G744" i="18" s="1"/>
  <c r="K744" i="18" s="1"/>
  <c r="J743" i="18"/>
  <c r="I743" i="18"/>
  <c r="F743" i="18"/>
  <c r="E743" i="18"/>
  <c r="D743" i="18"/>
  <c r="H743" i="18" s="1"/>
  <c r="C743" i="18"/>
  <c r="G743" i="18" s="1"/>
  <c r="J742" i="18"/>
  <c r="I742" i="18"/>
  <c r="F742" i="18"/>
  <c r="E742" i="18"/>
  <c r="D742" i="18"/>
  <c r="H742" i="18" s="1"/>
  <c r="C742" i="18"/>
  <c r="G742" i="18" s="1"/>
  <c r="K742" i="18" s="1"/>
  <c r="J741" i="18"/>
  <c r="I741" i="18"/>
  <c r="F741" i="18"/>
  <c r="E741" i="18"/>
  <c r="D741" i="18"/>
  <c r="H741" i="18" s="1"/>
  <c r="C741" i="18"/>
  <c r="G741" i="18" s="1"/>
  <c r="J740" i="18"/>
  <c r="I740" i="18"/>
  <c r="F740" i="18"/>
  <c r="E740" i="18"/>
  <c r="D740" i="18"/>
  <c r="H740" i="18" s="1"/>
  <c r="C740" i="18"/>
  <c r="G740" i="18" s="1"/>
  <c r="K740" i="18" s="1"/>
  <c r="J739" i="18"/>
  <c r="B752" i="18" s="1"/>
  <c r="I739" i="18"/>
  <c r="F739" i="18"/>
  <c r="E739" i="18"/>
  <c r="D739" i="18"/>
  <c r="H739" i="18" s="1"/>
  <c r="C739" i="18"/>
  <c r="G739" i="18" s="1"/>
  <c r="G731" i="18"/>
  <c r="F731" i="18"/>
  <c r="M731" i="18" s="1"/>
  <c r="N731" i="18" s="1"/>
  <c r="H731" i="18" s="1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9" i="18"/>
  <c r="B698" i="18" s="1"/>
  <c r="B697" i="18"/>
  <c r="B685" i="18"/>
  <c r="B682" i="18"/>
  <c r="B689" i="18" s="1"/>
  <c r="J661" i="18"/>
  <c r="I661" i="18"/>
  <c r="F661" i="18"/>
  <c r="E661" i="18"/>
  <c r="D661" i="18"/>
  <c r="H661" i="18" s="1"/>
  <c r="C661" i="18"/>
  <c r="G661" i="18" s="1"/>
  <c r="K661" i="18" s="1"/>
  <c r="J660" i="18"/>
  <c r="I660" i="18"/>
  <c r="F660" i="18"/>
  <c r="E660" i="18"/>
  <c r="D660" i="18"/>
  <c r="H660" i="18" s="1"/>
  <c r="C660" i="18"/>
  <c r="G660" i="18" s="1"/>
  <c r="K660" i="18" s="1"/>
  <c r="M652" i="18"/>
  <c r="I652" i="18"/>
  <c r="L652" i="18" s="1"/>
  <c r="G652" i="18"/>
  <c r="F652" i="18"/>
  <c r="E652" i="18"/>
  <c r="D652" i="18"/>
  <c r="C652" i="18"/>
  <c r="H637" i="18"/>
  <c r="G637" i="18"/>
  <c r="F637" i="18"/>
  <c r="E637" i="18"/>
  <c r="D637" i="18"/>
  <c r="C637" i="18"/>
  <c r="H636" i="18"/>
  <c r="B673" i="18" s="1"/>
  <c r="G636" i="18"/>
  <c r="F636" i="18"/>
  <c r="E636" i="18"/>
  <c r="D636" i="18"/>
  <c r="C636" i="18"/>
  <c r="B620" i="18"/>
  <c r="B619" i="18"/>
  <c r="B618" i="18"/>
  <c r="B607" i="18"/>
  <c r="B606" i="18"/>
  <c r="B603" i="18"/>
  <c r="B610" i="18" s="1"/>
  <c r="J583" i="18"/>
  <c r="I583" i="18"/>
  <c r="F583" i="18"/>
  <c r="E583" i="18"/>
  <c r="D583" i="18"/>
  <c r="H583" i="18" s="1"/>
  <c r="C583" i="18"/>
  <c r="G583" i="18" s="1"/>
  <c r="J582" i="18"/>
  <c r="I582" i="18"/>
  <c r="F582" i="18"/>
  <c r="E582" i="18"/>
  <c r="D582" i="18"/>
  <c r="H582" i="18" s="1"/>
  <c r="C582" i="18"/>
  <c r="G582" i="18" s="1"/>
  <c r="J581" i="18"/>
  <c r="B594" i="18" s="1"/>
  <c r="I581" i="18"/>
  <c r="F581" i="18"/>
  <c r="E581" i="18"/>
  <c r="D581" i="18"/>
  <c r="H581" i="18" s="1"/>
  <c r="C581" i="18"/>
  <c r="G581" i="18" s="1"/>
  <c r="G573" i="18"/>
  <c r="F573" i="18"/>
  <c r="M573" i="18" s="1"/>
  <c r="E573" i="18"/>
  <c r="D573" i="18"/>
  <c r="C573" i="18"/>
  <c r="I573" i="18" s="1"/>
  <c r="L573" i="18" s="1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G557" i="18"/>
  <c r="F557" i="18"/>
  <c r="E557" i="18"/>
  <c r="D557" i="18"/>
  <c r="C557" i="18"/>
  <c r="B539" i="18"/>
  <c r="B541" i="18" s="1"/>
  <c r="B540" i="18" s="1"/>
  <c r="B531" i="18"/>
  <c r="B533" i="18" s="1"/>
  <c r="B534" i="18" s="1"/>
  <c r="B527" i="18"/>
  <c r="B528" i="18" s="1"/>
  <c r="B524" i="18"/>
  <c r="J504" i="18"/>
  <c r="I504" i="18"/>
  <c r="F504" i="18"/>
  <c r="E504" i="18"/>
  <c r="D504" i="18"/>
  <c r="H504" i="18" s="1"/>
  <c r="C504" i="18"/>
  <c r="G504" i="18" s="1"/>
  <c r="K504" i="18" s="1"/>
  <c r="J503" i="18"/>
  <c r="I503" i="18"/>
  <c r="F503" i="18"/>
  <c r="E503" i="18"/>
  <c r="D503" i="18"/>
  <c r="H503" i="18" s="1"/>
  <c r="C503" i="18"/>
  <c r="G503" i="18" s="1"/>
  <c r="K503" i="18" s="1"/>
  <c r="J502" i="18"/>
  <c r="I502" i="18"/>
  <c r="F502" i="18"/>
  <c r="E502" i="18"/>
  <c r="D502" i="18"/>
  <c r="H502" i="18" s="1"/>
  <c r="C502" i="18"/>
  <c r="G502" i="18" s="1"/>
  <c r="K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H479" i="18"/>
  <c r="G479" i="18"/>
  <c r="F479" i="18"/>
  <c r="E479" i="18"/>
  <c r="D479" i="18"/>
  <c r="C479" i="18"/>
  <c r="H478" i="18"/>
  <c r="B515" i="18" s="1"/>
  <c r="G478" i="18"/>
  <c r="F478" i="18"/>
  <c r="E478" i="18"/>
  <c r="D478" i="18"/>
  <c r="C478" i="18"/>
  <c r="B461" i="18"/>
  <c r="B463" i="18" s="1"/>
  <c r="B462" i="18" s="1"/>
  <c r="B450" i="18"/>
  <c r="B449" i="18"/>
  <c r="B446" i="18"/>
  <c r="B453" i="18" s="1"/>
  <c r="J428" i="18"/>
  <c r="I428" i="18"/>
  <c r="F428" i="18"/>
  <c r="E428" i="18"/>
  <c r="D428" i="18"/>
  <c r="H428" i="18" s="1"/>
  <c r="C428" i="18"/>
  <c r="G428" i="18" s="1"/>
  <c r="K428" i="18" s="1"/>
  <c r="J427" i="18"/>
  <c r="I427" i="18"/>
  <c r="F427" i="18"/>
  <c r="E427" i="18"/>
  <c r="D427" i="18"/>
  <c r="H427" i="18" s="1"/>
  <c r="C427" i="18"/>
  <c r="G427" i="18" s="1"/>
  <c r="K427" i="18" s="1"/>
  <c r="J426" i="18"/>
  <c r="I426" i="18"/>
  <c r="F426" i="18"/>
  <c r="E426" i="18"/>
  <c r="D426" i="18"/>
  <c r="H426" i="18" s="1"/>
  <c r="C426" i="18"/>
  <c r="G426" i="18" s="1"/>
  <c r="J425" i="18"/>
  <c r="I425" i="18"/>
  <c r="F425" i="18"/>
  <c r="E425" i="18"/>
  <c r="D425" i="18"/>
  <c r="H425" i="18" s="1"/>
  <c r="C425" i="18"/>
  <c r="G425" i="18" s="1"/>
  <c r="K425" i="18" s="1"/>
  <c r="J424" i="18"/>
  <c r="I424" i="18"/>
  <c r="F424" i="18"/>
  <c r="E424" i="18"/>
  <c r="D424" i="18"/>
  <c r="H424" i="18" s="1"/>
  <c r="C424" i="18"/>
  <c r="G424" i="18" s="1"/>
  <c r="H402" i="18"/>
  <c r="G402" i="18"/>
  <c r="F402" i="18"/>
  <c r="E402" i="18"/>
  <c r="D402" i="18"/>
  <c r="C402" i="18"/>
  <c r="H401" i="18"/>
  <c r="G401" i="18"/>
  <c r="F401" i="18"/>
  <c r="E401" i="18"/>
  <c r="D401" i="18"/>
  <c r="C401" i="18"/>
  <c r="H400" i="18"/>
  <c r="G400" i="18"/>
  <c r="F400" i="18"/>
  <c r="E400" i="18"/>
  <c r="D400" i="18"/>
  <c r="C400" i="18"/>
  <c r="B385" i="18"/>
  <c r="B384" i="18" s="1"/>
  <c r="B383" i="18"/>
  <c r="B371" i="18"/>
  <c r="B372" i="18" s="1"/>
  <c r="B368" i="18"/>
  <c r="B375" i="18" s="1"/>
  <c r="G375" i="18" s="1"/>
  <c r="J350" i="18"/>
  <c r="I350" i="18"/>
  <c r="F350" i="18"/>
  <c r="E350" i="18"/>
  <c r="D350" i="18"/>
  <c r="H350" i="18" s="1"/>
  <c r="C350" i="18"/>
  <c r="G350" i="18" s="1"/>
  <c r="K350" i="18" s="1"/>
  <c r="J349" i="18"/>
  <c r="I349" i="18"/>
  <c r="F349" i="18"/>
  <c r="E349" i="18"/>
  <c r="D349" i="18"/>
  <c r="H349" i="18" s="1"/>
  <c r="C349" i="18"/>
  <c r="G349" i="18" s="1"/>
  <c r="J348" i="18"/>
  <c r="I348" i="18"/>
  <c r="F348" i="18"/>
  <c r="E348" i="18"/>
  <c r="D348" i="18"/>
  <c r="H348" i="18" s="1"/>
  <c r="C348" i="18"/>
  <c r="G348" i="18" s="1"/>
  <c r="J347" i="18"/>
  <c r="I347" i="18"/>
  <c r="F347" i="18"/>
  <c r="E347" i="18"/>
  <c r="D347" i="18"/>
  <c r="H347" i="18" s="1"/>
  <c r="C347" i="18"/>
  <c r="G347" i="18" s="1"/>
  <c r="J346" i="18"/>
  <c r="I346" i="18"/>
  <c r="F346" i="18"/>
  <c r="E346" i="18"/>
  <c r="D346" i="18"/>
  <c r="H346" i="18" s="1"/>
  <c r="C346" i="18"/>
  <c r="G346" i="18" s="1"/>
  <c r="K346" i="18" s="1"/>
  <c r="H325" i="18"/>
  <c r="G325" i="18"/>
  <c r="F325" i="18"/>
  <c r="E325" i="18"/>
  <c r="D325" i="18"/>
  <c r="C325" i="18"/>
  <c r="H324" i="18"/>
  <c r="G324" i="18"/>
  <c r="F324" i="18"/>
  <c r="E324" i="18"/>
  <c r="D324" i="18"/>
  <c r="C324" i="18"/>
  <c r="H323" i="18"/>
  <c r="G323" i="18"/>
  <c r="F323" i="18"/>
  <c r="E323" i="18"/>
  <c r="D323" i="18"/>
  <c r="C323" i="18"/>
  <c r="H322" i="18"/>
  <c r="B359" i="18" s="1"/>
  <c r="G322" i="18"/>
  <c r="F322" i="18"/>
  <c r="E322" i="18"/>
  <c r="D322" i="18"/>
  <c r="C322" i="18"/>
  <c r="B305" i="18"/>
  <c r="B304" i="18"/>
  <c r="B306" i="18" s="1"/>
  <c r="G296" i="18"/>
  <c r="B296" i="18"/>
  <c r="B298" i="18" s="1"/>
  <c r="B299" i="18" s="1"/>
  <c r="B292" i="18"/>
  <c r="B289" i="18"/>
  <c r="J270" i="18"/>
  <c r="I270" i="18"/>
  <c r="F270" i="18"/>
  <c r="E270" i="18"/>
  <c r="D270" i="18"/>
  <c r="H270" i="18" s="1"/>
  <c r="C270" i="18"/>
  <c r="G270" i="18" s="1"/>
  <c r="K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F268" i="18"/>
  <c r="E268" i="18"/>
  <c r="D268" i="18"/>
  <c r="H268" i="18" s="1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H246" i="18"/>
  <c r="G246" i="18"/>
  <c r="F246" i="18"/>
  <c r="E246" i="18"/>
  <c r="D246" i="18"/>
  <c r="C246" i="18"/>
  <c r="H245" i="18"/>
  <c r="G245" i="18"/>
  <c r="F245" i="18"/>
  <c r="E245" i="18"/>
  <c r="D245" i="18"/>
  <c r="C245" i="18"/>
  <c r="H244" i="18"/>
  <c r="G244" i="18"/>
  <c r="F244" i="18"/>
  <c r="E244" i="18"/>
  <c r="D244" i="18"/>
  <c r="C244" i="18"/>
  <c r="H243" i="18"/>
  <c r="B280" i="18" s="1"/>
  <c r="B310" i="18" s="1"/>
  <c r="G243" i="18"/>
  <c r="F243" i="18"/>
  <c r="E243" i="18"/>
  <c r="D243" i="18"/>
  <c r="C243" i="18"/>
  <c r="B227" i="18"/>
  <c r="B226" i="18" s="1"/>
  <c r="B225" i="18"/>
  <c r="B219" i="18"/>
  <c r="B220" i="18" s="1"/>
  <c r="B213" i="18"/>
  <c r="B210" i="18"/>
  <c r="B217" i="18" s="1"/>
  <c r="G217" i="18" s="1"/>
  <c r="J190" i="18"/>
  <c r="I190" i="18"/>
  <c r="F190" i="18"/>
  <c r="E190" i="18"/>
  <c r="D190" i="18"/>
  <c r="H190" i="18" s="1"/>
  <c r="C190" i="18"/>
  <c r="G190" i="18" s="1"/>
  <c r="K190" i="18" s="1"/>
  <c r="J189" i="18"/>
  <c r="I189" i="18"/>
  <c r="F189" i="18"/>
  <c r="E189" i="18"/>
  <c r="D189" i="18"/>
  <c r="H189" i="18" s="1"/>
  <c r="C189" i="18"/>
  <c r="G189" i="18" s="1"/>
  <c r="K189" i="18" s="1"/>
  <c r="J188" i="18"/>
  <c r="I188" i="18"/>
  <c r="F188" i="18"/>
  <c r="E188" i="18"/>
  <c r="D188" i="18"/>
  <c r="H188" i="18" s="1"/>
  <c r="C188" i="18"/>
  <c r="G188" i="18" s="1"/>
  <c r="L180" i="18"/>
  <c r="I180" i="18"/>
  <c r="G180" i="18"/>
  <c r="F180" i="18"/>
  <c r="M180" i="18" s="1"/>
  <c r="E180" i="18"/>
  <c r="D180" i="18"/>
  <c r="C180" i="18"/>
  <c r="H165" i="18"/>
  <c r="G165" i="18"/>
  <c r="F165" i="18"/>
  <c r="E165" i="18"/>
  <c r="D165" i="18"/>
  <c r="C165" i="18"/>
  <c r="H164" i="18"/>
  <c r="G164" i="18"/>
  <c r="F164" i="18"/>
  <c r="E164" i="18"/>
  <c r="D164" i="18"/>
  <c r="C164" i="18"/>
  <c r="B145" i="18"/>
  <c r="B147" i="18" s="1"/>
  <c r="B146" i="18" s="1"/>
  <c r="B137" i="18"/>
  <c r="B68" i="18"/>
  <c r="B67" i="18" s="1"/>
  <c r="B21" i="18"/>
  <c r="V12" i="18"/>
  <c r="V11" i="18"/>
  <c r="V10" i="18"/>
  <c r="V9" i="18"/>
  <c r="V8" i="18"/>
  <c r="V7" i="18"/>
  <c r="B133" i="17"/>
  <c r="B130" i="17"/>
  <c r="F109" i="17"/>
  <c r="E109" i="17"/>
  <c r="D109" i="17"/>
  <c r="H109" i="17" s="1"/>
  <c r="C109" i="17"/>
  <c r="G109" i="17" s="1"/>
  <c r="K109" i="17" s="1"/>
  <c r="F108" i="17"/>
  <c r="E108" i="17"/>
  <c r="D108" i="17"/>
  <c r="H108" i="17" s="1"/>
  <c r="C108" i="17"/>
  <c r="G108" i="17" s="1"/>
  <c r="K108" i="17" s="1"/>
  <c r="F92" i="17"/>
  <c r="E92" i="17"/>
  <c r="D92" i="17"/>
  <c r="C92" i="17"/>
  <c r="F91" i="17"/>
  <c r="E91" i="17"/>
  <c r="D91" i="17"/>
  <c r="C91" i="17"/>
  <c r="F90" i="17"/>
  <c r="E90" i="17"/>
  <c r="D90" i="17"/>
  <c r="C90" i="17"/>
  <c r="F89" i="17"/>
  <c r="E89" i="17"/>
  <c r="D89" i="17"/>
  <c r="C89" i="17"/>
  <c r="F88" i="17"/>
  <c r="E88" i="17"/>
  <c r="D88" i="17"/>
  <c r="C88" i="17"/>
  <c r="F87" i="17"/>
  <c r="E87" i="17"/>
  <c r="D87" i="17"/>
  <c r="C87" i="17"/>
  <c r="F86" i="17"/>
  <c r="E86" i="17"/>
  <c r="D86" i="17"/>
  <c r="C86" i="17"/>
  <c r="F85" i="17"/>
  <c r="E85" i="17"/>
  <c r="D85" i="17"/>
  <c r="C85" i="17"/>
  <c r="F84" i="17"/>
  <c r="E84" i="17"/>
  <c r="D84" i="17"/>
  <c r="C84" i="17"/>
  <c r="B66" i="17"/>
  <c r="B54" i="17"/>
  <c r="B51" i="17"/>
  <c r="F34" i="17"/>
  <c r="E34" i="17"/>
  <c r="D34" i="17"/>
  <c r="H34" i="17" s="1"/>
  <c r="C34" i="17"/>
  <c r="G34" i="17" s="1"/>
  <c r="F33" i="17"/>
  <c r="E33" i="17"/>
  <c r="D33" i="17"/>
  <c r="H33" i="17" s="1"/>
  <c r="C33" i="17"/>
  <c r="G33" i="17" s="1"/>
  <c r="K28" i="17"/>
  <c r="I28" i="17"/>
  <c r="E28" i="17"/>
  <c r="D28" i="17"/>
  <c r="C28" i="17"/>
  <c r="F22" i="17"/>
  <c r="E22" i="17"/>
  <c r="D22" i="17"/>
  <c r="C22" i="17"/>
  <c r="F21" i="17"/>
  <c r="E21" i="17"/>
  <c r="D21" i="17"/>
  <c r="C21" i="17"/>
  <c r="D19" i="17"/>
  <c r="C19" i="17"/>
  <c r="B19" i="17"/>
  <c r="F19" i="17" s="1"/>
  <c r="B18" i="17"/>
  <c r="E18" i="17" s="1"/>
  <c r="E17" i="17"/>
  <c r="B17" i="17"/>
  <c r="E16" i="17"/>
  <c r="D16" i="17"/>
  <c r="C16" i="17"/>
  <c r="B16" i="17"/>
  <c r="F16" i="17" s="1"/>
  <c r="D15" i="17"/>
  <c r="C15" i="17"/>
  <c r="B15" i="17"/>
  <c r="F15" i="17" s="1"/>
  <c r="B14" i="17"/>
  <c r="E14" i="17" s="1"/>
  <c r="E13" i="17"/>
  <c r="B13" i="17"/>
  <c r="E12" i="17"/>
  <c r="D12" i="17"/>
  <c r="C12" i="17"/>
  <c r="B12" i="17"/>
  <c r="F12" i="17" s="1"/>
  <c r="B776" i="17"/>
  <c r="B778" i="17" s="1"/>
  <c r="B777" i="17" s="1"/>
  <c r="B768" i="17"/>
  <c r="B764" i="17"/>
  <c r="B761" i="17"/>
  <c r="J750" i="17"/>
  <c r="I750" i="17"/>
  <c r="F750" i="17"/>
  <c r="E750" i="17"/>
  <c r="D750" i="17"/>
  <c r="H750" i="17" s="1"/>
  <c r="C750" i="17"/>
  <c r="G750" i="17" s="1"/>
  <c r="J749" i="17"/>
  <c r="I749" i="17"/>
  <c r="F749" i="17"/>
  <c r="E749" i="17"/>
  <c r="D749" i="17"/>
  <c r="H749" i="17" s="1"/>
  <c r="C749" i="17"/>
  <c r="G749" i="17" s="1"/>
  <c r="K749" i="17" s="1"/>
  <c r="J748" i="17"/>
  <c r="I748" i="17"/>
  <c r="F748" i="17"/>
  <c r="E748" i="17"/>
  <c r="D748" i="17"/>
  <c r="H748" i="17" s="1"/>
  <c r="C748" i="17"/>
  <c r="G748" i="17" s="1"/>
  <c r="J747" i="17"/>
  <c r="I747" i="17"/>
  <c r="F747" i="17"/>
  <c r="E747" i="17"/>
  <c r="D747" i="17"/>
  <c r="H747" i="17" s="1"/>
  <c r="C747" i="17"/>
  <c r="G747" i="17" s="1"/>
  <c r="K747" i="17" s="1"/>
  <c r="J746" i="17"/>
  <c r="I746" i="17"/>
  <c r="F746" i="17"/>
  <c r="E746" i="17"/>
  <c r="D746" i="17"/>
  <c r="H746" i="17" s="1"/>
  <c r="C746" i="17"/>
  <c r="G746" i="17" s="1"/>
  <c r="J745" i="17"/>
  <c r="I745" i="17"/>
  <c r="F745" i="17"/>
  <c r="E745" i="17"/>
  <c r="D745" i="17"/>
  <c r="H745" i="17" s="1"/>
  <c r="C745" i="17"/>
  <c r="G745" i="17" s="1"/>
  <c r="K745" i="17" s="1"/>
  <c r="J744" i="17"/>
  <c r="I744" i="17"/>
  <c r="F744" i="17"/>
  <c r="E744" i="17"/>
  <c r="D744" i="17"/>
  <c r="H744" i="17" s="1"/>
  <c r="C744" i="17"/>
  <c r="G744" i="17" s="1"/>
  <c r="J743" i="17"/>
  <c r="I743" i="17"/>
  <c r="F743" i="17"/>
  <c r="E743" i="17"/>
  <c r="D743" i="17"/>
  <c r="H743" i="17" s="1"/>
  <c r="C743" i="17"/>
  <c r="G743" i="17" s="1"/>
  <c r="K743" i="17" s="1"/>
  <c r="J742" i="17"/>
  <c r="I742" i="17"/>
  <c r="H742" i="17"/>
  <c r="F742" i="17"/>
  <c r="E742" i="17"/>
  <c r="D742" i="17"/>
  <c r="C742" i="17"/>
  <c r="G742" i="17" s="1"/>
  <c r="K742" i="17" s="1"/>
  <c r="J741" i="17"/>
  <c r="I741" i="17"/>
  <c r="F741" i="17"/>
  <c r="E741" i="17"/>
  <c r="D741" i="17"/>
  <c r="H741" i="17" s="1"/>
  <c r="C741" i="17"/>
  <c r="G741" i="17" s="1"/>
  <c r="J740" i="17"/>
  <c r="I740" i="17"/>
  <c r="F740" i="17"/>
  <c r="E740" i="17"/>
  <c r="D740" i="17"/>
  <c r="H740" i="17" s="1"/>
  <c r="C740" i="17"/>
  <c r="G740" i="17" s="1"/>
  <c r="K740" i="17" s="1"/>
  <c r="J739" i="17"/>
  <c r="I739" i="17"/>
  <c r="F739" i="17"/>
  <c r="E739" i="17"/>
  <c r="D739" i="17"/>
  <c r="H739" i="17" s="1"/>
  <c r="C739" i="17"/>
  <c r="G739" i="17" s="1"/>
  <c r="K739" i="17" s="1"/>
  <c r="B752" i="17" s="1"/>
  <c r="I731" i="17"/>
  <c r="L731" i="17" s="1"/>
  <c r="G731" i="17"/>
  <c r="F731" i="17"/>
  <c r="M731" i="17" s="1"/>
  <c r="N731" i="17" s="1"/>
  <c r="H731" i="17" s="1"/>
  <c r="E731" i="17"/>
  <c r="D731" i="17"/>
  <c r="C731" i="17"/>
  <c r="H717" i="17"/>
  <c r="G717" i="17"/>
  <c r="F717" i="17"/>
  <c r="E717" i="17"/>
  <c r="D717" i="17"/>
  <c r="C717" i="17"/>
  <c r="H716" i="17"/>
  <c r="G716" i="17"/>
  <c r="F716" i="17"/>
  <c r="E716" i="17"/>
  <c r="D716" i="17"/>
  <c r="C716" i="17"/>
  <c r="H715" i="17"/>
  <c r="G715" i="17"/>
  <c r="F715" i="17"/>
  <c r="E715" i="17"/>
  <c r="D715" i="17"/>
  <c r="C715" i="17"/>
  <c r="B699" i="17"/>
  <c r="B698" i="17"/>
  <c r="B697" i="17"/>
  <c r="G689" i="17"/>
  <c r="B685" i="17"/>
  <c r="B682" i="17"/>
  <c r="B689" i="17" s="1"/>
  <c r="B691" i="17" s="1"/>
  <c r="B692" i="17" s="1"/>
  <c r="J661" i="17"/>
  <c r="I661" i="17"/>
  <c r="F661" i="17"/>
  <c r="E661" i="17"/>
  <c r="D661" i="17"/>
  <c r="H661" i="17" s="1"/>
  <c r="C661" i="17"/>
  <c r="G661" i="17" s="1"/>
  <c r="J660" i="17"/>
  <c r="I660" i="17"/>
  <c r="F660" i="17"/>
  <c r="E660" i="17"/>
  <c r="D660" i="17"/>
  <c r="H660" i="17" s="1"/>
  <c r="C660" i="17"/>
  <c r="G660" i="17" s="1"/>
  <c r="K660" i="17" s="1"/>
  <c r="N652" i="17"/>
  <c r="H652" i="17" s="1"/>
  <c r="M652" i="17"/>
  <c r="G652" i="17"/>
  <c r="F652" i="17"/>
  <c r="E652" i="17"/>
  <c r="D652" i="17"/>
  <c r="C652" i="17"/>
  <c r="I652" i="17" s="1"/>
  <c r="L652" i="17" s="1"/>
  <c r="H637" i="17"/>
  <c r="G637" i="17"/>
  <c r="F637" i="17"/>
  <c r="E637" i="17"/>
  <c r="D637" i="17"/>
  <c r="C637" i="17"/>
  <c r="H636" i="17"/>
  <c r="B673" i="17" s="1"/>
  <c r="B703" i="17" s="1"/>
  <c r="G636" i="17"/>
  <c r="F636" i="17"/>
  <c r="E636" i="17"/>
  <c r="D636" i="17"/>
  <c r="C636" i="17"/>
  <c r="B620" i="17"/>
  <c r="B619" i="17" s="1"/>
  <c r="B618" i="17"/>
  <c r="B606" i="17"/>
  <c r="B607" i="17" s="1"/>
  <c r="B603" i="17"/>
  <c r="B610" i="17" s="1"/>
  <c r="G610" i="17" s="1"/>
  <c r="J583" i="17"/>
  <c r="I583" i="17"/>
  <c r="F583" i="17"/>
  <c r="E583" i="17"/>
  <c r="D583" i="17"/>
  <c r="H583" i="17" s="1"/>
  <c r="C583" i="17"/>
  <c r="G583" i="17" s="1"/>
  <c r="K583" i="17" s="1"/>
  <c r="J582" i="17"/>
  <c r="I582" i="17"/>
  <c r="F582" i="17"/>
  <c r="E582" i="17"/>
  <c r="D582" i="17"/>
  <c r="H582" i="17" s="1"/>
  <c r="C582" i="17"/>
  <c r="G582" i="17" s="1"/>
  <c r="J581" i="17"/>
  <c r="I581" i="17"/>
  <c r="F581" i="17"/>
  <c r="E581" i="17"/>
  <c r="D581" i="17"/>
  <c r="H581" i="17" s="1"/>
  <c r="C581" i="17"/>
  <c r="G581" i="17" s="1"/>
  <c r="M573" i="17"/>
  <c r="G573" i="17"/>
  <c r="F573" i="17"/>
  <c r="E573" i="17"/>
  <c r="D573" i="17"/>
  <c r="C573" i="17"/>
  <c r="I573" i="17" s="1"/>
  <c r="L573" i="17" s="1"/>
  <c r="H559" i="17"/>
  <c r="G559" i="17"/>
  <c r="F559" i="17"/>
  <c r="E559" i="17"/>
  <c r="D559" i="17"/>
  <c r="C559" i="17"/>
  <c r="H558" i="17"/>
  <c r="G558" i="17"/>
  <c r="F558" i="17"/>
  <c r="E558" i="17"/>
  <c r="D558" i="17"/>
  <c r="C558" i="17"/>
  <c r="H557" i="17"/>
  <c r="B594" i="17" s="1"/>
  <c r="G557" i="17"/>
  <c r="F557" i="17"/>
  <c r="E557" i="17"/>
  <c r="D557" i="17"/>
  <c r="C557" i="17"/>
  <c r="B541" i="17"/>
  <c r="B540" i="17" s="1"/>
  <c r="B539" i="17"/>
  <c r="B531" i="17"/>
  <c r="B533" i="17" s="1"/>
  <c r="B534" i="17" s="1"/>
  <c r="B528" i="17"/>
  <c r="B527" i="17"/>
  <c r="B524" i="17"/>
  <c r="J504" i="17"/>
  <c r="I504" i="17"/>
  <c r="F504" i="17"/>
  <c r="E504" i="17"/>
  <c r="D504" i="17"/>
  <c r="H504" i="17" s="1"/>
  <c r="C504" i="17"/>
  <c r="G504" i="17" s="1"/>
  <c r="J503" i="17"/>
  <c r="I503" i="17"/>
  <c r="F503" i="17"/>
  <c r="E503" i="17"/>
  <c r="D503" i="17"/>
  <c r="H503" i="17" s="1"/>
  <c r="C503" i="17"/>
  <c r="G503" i="17" s="1"/>
  <c r="K503" i="17" s="1"/>
  <c r="J502" i="17"/>
  <c r="I502" i="17"/>
  <c r="F502" i="17"/>
  <c r="E502" i="17"/>
  <c r="D502" i="17"/>
  <c r="H502" i="17" s="1"/>
  <c r="C502" i="17"/>
  <c r="G502" i="17" s="1"/>
  <c r="H483" i="17"/>
  <c r="G483" i="17"/>
  <c r="F483" i="17"/>
  <c r="E483" i="17"/>
  <c r="D483" i="17"/>
  <c r="C483" i="17"/>
  <c r="H482" i="17"/>
  <c r="G482" i="17"/>
  <c r="F482" i="17"/>
  <c r="E482" i="17"/>
  <c r="D482" i="17"/>
  <c r="C482" i="17"/>
  <c r="H481" i="17"/>
  <c r="G481" i="17"/>
  <c r="F481" i="17"/>
  <c r="E481" i="17"/>
  <c r="D481" i="17"/>
  <c r="C481" i="17"/>
  <c r="H480" i="17"/>
  <c r="G480" i="17"/>
  <c r="F480" i="17"/>
  <c r="E480" i="17"/>
  <c r="D480" i="17"/>
  <c r="C480" i="17"/>
  <c r="H479" i="17"/>
  <c r="B515" i="17" s="1"/>
  <c r="G479" i="17"/>
  <c r="F479" i="17"/>
  <c r="E479" i="17"/>
  <c r="D479" i="17"/>
  <c r="C479" i="17"/>
  <c r="H478" i="17"/>
  <c r="G478" i="17"/>
  <c r="F478" i="17"/>
  <c r="E478" i="17"/>
  <c r="D478" i="17"/>
  <c r="C478" i="17"/>
  <c r="B461" i="17"/>
  <c r="B463" i="17" s="1"/>
  <c r="B462" i="17" s="1"/>
  <c r="B453" i="17"/>
  <c r="B450" i="17"/>
  <c r="B449" i="17"/>
  <c r="B446" i="17"/>
  <c r="B438" i="17"/>
  <c r="B468" i="17" s="1"/>
  <c r="J428" i="17"/>
  <c r="I428" i="17"/>
  <c r="F428" i="17"/>
  <c r="E428" i="17"/>
  <c r="D428" i="17"/>
  <c r="H428" i="17" s="1"/>
  <c r="C428" i="17"/>
  <c r="G428" i="17" s="1"/>
  <c r="K428" i="17" s="1"/>
  <c r="J427" i="17"/>
  <c r="I427" i="17"/>
  <c r="F427" i="17"/>
  <c r="E427" i="17"/>
  <c r="D427" i="17"/>
  <c r="H427" i="17" s="1"/>
  <c r="C427" i="17"/>
  <c r="G427" i="17" s="1"/>
  <c r="K427" i="17" s="1"/>
  <c r="J426" i="17"/>
  <c r="I426" i="17"/>
  <c r="F426" i="17"/>
  <c r="E426" i="17"/>
  <c r="D426" i="17"/>
  <c r="H426" i="17" s="1"/>
  <c r="C426" i="17"/>
  <c r="G426" i="17" s="1"/>
  <c r="K426" i="17" s="1"/>
  <c r="J425" i="17"/>
  <c r="I425" i="17"/>
  <c r="H425" i="17"/>
  <c r="F425" i="17"/>
  <c r="E425" i="17"/>
  <c r="D425" i="17"/>
  <c r="C425" i="17"/>
  <c r="G425" i="17" s="1"/>
  <c r="K425" i="17" s="1"/>
  <c r="J424" i="17"/>
  <c r="I424" i="17"/>
  <c r="F424" i="17"/>
  <c r="E424" i="17"/>
  <c r="D424" i="17"/>
  <c r="H424" i="17" s="1"/>
  <c r="C424" i="17"/>
  <c r="G424" i="17" s="1"/>
  <c r="H402" i="17"/>
  <c r="G402" i="17"/>
  <c r="F402" i="17"/>
  <c r="E402" i="17"/>
  <c r="D402" i="17"/>
  <c r="C402" i="17"/>
  <c r="H401" i="17"/>
  <c r="G401" i="17"/>
  <c r="F401" i="17"/>
  <c r="E401" i="17"/>
  <c r="D401" i="17"/>
  <c r="C401" i="17"/>
  <c r="H400" i="17"/>
  <c r="B437" i="17" s="1"/>
  <c r="B467" i="17" s="1"/>
  <c r="G400" i="17"/>
  <c r="F400" i="17"/>
  <c r="E400" i="17"/>
  <c r="D400" i="17"/>
  <c r="C400" i="17"/>
  <c r="B385" i="17"/>
  <c r="B384" i="17"/>
  <c r="B383" i="17"/>
  <c r="G375" i="17"/>
  <c r="B371" i="17"/>
  <c r="B372" i="17" s="1"/>
  <c r="B368" i="17"/>
  <c r="B375" i="17" s="1"/>
  <c r="B377" i="17" s="1"/>
  <c r="B378" i="17" s="1"/>
  <c r="J350" i="17"/>
  <c r="I350" i="17"/>
  <c r="F350" i="17"/>
  <c r="E350" i="17"/>
  <c r="D350" i="17"/>
  <c r="H350" i="17" s="1"/>
  <c r="C350" i="17"/>
  <c r="G350" i="17" s="1"/>
  <c r="K350" i="17" s="1"/>
  <c r="J349" i="17"/>
  <c r="I349" i="17"/>
  <c r="F349" i="17"/>
  <c r="E349" i="17"/>
  <c r="D349" i="17"/>
  <c r="H349" i="17" s="1"/>
  <c r="C349" i="17"/>
  <c r="G349" i="17" s="1"/>
  <c r="K349" i="17" s="1"/>
  <c r="J348" i="17"/>
  <c r="I348" i="17"/>
  <c r="H348" i="17"/>
  <c r="F348" i="17"/>
  <c r="E348" i="17"/>
  <c r="D348" i="17"/>
  <c r="C348" i="17"/>
  <c r="G348" i="17" s="1"/>
  <c r="K348" i="17" s="1"/>
  <c r="J347" i="17"/>
  <c r="I347" i="17"/>
  <c r="F347" i="17"/>
  <c r="E347" i="17"/>
  <c r="D347" i="17"/>
  <c r="H347" i="17" s="1"/>
  <c r="C347" i="17"/>
  <c r="G347" i="17" s="1"/>
  <c r="K347" i="17" s="1"/>
  <c r="J346" i="17"/>
  <c r="I346" i="17"/>
  <c r="F346" i="17"/>
  <c r="E346" i="17"/>
  <c r="D346" i="17"/>
  <c r="H346" i="17" s="1"/>
  <c r="C346" i="17"/>
  <c r="G346" i="17" s="1"/>
  <c r="K346" i="17" s="1"/>
  <c r="H325" i="17"/>
  <c r="G325" i="17"/>
  <c r="F325" i="17"/>
  <c r="E325" i="17"/>
  <c r="D325" i="17"/>
  <c r="C325" i="17"/>
  <c r="H324" i="17"/>
  <c r="G324" i="17"/>
  <c r="F324" i="17"/>
  <c r="E324" i="17"/>
  <c r="D324" i="17"/>
  <c r="C324" i="17"/>
  <c r="H323" i="17"/>
  <c r="G323" i="17"/>
  <c r="F323" i="17"/>
  <c r="E323" i="17"/>
  <c r="D323" i="17"/>
  <c r="C323" i="17"/>
  <c r="H322" i="17"/>
  <c r="G322" i="17"/>
  <c r="F322" i="17"/>
  <c r="E322" i="17"/>
  <c r="D322" i="17"/>
  <c r="C322" i="17"/>
  <c r="B304" i="17"/>
  <c r="B306" i="17" s="1"/>
  <c r="B305" i="17" s="1"/>
  <c r="B296" i="17"/>
  <c r="B292" i="17"/>
  <c r="B289" i="17"/>
  <c r="J270" i="17"/>
  <c r="I270" i="17"/>
  <c r="F270" i="17"/>
  <c r="E270" i="17"/>
  <c r="D270" i="17"/>
  <c r="H270" i="17" s="1"/>
  <c r="C270" i="17"/>
  <c r="G270" i="17" s="1"/>
  <c r="J269" i="17"/>
  <c r="I269" i="17"/>
  <c r="H269" i="17"/>
  <c r="F269" i="17"/>
  <c r="E269" i="17"/>
  <c r="D269" i="17"/>
  <c r="C269" i="17"/>
  <c r="G269" i="17" s="1"/>
  <c r="K269" i="17" s="1"/>
  <c r="J268" i="17"/>
  <c r="I268" i="17"/>
  <c r="F268" i="17"/>
  <c r="E268" i="17"/>
  <c r="D268" i="17"/>
  <c r="H268" i="17" s="1"/>
  <c r="C268" i="17"/>
  <c r="G268" i="17" s="1"/>
  <c r="K268" i="17" s="1"/>
  <c r="J267" i="17"/>
  <c r="I267" i="17"/>
  <c r="F267" i="17"/>
  <c r="E267" i="17"/>
  <c r="D267" i="17"/>
  <c r="H267" i="17" s="1"/>
  <c r="C267" i="17"/>
  <c r="G267" i="17" s="1"/>
  <c r="K267" i="17" s="1"/>
  <c r="H246" i="17"/>
  <c r="G246" i="17"/>
  <c r="F246" i="17"/>
  <c r="E246" i="17"/>
  <c r="D246" i="17"/>
  <c r="C246" i="17"/>
  <c r="H245" i="17"/>
  <c r="G245" i="17"/>
  <c r="F245" i="17"/>
  <c r="E245" i="17"/>
  <c r="D245" i="17"/>
  <c r="C245" i="17"/>
  <c r="H244" i="17"/>
  <c r="G244" i="17"/>
  <c r="F244" i="17"/>
  <c r="E244" i="17"/>
  <c r="D244" i="17"/>
  <c r="C244" i="17"/>
  <c r="H243" i="17"/>
  <c r="B280" i="17" s="1"/>
  <c r="G243" i="17"/>
  <c r="F243" i="17"/>
  <c r="E243" i="17"/>
  <c r="D243" i="17"/>
  <c r="C243" i="17"/>
  <c r="B225" i="17"/>
  <c r="B227" i="17" s="1"/>
  <c r="B226" i="17" s="1"/>
  <c r="B217" i="17"/>
  <c r="G217" i="17" s="1"/>
  <c r="B213" i="17"/>
  <c r="B210" i="17"/>
  <c r="J190" i="17"/>
  <c r="I190" i="17"/>
  <c r="F190" i="17"/>
  <c r="E190" i="17"/>
  <c r="D190" i="17"/>
  <c r="H190" i="17" s="1"/>
  <c r="C190" i="17"/>
  <c r="G190" i="17" s="1"/>
  <c r="J189" i="17"/>
  <c r="I189" i="17"/>
  <c r="F189" i="17"/>
  <c r="E189" i="17"/>
  <c r="D189" i="17"/>
  <c r="H189" i="17" s="1"/>
  <c r="C189" i="17"/>
  <c r="G189" i="17" s="1"/>
  <c r="K189" i="17" s="1"/>
  <c r="J188" i="17"/>
  <c r="I188" i="17"/>
  <c r="F188" i="17"/>
  <c r="E188" i="17"/>
  <c r="D188" i="17"/>
  <c r="H188" i="17" s="1"/>
  <c r="C188" i="17"/>
  <c r="G188" i="17" s="1"/>
  <c r="K188" i="17" s="1"/>
  <c r="N180" i="17"/>
  <c r="H180" i="17" s="1"/>
  <c r="L180" i="17"/>
  <c r="I180" i="17"/>
  <c r="G180" i="17"/>
  <c r="F180" i="17"/>
  <c r="M180" i="17" s="1"/>
  <c r="E180" i="17"/>
  <c r="D180" i="17"/>
  <c r="C180" i="17"/>
  <c r="H165" i="17"/>
  <c r="G165" i="17"/>
  <c r="F165" i="17"/>
  <c r="E165" i="17"/>
  <c r="D165" i="17"/>
  <c r="C165" i="17"/>
  <c r="H164" i="17"/>
  <c r="B201" i="17" s="1"/>
  <c r="G164" i="17"/>
  <c r="F164" i="17"/>
  <c r="E164" i="17"/>
  <c r="D164" i="17"/>
  <c r="C164" i="17"/>
  <c r="B137" i="17"/>
  <c r="G137" i="17" s="1"/>
  <c r="B145" i="17"/>
  <c r="B147" i="17" s="1"/>
  <c r="B146" i="17" s="1"/>
  <c r="B68" i="17"/>
  <c r="B67" i="17" s="1"/>
  <c r="J28" i="17"/>
  <c r="L28" i="17" s="1"/>
  <c r="B21" i="17"/>
  <c r="V12" i="17"/>
  <c r="V11" i="17"/>
  <c r="V10" i="17"/>
  <c r="V9" i="17"/>
  <c r="V8" i="17"/>
  <c r="V7" i="17"/>
  <c r="AP48" i="15"/>
  <c r="AP50" i="15" s="1"/>
  <c r="AP43" i="15"/>
  <c r="AP47" i="15" s="1"/>
  <c r="EH68" i="15" s="1"/>
  <c r="AP42" i="15"/>
  <c r="AP46" i="15" s="1"/>
  <c r="EH73" i="15"/>
  <c r="AP38" i="15"/>
  <c r="EH71" i="15" s="1"/>
  <c r="AP33" i="15"/>
  <c r="EH65" i="15" s="1"/>
  <c r="AP30" i="15"/>
  <c r="AP28" i="15"/>
  <c r="AP35" i="15" s="1"/>
  <c r="EH67" i="15" s="1"/>
  <c r="AP27" i="15"/>
  <c r="AP34" i="15" s="1"/>
  <c r="EH66" i="15" s="1"/>
  <c r="AP26" i="15"/>
  <c r="AP21" i="15"/>
  <c r="AP9" i="15"/>
  <c r="AP7" i="15"/>
  <c r="AP17" i="15" s="1"/>
  <c r="AP6" i="15"/>
  <c r="AP16" i="15" s="1"/>
  <c r="AP5" i="15"/>
  <c r="AP15" i="15" s="1"/>
  <c r="AP4" i="15"/>
  <c r="AP14" i="15" s="1"/>
  <c r="AP39" i="6"/>
  <c r="EH72" i="6" s="1"/>
  <c r="AP22" i="6"/>
  <c r="AP48" i="6"/>
  <c r="AP50" i="6" s="1"/>
  <c r="AP45" i="6"/>
  <c r="AP44" i="6"/>
  <c r="AP43" i="6"/>
  <c r="AP47" i="6" s="1"/>
  <c r="EH68" i="6" s="1"/>
  <c r="AP42" i="6"/>
  <c r="AP46" i="6" s="1"/>
  <c r="AP40" i="6"/>
  <c r="AP38" i="6"/>
  <c r="AP37" i="6"/>
  <c r="AP34" i="6"/>
  <c r="AP33" i="6"/>
  <c r="AP32" i="6"/>
  <c r="AP31" i="6"/>
  <c r="AP30" i="6"/>
  <c r="AP28" i="6"/>
  <c r="AP35" i="6" s="1"/>
  <c r="EH67" i="6" s="1"/>
  <c r="AP27" i="6"/>
  <c r="AP26" i="6"/>
  <c r="AP24" i="6"/>
  <c r="AP23" i="6"/>
  <c r="AP21" i="6"/>
  <c r="AP20" i="6"/>
  <c r="AP19" i="6"/>
  <c r="AP12" i="6"/>
  <c r="AP11" i="6"/>
  <c r="AP10" i="6"/>
  <c r="AP9" i="6"/>
  <c r="AP7" i="6"/>
  <c r="AP17" i="6" s="1"/>
  <c r="AP6" i="6"/>
  <c r="AP16" i="6" s="1"/>
  <c r="AP5" i="6"/>
  <c r="AP15" i="6" s="1"/>
  <c r="AP4" i="6"/>
  <c r="AP14" i="6" s="1"/>
  <c r="EH77" i="6"/>
  <c r="EH76" i="6"/>
  <c r="EH75" i="6"/>
  <c r="EH73" i="6"/>
  <c r="EH71" i="6"/>
  <c r="EH70" i="6"/>
  <c r="EH66" i="6"/>
  <c r="EH65" i="6"/>
  <c r="EH63" i="6"/>
  <c r="EH62" i="6"/>
  <c r="EH61" i="6"/>
  <c r="EH68" i="16"/>
  <c r="EH67" i="16"/>
  <c r="EH66" i="16"/>
  <c r="EH65" i="16"/>
  <c r="EH61" i="16"/>
  <c r="EH77" i="15"/>
  <c r="EH61" i="15"/>
  <c r="K33" i="17" l="1"/>
  <c r="K33" i="18"/>
  <c r="K109" i="18"/>
  <c r="AP23" i="15"/>
  <c r="AP19" i="15"/>
  <c r="AE21" i="16"/>
  <c r="AG40" i="16"/>
  <c r="K34" i="18"/>
  <c r="E13" i="18"/>
  <c r="F14" i="18"/>
  <c r="C15" i="18"/>
  <c r="E17" i="18"/>
  <c r="F18" i="18"/>
  <c r="C19" i="18"/>
  <c r="F13" i="18"/>
  <c r="D15" i="18"/>
  <c r="F17" i="18"/>
  <c r="D19" i="18"/>
  <c r="C13" i="18"/>
  <c r="D14" i="18"/>
  <c r="E15" i="18"/>
  <c r="C17" i="18"/>
  <c r="D18" i="18"/>
  <c r="E19" i="18"/>
  <c r="D13" i="18"/>
  <c r="D17" i="18"/>
  <c r="G689" i="18"/>
  <c r="B691" i="18"/>
  <c r="B692" i="18" s="1"/>
  <c r="B782" i="18"/>
  <c r="B753" i="18"/>
  <c r="B783" i="18" s="1"/>
  <c r="J28" i="18"/>
  <c r="L28" i="18" s="1"/>
  <c r="N180" i="18"/>
  <c r="H180" i="18" s="1"/>
  <c r="K188" i="18"/>
  <c r="K347" i="18"/>
  <c r="K349" i="18"/>
  <c r="B545" i="18"/>
  <c r="B516" i="18"/>
  <c r="B546" i="18" s="1"/>
  <c r="K581" i="18"/>
  <c r="K583" i="18"/>
  <c r="B281" i="18"/>
  <c r="B311" i="18" s="1"/>
  <c r="B360" i="18"/>
  <c r="B390" i="18" s="1"/>
  <c r="B389" i="18"/>
  <c r="B377" i="18"/>
  <c r="B378" i="18" s="1"/>
  <c r="B437" i="18"/>
  <c r="B624" i="18"/>
  <c r="B595" i="18"/>
  <c r="B625" i="18" s="1"/>
  <c r="B674" i="18"/>
  <c r="B704" i="18" s="1"/>
  <c r="B703" i="18"/>
  <c r="G453" i="18"/>
  <c r="B455" i="18"/>
  <c r="B456" i="18" s="1"/>
  <c r="B60" i="18"/>
  <c r="B61" i="18" s="1"/>
  <c r="K108" i="18"/>
  <c r="B139" i="18"/>
  <c r="B140" i="18" s="1"/>
  <c r="G137" i="18"/>
  <c r="B201" i="18"/>
  <c r="K267" i="18"/>
  <c r="K348" i="18"/>
  <c r="K424" i="18"/>
  <c r="K426" i="18"/>
  <c r="N573" i="18"/>
  <c r="H573" i="18" s="1"/>
  <c r="K582" i="18"/>
  <c r="B612" i="18"/>
  <c r="B613" i="18" s="1"/>
  <c r="G610" i="18"/>
  <c r="N652" i="18"/>
  <c r="H652" i="18" s="1"/>
  <c r="K739" i="18"/>
  <c r="K741" i="18"/>
  <c r="K743" i="18"/>
  <c r="K745" i="18"/>
  <c r="K747" i="18"/>
  <c r="K749" i="18"/>
  <c r="G531" i="18"/>
  <c r="K34" i="17"/>
  <c r="F17" i="17"/>
  <c r="B58" i="17"/>
  <c r="G58" i="17" s="1"/>
  <c r="C13" i="17"/>
  <c r="D14" i="17"/>
  <c r="E15" i="17"/>
  <c r="C17" i="17"/>
  <c r="D18" i="17"/>
  <c r="E19" i="17"/>
  <c r="F14" i="17"/>
  <c r="F18" i="17"/>
  <c r="F13" i="17"/>
  <c r="C14" i="17"/>
  <c r="C18" i="17"/>
  <c r="D13" i="17"/>
  <c r="D17" i="17"/>
  <c r="B516" i="17"/>
  <c r="B546" i="17" s="1"/>
  <c r="B545" i="17"/>
  <c r="B782" i="17"/>
  <c r="B753" i="17"/>
  <c r="B783" i="17" s="1"/>
  <c r="B281" i="17"/>
  <c r="B311" i="17" s="1"/>
  <c r="B310" i="17"/>
  <c r="B231" i="17"/>
  <c r="B202" i="17"/>
  <c r="B232" i="17" s="1"/>
  <c r="K270" i="17"/>
  <c r="B219" i="17"/>
  <c r="B220" i="17" s="1"/>
  <c r="B359" i="17"/>
  <c r="K424" i="17"/>
  <c r="K502" i="17"/>
  <c r="K504" i="17"/>
  <c r="K581" i="17"/>
  <c r="K661" i="17"/>
  <c r="K744" i="17"/>
  <c r="K746" i="17"/>
  <c r="B595" i="17"/>
  <c r="B625" i="17" s="1"/>
  <c r="B624" i="17"/>
  <c r="B298" i="17"/>
  <c r="B299" i="17" s="1"/>
  <c r="G296" i="17"/>
  <c r="K582" i="17"/>
  <c r="B674" i="17"/>
  <c r="B704" i="17" s="1"/>
  <c r="B455" i="17"/>
  <c r="B456" i="17" s="1"/>
  <c r="G453" i="17"/>
  <c r="B770" i="17"/>
  <c r="B771" i="17" s="1"/>
  <c r="G768" i="17"/>
  <c r="B140" i="17"/>
  <c r="K190" i="17"/>
  <c r="N573" i="17"/>
  <c r="H573" i="17" s="1"/>
  <c r="B612" i="17"/>
  <c r="B613" i="17" s="1"/>
  <c r="K741" i="17"/>
  <c r="K748" i="17"/>
  <c r="K750" i="17"/>
  <c r="G531" i="17"/>
  <c r="AP49" i="15"/>
  <c r="EH78" i="15" s="1"/>
  <c r="EH79" i="15"/>
  <c r="EH79" i="6"/>
  <c r="AP49" i="6"/>
  <c r="EH78" i="6" s="1"/>
  <c r="AD50" i="15"/>
  <c r="AG49" i="15"/>
  <c r="AE49" i="15"/>
  <c r="Q14" i="15"/>
  <c r="F28" i="17" s="1"/>
  <c r="M28" i="17" s="1"/>
  <c r="N28" i="17" s="1"/>
  <c r="H28" i="17" s="1"/>
  <c r="AD36" i="15"/>
  <c r="AG35" i="15"/>
  <c r="AE35" i="15"/>
  <c r="AE32" i="15"/>
  <c r="AD32" i="15"/>
  <c r="AE31" i="15"/>
  <c r="AD31" i="15"/>
  <c r="AE30" i="15"/>
  <c r="AD30" i="15"/>
  <c r="AE29" i="15"/>
  <c r="AE27" i="15" s="1"/>
  <c r="S26" i="15" s="1"/>
  <c r="AD29" i="15"/>
  <c r="AA27" i="15" s="1"/>
  <c r="AG27" i="15"/>
  <c r="U26" i="15" s="1"/>
  <c r="AE25" i="15"/>
  <c r="AD25" i="15"/>
  <c r="AE24" i="15"/>
  <c r="AD24" i="15"/>
  <c r="AE23" i="15"/>
  <c r="AG21" i="15" s="1"/>
  <c r="AD23" i="15"/>
  <c r="AA21" i="15" s="1"/>
  <c r="Q27" i="15" s="1"/>
  <c r="I34" i="17" s="1"/>
  <c r="U6" i="15"/>
  <c r="AE10" i="15"/>
  <c r="AG5" i="15" s="1"/>
  <c r="AD10" i="15"/>
  <c r="AE9" i="15"/>
  <c r="AD9" i="15"/>
  <c r="AE8" i="15"/>
  <c r="AE7" i="15"/>
  <c r="AE5" i="15" s="1"/>
  <c r="AD7" i="15"/>
  <c r="AA5" i="15"/>
  <c r="EB79" i="16"/>
  <c r="EB78" i="16"/>
  <c r="EB77" i="16"/>
  <c r="EB76" i="16"/>
  <c r="EB75" i="16"/>
  <c r="EB73" i="16"/>
  <c r="EB72" i="16"/>
  <c r="EB71" i="16"/>
  <c r="EB70" i="16"/>
  <c r="EB68" i="16"/>
  <c r="EB67" i="16"/>
  <c r="EB66" i="16"/>
  <c r="EB65" i="16"/>
  <c r="EB63" i="16"/>
  <c r="EB62" i="16"/>
  <c r="EB61" i="16"/>
  <c r="EB59" i="16"/>
  <c r="EB58" i="16"/>
  <c r="EB57" i="16"/>
  <c r="EB56" i="16"/>
  <c r="DJ56" i="16"/>
  <c r="DH56" i="16"/>
  <c r="EB55" i="16"/>
  <c r="DJ55" i="16"/>
  <c r="DH55" i="16"/>
  <c r="EB54" i="16"/>
  <c r="DJ54" i="16"/>
  <c r="DH54" i="16"/>
  <c r="EB53" i="16"/>
  <c r="DJ53" i="16"/>
  <c r="DH53" i="16"/>
  <c r="EB52" i="16"/>
  <c r="DJ52" i="16"/>
  <c r="DH52" i="16"/>
  <c r="EB51" i="16"/>
  <c r="EB50" i="16"/>
  <c r="BZ50" i="16"/>
  <c r="BT50" i="16"/>
  <c r="AZ50" i="16"/>
  <c r="EB49" i="16"/>
  <c r="DO49" i="16"/>
  <c r="DN49" i="16"/>
  <c r="BZ49" i="16"/>
  <c r="AZ49" i="16" s="1"/>
  <c r="BT49" i="16"/>
  <c r="EB48" i="16"/>
  <c r="DO48" i="16"/>
  <c r="DN48" i="16"/>
  <c r="BZ48" i="16"/>
  <c r="BT48" i="16"/>
  <c r="EB47" i="16"/>
  <c r="DN47" i="16"/>
  <c r="BZ47" i="16"/>
  <c r="AZ47" i="16" s="1"/>
  <c r="BT47" i="16"/>
  <c r="EB46" i="16"/>
  <c r="DN46" i="16"/>
  <c r="BZ46" i="16"/>
  <c r="BT46" i="16"/>
  <c r="BT56" i="16" s="1"/>
  <c r="AZ46" i="16"/>
  <c r="EB45" i="16"/>
  <c r="DO45" i="16"/>
  <c r="DN45" i="16"/>
  <c r="BZ45" i="16"/>
  <c r="AZ45" i="16" s="1"/>
  <c r="BT45" i="16"/>
  <c r="EB44" i="16"/>
  <c r="DO44" i="16"/>
  <c r="DN44" i="16"/>
  <c r="BZ44" i="16"/>
  <c r="BT44" i="16"/>
  <c r="DN43" i="16"/>
  <c r="DJ43" i="16"/>
  <c r="DH43" i="16"/>
  <c r="BZ43" i="16"/>
  <c r="BT43" i="16"/>
  <c r="BT55" i="16" s="1"/>
  <c r="AZ43" i="16"/>
  <c r="EB42" i="16"/>
  <c r="DO42" i="16"/>
  <c r="DN42" i="16"/>
  <c r="DJ42" i="16"/>
  <c r="DH42" i="16"/>
  <c r="BZ42" i="16"/>
  <c r="BT42" i="16"/>
  <c r="BT54" i="16" s="1"/>
  <c r="C42" i="16"/>
  <c r="EB41" i="16"/>
  <c r="DN41" i="16"/>
  <c r="DJ41" i="16"/>
  <c r="DH41" i="16"/>
  <c r="EB40" i="16"/>
  <c r="DO40" i="16"/>
  <c r="DN40" i="16"/>
  <c r="DM40" i="16"/>
  <c r="DJ40" i="16"/>
  <c r="DH40" i="16"/>
  <c r="BZ40" i="16"/>
  <c r="BV40" i="16"/>
  <c r="AZ40" i="16"/>
  <c r="AR40" i="16"/>
  <c r="BT40" i="16" s="1"/>
  <c r="EB39" i="16"/>
  <c r="DO39" i="16"/>
  <c r="DN39" i="16"/>
  <c r="DJ39" i="16"/>
  <c r="DH39" i="16"/>
  <c r="BZ39" i="16"/>
  <c r="BT39" i="16"/>
  <c r="AZ39" i="16"/>
  <c r="EB38" i="16"/>
  <c r="DO38" i="16"/>
  <c r="DN38" i="16"/>
  <c r="DJ38" i="16"/>
  <c r="DH38" i="16"/>
  <c r="BZ38" i="16"/>
  <c r="BT38" i="16"/>
  <c r="AZ38" i="16"/>
  <c r="EB37" i="16"/>
  <c r="DO37" i="16"/>
  <c r="DN37" i="16"/>
  <c r="DJ37" i="16"/>
  <c r="DH37" i="16"/>
  <c r="BZ37" i="16"/>
  <c r="BT37" i="16"/>
  <c r="AZ37" i="16"/>
  <c r="O37" i="16"/>
  <c r="EB36" i="16"/>
  <c r="DO36" i="16"/>
  <c r="DN36" i="16"/>
  <c r="DJ36" i="16"/>
  <c r="DH36" i="16"/>
  <c r="G36" i="16"/>
  <c r="B36" i="16" s="1"/>
  <c r="EB35" i="16"/>
  <c r="DO35" i="16"/>
  <c r="DN35" i="16"/>
  <c r="DM35" i="16"/>
  <c r="DJ35" i="16"/>
  <c r="DH35" i="16"/>
  <c r="BZ35" i="16"/>
  <c r="BT35" i="16"/>
  <c r="AZ35" i="16"/>
  <c r="EB34" i="16"/>
  <c r="DO34" i="16"/>
  <c r="DN34" i="16"/>
  <c r="DJ34" i="16"/>
  <c r="DH34" i="16"/>
  <c r="BZ34" i="16"/>
  <c r="BT34" i="16"/>
  <c r="AZ34" i="16"/>
  <c r="Q34" i="16"/>
  <c r="Q35" i="16" s="1"/>
  <c r="EB33" i="16"/>
  <c r="DO33" i="16"/>
  <c r="DN33" i="16"/>
  <c r="DJ33" i="16"/>
  <c r="DH33" i="16"/>
  <c r="BZ33" i="16"/>
  <c r="BT33" i="16"/>
  <c r="EB32" i="16"/>
  <c r="DN32" i="16"/>
  <c r="DJ32" i="16"/>
  <c r="DH32" i="16"/>
  <c r="BZ32" i="16"/>
  <c r="AZ32" i="16" s="1"/>
  <c r="BT32" i="16"/>
  <c r="DO31" i="16"/>
  <c r="DN31" i="16"/>
  <c r="DJ31" i="16"/>
  <c r="DH31" i="16"/>
  <c r="BZ31" i="16"/>
  <c r="BT31" i="16"/>
  <c r="AZ31" i="16"/>
  <c r="EB30" i="16"/>
  <c r="DO30" i="16"/>
  <c r="DN30" i="16"/>
  <c r="BZ30" i="16"/>
  <c r="BT30" i="16"/>
  <c r="AZ30" i="16"/>
  <c r="EB29" i="16"/>
  <c r="DO29" i="16"/>
  <c r="DN29" i="16"/>
  <c r="EB28" i="16"/>
  <c r="DO28" i="16"/>
  <c r="DN28" i="16"/>
  <c r="DM28" i="16"/>
  <c r="BZ28" i="16"/>
  <c r="BT28" i="16"/>
  <c r="EB27" i="16"/>
  <c r="DN27" i="16"/>
  <c r="BZ27" i="16"/>
  <c r="BT27" i="16"/>
  <c r="AP48" i="16"/>
  <c r="DN26" i="16"/>
  <c r="DJ26" i="16"/>
  <c r="DH26" i="16"/>
  <c r="BZ26" i="16"/>
  <c r="AZ26" i="16" s="1"/>
  <c r="BT26" i="16"/>
  <c r="U26" i="16"/>
  <c r="AP44" i="16" s="1"/>
  <c r="S26" i="16"/>
  <c r="Q26" i="16"/>
  <c r="O26" i="16"/>
  <c r="B26" i="16"/>
  <c r="DN25" i="16"/>
  <c r="DJ25" i="16"/>
  <c r="DH25" i="16"/>
  <c r="O25" i="16"/>
  <c r="EB24" i="16"/>
  <c r="DO24" i="16"/>
  <c r="DN24" i="16"/>
  <c r="DM24" i="16"/>
  <c r="DJ24" i="16"/>
  <c r="DH24" i="16"/>
  <c r="BZ24" i="16"/>
  <c r="BV24" i="16"/>
  <c r="DN23" i="16" s="1"/>
  <c r="AZ24" i="16"/>
  <c r="AR24" i="16"/>
  <c r="BT24" i="16" s="1"/>
  <c r="Q24" i="16"/>
  <c r="G91" i="18" s="1"/>
  <c r="EB23" i="16"/>
  <c r="DO23" i="16"/>
  <c r="DJ23" i="16"/>
  <c r="DH23" i="16"/>
  <c r="BZ23" i="16"/>
  <c r="BV23" i="16"/>
  <c r="BT23" i="16"/>
  <c r="AR23" i="16"/>
  <c r="S23" i="16"/>
  <c r="T23" i="16" s="1"/>
  <c r="Q23" i="16"/>
  <c r="G90" i="18" s="1"/>
  <c r="EB22" i="16"/>
  <c r="DN22" i="16"/>
  <c r="DJ22" i="16"/>
  <c r="DH22" i="16"/>
  <c r="BZ22" i="16"/>
  <c r="BT22" i="16"/>
  <c r="Q22" i="16"/>
  <c r="G89" i="18" s="1"/>
  <c r="EB21" i="16"/>
  <c r="DN21" i="16"/>
  <c r="DJ21" i="16"/>
  <c r="DH21" i="16"/>
  <c r="BZ21" i="16"/>
  <c r="AZ21" i="16"/>
  <c r="Q21" i="16"/>
  <c r="G88" i="18" s="1"/>
  <c r="EB20" i="16"/>
  <c r="DO20" i="16"/>
  <c r="DN20" i="16"/>
  <c r="DJ20" i="16"/>
  <c r="DH20" i="16"/>
  <c r="BZ20" i="16"/>
  <c r="AZ20" i="16"/>
  <c r="EB19" i="16"/>
  <c r="DO19" i="16"/>
  <c r="DN19" i="16"/>
  <c r="DJ19" i="16"/>
  <c r="DH19" i="16"/>
  <c r="BZ19" i="16"/>
  <c r="BT19" i="16"/>
  <c r="AZ19" i="16"/>
  <c r="B19" i="16"/>
  <c r="EB18" i="16"/>
  <c r="DO18" i="16"/>
  <c r="DN18" i="16"/>
  <c r="DJ18" i="16"/>
  <c r="DH18" i="16"/>
  <c r="O18" i="16"/>
  <c r="EB17" i="16"/>
  <c r="DO17" i="16"/>
  <c r="DN17" i="16"/>
  <c r="DM17" i="16"/>
  <c r="DJ17" i="16"/>
  <c r="DH17" i="16"/>
  <c r="BZ17" i="16"/>
  <c r="DO16" i="16" s="1"/>
  <c r="BT17" i="16"/>
  <c r="AZ17" i="16"/>
  <c r="EB16" i="16"/>
  <c r="DN16" i="16"/>
  <c r="BZ16" i="16"/>
  <c r="DO15" i="16" s="1"/>
  <c r="BT16" i="16"/>
  <c r="AZ16" i="16"/>
  <c r="U16" i="16"/>
  <c r="S16" i="16"/>
  <c r="T16" i="16" s="1"/>
  <c r="Q16" i="16"/>
  <c r="O16" i="16"/>
  <c r="EB15" i="16"/>
  <c r="DN15" i="16"/>
  <c r="DJ15" i="16"/>
  <c r="DH15" i="16"/>
  <c r="BZ15" i="16"/>
  <c r="DO14" i="16" s="1"/>
  <c r="BT15" i="16"/>
  <c r="AZ15" i="16"/>
  <c r="U15" i="16"/>
  <c r="EB14" i="16"/>
  <c r="DN14" i="16"/>
  <c r="DJ14" i="16"/>
  <c r="DH14" i="16"/>
  <c r="BZ14" i="16"/>
  <c r="AZ14" i="16" s="1"/>
  <c r="BT14" i="16"/>
  <c r="Q14" i="16"/>
  <c r="F28" i="18" s="1"/>
  <c r="M28" i="18" s="1"/>
  <c r="O14" i="16"/>
  <c r="BT20" i="16" s="1"/>
  <c r="EB13" i="16"/>
  <c r="DO13" i="16"/>
  <c r="DN13" i="16"/>
  <c r="DJ13" i="16"/>
  <c r="DH13" i="16"/>
  <c r="U7" i="16"/>
  <c r="Q18" i="16"/>
  <c r="Q13" i="16"/>
  <c r="R13" i="16" s="1"/>
  <c r="H19" i="18" s="1"/>
  <c r="O13" i="16"/>
  <c r="U13" i="16" s="1"/>
  <c r="H13" i="16"/>
  <c r="O24" i="16" s="1"/>
  <c r="EB12" i="16"/>
  <c r="DO12" i="16"/>
  <c r="DN12" i="16"/>
  <c r="DM12" i="16"/>
  <c r="DJ12" i="16"/>
  <c r="DH12" i="16"/>
  <c r="BZ12" i="16"/>
  <c r="BT12" i="16"/>
  <c r="AZ12" i="16"/>
  <c r="Q12" i="16"/>
  <c r="H12" i="16"/>
  <c r="O23" i="16" s="1"/>
  <c r="EB11" i="16"/>
  <c r="DO11" i="16"/>
  <c r="DN11" i="16"/>
  <c r="DJ11" i="16"/>
  <c r="DH11" i="16"/>
  <c r="BZ11" i="16"/>
  <c r="BT11" i="16"/>
  <c r="AZ11" i="16"/>
  <c r="Q11" i="16"/>
  <c r="G17" i="18" s="1"/>
  <c r="H11" i="16"/>
  <c r="O22" i="16" s="1"/>
  <c r="EB10" i="16"/>
  <c r="DO10" i="16"/>
  <c r="DN10" i="16"/>
  <c r="DJ10" i="16"/>
  <c r="DH10" i="16"/>
  <c r="BZ10" i="16"/>
  <c r="DO9" i="16" s="1"/>
  <c r="BT10" i="16"/>
  <c r="AZ10" i="16"/>
  <c r="Q10" i="16"/>
  <c r="H10" i="16"/>
  <c r="O21" i="16" s="1"/>
  <c r="EB9" i="16"/>
  <c r="DN9" i="16"/>
  <c r="BZ9" i="16"/>
  <c r="BT9" i="16"/>
  <c r="AZ9" i="16"/>
  <c r="Q9" i="16"/>
  <c r="R9" i="16" s="1"/>
  <c r="H15" i="18" s="1"/>
  <c r="O9" i="16"/>
  <c r="U9" i="16" s="1"/>
  <c r="H9" i="16"/>
  <c r="EB8" i="16"/>
  <c r="DO8" i="16"/>
  <c r="DN8" i="16"/>
  <c r="BT8" i="16"/>
  <c r="U8" i="16"/>
  <c r="Q8" i="16"/>
  <c r="O8" i="16"/>
  <c r="H8" i="16"/>
  <c r="O12" i="16" s="1"/>
  <c r="B8" i="16"/>
  <c r="F24" i="16" s="1"/>
  <c r="EB7" i="16"/>
  <c r="DO7" i="16"/>
  <c r="DN7" i="16"/>
  <c r="DM7" i="16"/>
  <c r="BZ7" i="16"/>
  <c r="DO6" i="16" s="1"/>
  <c r="BT7" i="16"/>
  <c r="AZ7" i="16"/>
  <c r="Q7" i="16"/>
  <c r="R7" i="16" s="1"/>
  <c r="H13" i="18" s="1"/>
  <c r="O7" i="16"/>
  <c r="H7" i="16"/>
  <c r="B7" i="16"/>
  <c r="G34" i="16" s="1"/>
  <c r="EB6" i="16"/>
  <c r="DN6" i="16"/>
  <c r="BZ6" i="16"/>
  <c r="DO5" i="16" s="1"/>
  <c r="BT6" i="16"/>
  <c r="AZ6" i="16"/>
  <c r="Q6" i="16"/>
  <c r="O6" i="16"/>
  <c r="H6" i="16"/>
  <c r="O10" i="16" s="1"/>
  <c r="B6" i="16"/>
  <c r="F18" i="16" s="1"/>
  <c r="EB5" i="16"/>
  <c r="DN5" i="16"/>
  <c r="BZ5" i="16"/>
  <c r="DO4" i="16" s="1"/>
  <c r="BT5" i="16"/>
  <c r="AZ5" i="16"/>
  <c r="U25" i="16"/>
  <c r="Q25" i="16"/>
  <c r="DN4" i="16"/>
  <c r="BZ4" i="16"/>
  <c r="BT4" i="16"/>
  <c r="AZ4" i="16"/>
  <c r="B4" i="16"/>
  <c r="DO3" i="16"/>
  <c r="DN3" i="16"/>
  <c r="EB79" i="15"/>
  <c r="EB78" i="15"/>
  <c r="EB77" i="15"/>
  <c r="EB76" i="15"/>
  <c r="EB75" i="15"/>
  <c r="EB73" i="15"/>
  <c r="EB72" i="15"/>
  <c r="EB71" i="15"/>
  <c r="EB70" i="15"/>
  <c r="EB68" i="15"/>
  <c r="EB67" i="15"/>
  <c r="EB66" i="15"/>
  <c r="EB65" i="15"/>
  <c r="EB63" i="15"/>
  <c r="EB62" i="15"/>
  <c r="EB61" i="15"/>
  <c r="EB59" i="15"/>
  <c r="EB58" i="15"/>
  <c r="EB57" i="15"/>
  <c r="EB56" i="15"/>
  <c r="DJ56" i="15"/>
  <c r="DH56" i="15"/>
  <c r="EB55" i="15"/>
  <c r="DJ55" i="15"/>
  <c r="DH55" i="15"/>
  <c r="EB54" i="15"/>
  <c r="DJ54" i="15"/>
  <c r="DH54" i="15"/>
  <c r="EB53" i="15"/>
  <c r="DJ53" i="15"/>
  <c r="DH53" i="15"/>
  <c r="EB52" i="15"/>
  <c r="DJ52" i="15"/>
  <c r="DH52" i="15"/>
  <c r="EB51" i="15"/>
  <c r="EB50" i="15"/>
  <c r="BZ50" i="15"/>
  <c r="BT50" i="15"/>
  <c r="AZ50" i="15"/>
  <c r="EB49" i="15"/>
  <c r="DO49" i="15"/>
  <c r="DN49" i="15"/>
  <c r="BZ49" i="15"/>
  <c r="AZ49" i="15" s="1"/>
  <c r="BT49" i="15"/>
  <c r="EB48" i="15"/>
  <c r="DO48" i="15"/>
  <c r="DN48" i="15"/>
  <c r="BZ48" i="15"/>
  <c r="BT48" i="15"/>
  <c r="AZ48" i="15"/>
  <c r="EB47" i="15"/>
  <c r="DO47" i="15"/>
  <c r="DN47" i="15"/>
  <c r="BZ47" i="15"/>
  <c r="AZ47" i="15" s="1"/>
  <c r="BT47" i="15"/>
  <c r="BT57" i="15" s="1"/>
  <c r="EB46" i="15"/>
  <c r="DN46" i="15"/>
  <c r="BZ46" i="15"/>
  <c r="AZ46" i="15" s="1"/>
  <c r="BT46" i="15"/>
  <c r="BT56" i="15" s="1"/>
  <c r="EB45" i="15"/>
  <c r="DO45" i="15"/>
  <c r="DN45" i="15"/>
  <c r="BZ45" i="15"/>
  <c r="BT45" i="15"/>
  <c r="AZ45" i="15"/>
  <c r="EB44" i="15"/>
  <c r="DO44" i="15"/>
  <c r="DN44" i="15"/>
  <c r="BZ44" i="15"/>
  <c r="BT44" i="15"/>
  <c r="AZ44" i="15"/>
  <c r="DO43" i="15"/>
  <c r="DN43" i="15"/>
  <c r="DJ43" i="15"/>
  <c r="DH43" i="15"/>
  <c r="BZ43" i="15"/>
  <c r="BT43" i="15"/>
  <c r="BT55" i="15" s="1"/>
  <c r="AZ43" i="15"/>
  <c r="EB42" i="15"/>
  <c r="DO42" i="15"/>
  <c r="DN42" i="15"/>
  <c r="DJ42" i="15"/>
  <c r="DH42" i="15"/>
  <c r="BZ42" i="15"/>
  <c r="BT42" i="15"/>
  <c r="AZ42" i="15"/>
  <c r="C42" i="15"/>
  <c r="EB41" i="15"/>
  <c r="DO41" i="15"/>
  <c r="DN41" i="15"/>
  <c r="DJ41" i="15"/>
  <c r="DH41" i="15"/>
  <c r="EB40" i="15"/>
  <c r="DO40" i="15"/>
  <c r="DN40" i="15"/>
  <c r="DM40" i="15"/>
  <c r="DJ40" i="15"/>
  <c r="DH40" i="15"/>
  <c r="BZ40" i="15"/>
  <c r="BV40" i="15"/>
  <c r="AZ40" i="15"/>
  <c r="AR40" i="15"/>
  <c r="BT40" i="15" s="1"/>
  <c r="EB39" i="15"/>
  <c r="DO39" i="15"/>
  <c r="DN39" i="15"/>
  <c r="DJ39" i="15"/>
  <c r="DH39" i="15"/>
  <c r="BZ39" i="15"/>
  <c r="BT39" i="15"/>
  <c r="AZ39" i="15"/>
  <c r="EB38" i="15"/>
  <c r="DO38" i="15"/>
  <c r="DN38" i="15"/>
  <c r="DJ38" i="15"/>
  <c r="DH38" i="15"/>
  <c r="BZ38" i="15"/>
  <c r="AZ38" i="15" s="1"/>
  <c r="BT38" i="15"/>
  <c r="EB37" i="15"/>
  <c r="DO37" i="15"/>
  <c r="DN37" i="15"/>
  <c r="DJ37" i="15"/>
  <c r="DH37" i="15"/>
  <c r="BZ37" i="15"/>
  <c r="BT37" i="15"/>
  <c r="AZ37" i="15"/>
  <c r="O37" i="15"/>
  <c r="EB36" i="15"/>
  <c r="DO36" i="15"/>
  <c r="DN36" i="15"/>
  <c r="DJ36" i="15"/>
  <c r="DH36" i="15"/>
  <c r="G36" i="15"/>
  <c r="B36" i="15" s="1"/>
  <c r="EB35" i="15"/>
  <c r="DO35" i="15"/>
  <c r="DN35" i="15"/>
  <c r="DM35" i="15"/>
  <c r="DJ35" i="15"/>
  <c r="DH35" i="15"/>
  <c r="BZ35" i="15"/>
  <c r="BT35" i="15"/>
  <c r="AZ35" i="15"/>
  <c r="EB34" i="15"/>
  <c r="DO34" i="15"/>
  <c r="DN34" i="15"/>
  <c r="DJ34" i="15"/>
  <c r="DH34" i="15"/>
  <c r="BZ34" i="15"/>
  <c r="BT34" i="15"/>
  <c r="AZ34" i="15"/>
  <c r="Q34" i="15"/>
  <c r="Q35" i="15" s="1"/>
  <c r="EB33" i="15"/>
  <c r="DO33" i="15"/>
  <c r="DN33" i="15"/>
  <c r="DJ33" i="15"/>
  <c r="DH33" i="15"/>
  <c r="BZ33" i="15"/>
  <c r="AZ33" i="15" s="1"/>
  <c r="BT33" i="15"/>
  <c r="EB32" i="15"/>
  <c r="DN32" i="15"/>
  <c r="DJ32" i="15"/>
  <c r="DH32" i="15"/>
  <c r="BZ32" i="15"/>
  <c r="AZ32" i="15" s="1"/>
  <c r="BT32" i="15"/>
  <c r="DO31" i="15"/>
  <c r="DN31" i="15"/>
  <c r="DJ31" i="15"/>
  <c r="DH31" i="15"/>
  <c r="BZ31" i="15"/>
  <c r="DO30" i="15" s="1"/>
  <c r="BT31" i="15"/>
  <c r="AZ31" i="15"/>
  <c r="EB30" i="15"/>
  <c r="DN30" i="15"/>
  <c r="BZ30" i="15"/>
  <c r="BT30" i="15"/>
  <c r="AZ30" i="15"/>
  <c r="EB29" i="15"/>
  <c r="DO29" i="15"/>
  <c r="DN29" i="15"/>
  <c r="EB28" i="15"/>
  <c r="DO28" i="15"/>
  <c r="DN28" i="15"/>
  <c r="DM28" i="15"/>
  <c r="BZ28" i="15"/>
  <c r="DO27" i="15" s="1"/>
  <c r="BT28" i="15"/>
  <c r="EB27" i="15"/>
  <c r="DN27" i="15"/>
  <c r="BZ27" i="15"/>
  <c r="AZ27" i="15" s="1"/>
  <c r="BT27" i="15"/>
  <c r="DN26" i="15"/>
  <c r="DJ26" i="15"/>
  <c r="DH26" i="15"/>
  <c r="BZ26" i="15"/>
  <c r="AZ26" i="15" s="1"/>
  <c r="BT26" i="15"/>
  <c r="O26" i="15"/>
  <c r="B26" i="15"/>
  <c r="DO25" i="15"/>
  <c r="DN25" i="15"/>
  <c r="DJ25" i="15"/>
  <c r="DH25" i="15"/>
  <c r="O25" i="15"/>
  <c r="EB24" i="15"/>
  <c r="DO24" i="15"/>
  <c r="DN24" i="15"/>
  <c r="DM24" i="15"/>
  <c r="DJ24" i="15"/>
  <c r="DH24" i="15"/>
  <c r="BZ24" i="15"/>
  <c r="BV24" i="15"/>
  <c r="AZ24" i="15"/>
  <c r="AR24" i="15"/>
  <c r="BT24" i="15" s="1"/>
  <c r="EB23" i="15"/>
  <c r="DO23" i="15"/>
  <c r="DN23" i="15"/>
  <c r="DJ23" i="15"/>
  <c r="DH23" i="15"/>
  <c r="BZ23" i="15"/>
  <c r="BV23" i="15"/>
  <c r="BT23" i="15"/>
  <c r="AZ23" i="15"/>
  <c r="AR23" i="15"/>
  <c r="EB22" i="15"/>
  <c r="DO22" i="15"/>
  <c r="DN22" i="15"/>
  <c r="DJ22" i="15"/>
  <c r="DH22" i="15"/>
  <c r="BZ22" i="15"/>
  <c r="DO21" i="15" s="1"/>
  <c r="BT22" i="15"/>
  <c r="AZ22" i="15"/>
  <c r="EB21" i="15"/>
  <c r="DN21" i="15"/>
  <c r="DJ21" i="15"/>
  <c r="DH21" i="15"/>
  <c r="BZ21" i="15"/>
  <c r="AZ21" i="15"/>
  <c r="EB20" i="15"/>
  <c r="DO20" i="15"/>
  <c r="DN20" i="15"/>
  <c r="DJ20" i="15"/>
  <c r="DH20" i="15"/>
  <c r="BZ20" i="15"/>
  <c r="AZ20" i="15"/>
  <c r="O20" i="15"/>
  <c r="EB19" i="15"/>
  <c r="DO19" i="15"/>
  <c r="DN19" i="15"/>
  <c r="DJ19" i="15"/>
  <c r="DH19" i="15"/>
  <c r="BZ19" i="15"/>
  <c r="AZ19" i="15"/>
  <c r="O19" i="15"/>
  <c r="B19" i="15"/>
  <c r="EB18" i="15"/>
  <c r="DO18" i="15"/>
  <c r="DN18" i="15"/>
  <c r="DJ18" i="15"/>
  <c r="DH18" i="15"/>
  <c r="O18" i="15"/>
  <c r="EB17" i="15"/>
  <c r="DO17" i="15"/>
  <c r="DN17" i="15"/>
  <c r="DM17" i="15"/>
  <c r="DJ17" i="15"/>
  <c r="DH17" i="15"/>
  <c r="BZ17" i="15"/>
  <c r="BT17" i="15"/>
  <c r="AZ17" i="15"/>
  <c r="O17" i="15"/>
  <c r="O28" i="15" s="1"/>
  <c r="EB16" i="15"/>
  <c r="DO16" i="15"/>
  <c r="DN16" i="15"/>
  <c r="BZ16" i="15"/>
  <c r="BT16" i="15"/>
  <c r="AZ16" i="15"/>
  <c r="S16" i="15"/>
  <c r="T16" i="15" s="1"/>
  <c r="Q16" i="15"/>
  <c r="O16" i="15"/>
  <c r="U16" i="15" s="1"/>
  <c r="EB15" i="15"/>
  <c r="DO15" i="15"/>
  <c r="DN15" i="15"/>
  <c r="DJ15" i="15"/>
  <c r="DH15" i="15"/>
  <c r="BZ15" i="15"/>
  <c r="DO14" i="15" s="1"/>
  <c r="BT15" i="15"/>
  <c r="AZ15" i="15"/>
  <c r="EB14" i="15"/>
  <c r="DN14" i="15"/>
  <c r="DJ14" i="15"/>
  <c r="DH14" i="15"/>
  <c r="BZ14" i="15"/>
  <c r="DO13" i="15" s="1"/>
  <c r="BT14" i="15"/>
  <c r="AZ14" i="15"/>
  <c r="EB13" i="15"/>
  <c r="DN13" i="15"/>
  <c r="DJ13" i="15"/>
  <c r="DH13" i="15"/>
  <c r="H13" i="15"/>
  <c r="EB12" i="15"/>
  <c r="DO12" i="15"/>
  <c r="DN12" i="15"/>
  <c r="DM12" i="15"/>
  <c r="DJ12" i="15"/>
  <c r="DH12" i="15"/>
  <c r="BZ12" i="15"/>
  <c r="BT12" i="15"/>
  <c r="AZ12" i="15"/>
  <c r="H12" i="15"/>
  <c r="O23" i="15" s="1"/>
  <c r="EB11" i="15"/>
  <c r="DO11" i="15"/>
  <c r="DN11" i="15"/>
  <c r="DJ11" i="15"/>
  <c r="DH11" i="15"/>
  <c r="BZ11" i="15"/>
  <c r="BT11" i="15"/>
  <c r="AZ11" i="15"/>
  <c r="H11" i="15"/>
  <c r="EB10" i="15"/>
  <c r="DO10" i="15"/>
  <c r="DN10" i="15"/>
  <c r="DJ10" i="15"/>
  <c r="DH10" i="15"/>
  <c r="BZ10" i="15"/>
  <c r="BT10" i="15"/>
  <c r="AZ10" i="15"/>
  <c r="H10" i="15"/>
  <c r="O21" i="15" s="1"/>
  <c r="EB9" i="15"/>
  <c r="DO9" i="15"/>
  <c r="DN9" i="15"/>
  <c r="BZ9" i="15"/>
  <c r="BT9" i="15"/>
  <c r="AZ9" i="15"/>
  <c r="O9" i="15"/>
  <c r="U9" i="15" s="1"/>
  <c r="H9" i="15"/>
  <c r="O13" i="15" s="1"/>
  <c r="EB8" i="15"/>
  <c r="DO8" i="15"/>
  <c r="DN8" i="15"/>
  <c r="BT8" i="15"/>
  <c r="O8" i="15"/>
  <c r="H8" i="15"/>
  <c r="F8" i="15" s="1"/>
  <c r="EB7" i="15"/>
  <c r="DO7" i="15"/>
  <c r="DN7" i="15"/>
  <c r="DM7" i="15"/>
  <c r="BZ7" i="15"/>
  <c r="DO6" i="15" s="1"/>
  <c r="BT7" i="15"/>
  <c r="AZ7" i="15"/>
  <c r="O7" i="15"/>
  <c r="H7" i="15"/>
  <c r="O11" i="15" s="1"/>
  <c r="B7" i="15"/>
  <c r="EB6" i="15"/>
  <c r="DN6" i="15"/>
  <c r="BZ6" i="15"/>
  <c r="DO5" i="15" s="1"/>
  <c r="BT6" i="15"/>
  <c r="AZ6" i="15"/>
  <c r="O6" i="15"/>
  <c r="H6" i="15"/>
  <c r="O10" i="15" s="1"/>
  <c r="B6" i="15"/>
  <c r="B8" i="15" s="1"/>
  <c r="EB5" i="15"/>
  <c r="DN5" i="15"/>
  <c r="BZ5" i="15"/>
  <c r="DO4" i="15" s="1"/>
  <c r="BT5" i="15"/>
  <c r="AZ5" i="15"/>
  <c r="DN4" i="15"/>
  <c r="BZ4" i="15"/>
  <c r="BT4" i="15"/>
  <c r="AZ4" i="15"/>
  <c r="G4" i="15"/>
  <c r="F12" i="15" s="1"/>
  <c r="B4" i="15"/>
  <c r="DO3" i="15"/>
  <c r="DN3" i="15"/>
  <c r="EH59" i="6"/>
  <c r="EH58" i="6"/>
  <c r="EH57" i="6"/>
  <c r="EH56" i="6"/>
  <c r="EH55" i="6"/>
  <c r="EH54" i="6"/>
  <c r="EH53" i="6"/>
  <c r="EH52" i="6"/>
  <c r="EH51" i="6"/>
  <c r="EH50" i="6"/>
  <c r="EH49" i="6"/>
  <c r="EH48" i="6"/>
  <c r="EH47" i="6"/>
  <c r="EH46" i="6"/>
  <c r="EH45" i="6"/>
  <c r="EH44" i="6"/>
  <c r="EH42" i="6"/>
  <c r="EH41" i="6"/>
  <c r="EH40" i="6"/>
  <c r="EH39" i="6"/>
  <c r="EH38" i="6"/>
  <c r="EH37" i="6"/>
  <c r="EH36" i="6"/>
  <c r="EH35" i="6"/>
  <c r="EH34" i="6"/>
  <c r="EH33" i="6"/>
  <c r="EH32" i="6"/>
  <c r="EH30" i="6"/>
  <c r="EH29" i="6"/>
  <c r="EH28" i="6"/>
  <c r="EH27" i="6"/>
  <c r="EH24" i="6"/>
  <c r="EH23" i="6"/>
  <c r="EH22" i="6"/>
  <c r="EH21" i="6"/>
  <c r="EH20" i="6"/>
  <c r="EH19" i="6"/>
  <c r="EH18" i="6"/>
  <c r="EH17" i="6"/>
  <c r="EH16" i="6"/>
  <c r="EH15" i="6"/>
  <c r="EH14" i="6"/>
  <c r="EH13" i="6"/>
  <c r="EH12" i="6"/>
  <c r="EH11" i="6"/>
  <c r="EH10" i="6"/>
  <c r="EH9" i="6"/>
  <c r="EH8" i="6"/>
  <c r="EH7" i="6"/>
  <c r="EH6" i="6"/>
  <c r="EH5" i="6"/>
  <c r="R16" i="15" l="1"/>
  <c r="H22" i="17" s="1"/>
  <c r="G22" i="17"/>
  <c r="AP44" i="15"/>
  <c r="EH75" i="15" s="1"/>
  <c r="AP45" i="15"/>
  <c r="EH76" i="15" s="1"/>
  <c r="R8" i="16"/>
  <c r="H14" i="18" s="1"/>
  <c r="G14" i="18"/>
  <c r="R12" i="16"/>
  <c r="H18" i="18" s="1"/>
  <c r="G18" i="18"/>
  <c r="R25" i="16"/>
  <c r="H92" i="18" s="1"/>
  <c r="G92" i="18"/>
  <c r="R18" i="16"/>
  <c r="H85" i="18" s="1"/>
  <c r="G85" i="18"/>
  <c r="R16" i="16"/>
  <c r="H22" i="18" s="1"/>
  <c r="G22" i="18"/>
  <c r="I108" i="18"/>
  <c r="I33" i="18"/>
  <c r="G15" i="18"/>
  <c r="R26" i="16"/>
  <c r="AP50" i="16"/>
  <c r="EH77" i="16"/>
  <c r="R6" i="16"/>
  <c r="H12" i="18" s="1"/>
  <c r="G12" i="18"/>
  <c r="R10" i="16"/>
  <c r="G16" i="18"/>
  <c r="N28" i="18"/>
  <c r="H28" i="18" s="1"/>
  <c r="DM43" i="16"/>
  <c r="EH75" i="16"/>
  <c r="AP45" i="16"/>
  <c r="G13" i="18"/>
  <c r="G19" i="18"/>
  <c r="B60" i="17"/>
  <c r="B61" i="17" s="1"/>
  <c r="B202" i="18"/>
  <c r="B232" i="18" s="1"/>
  <c r="B231" i="18"/>
  <c r="B438" i="18"/>
  <c r="B468" i="18" s="1"/>
  <c r="B467" i="18"/>
  <c r="B360" i="17"/>
  <c r="B390" i="17" s="1"/>
  <c r="B389" i="17"/>
  <c r="S6" i="15"/>
  <c r="T6" i="15" s="1"/>
  <c r="S8" i="15"/>
  <c r="T8" i="15" s="1"/>
  <c r="S7" i="15"/>
  <c r="T7" i="15" s="1"/>
  <c r="Q6" i="15"/>
  <c r="Q20" i="15"/>
  <c r="Q9" i="15"/>
  <c r="G15" i="17" s="1"/>
  <c r="Q8" i="15"/>
  <c r="Q7" i="15"/>
  <c r="Q26" i="15"/>
  <c r="U19" i="15"/>
  <c r="U7" i="15"/>
  <c r="U8" i="15"/>
  <c r="U18" i="15"/>
  <c r="AE21" i="15"/>
  <c r="S28" i="15" s="1"/>
  <c r="T28" i="15" s="1"/>
  <c r="U20" i="15"/>
  <c r="S7" i="16"/>
  <c r="T7" i="16" s="1"/>
  <c r="S8" i="16"/>
  <c r="T8" i="16" s="1"/>
  <c r="S6" i="16"/>
  <c r="S25" i="16"/>
  <c r="T25" i="16" s="1"/>
  <c r="T15" i="16"/>
  <c r="S10" i="16"/>
  <c r="T10" i="16" s="1"/>
  <c r="U10" i="16"/>
  <c r="S12" i="16"/>
  <c r="T12" i="16" s="1"/>
  <c r="U12" i="16"/>
  <c r="G35" i="16"/>
  <c r="AZ48" i="16"/>
  <c r="DO47" i="16"/>
  <c r="O39" i="16"/>
  <c r="B38" i="16"/>
  <c r="B34" i="16" s="1"/>
  <c r="O27" i="16"/>
  <c r="BY20" i="16"/>
  <c r="S9" i="16"/>
  <c r="T9" i="16" s="1"/>
  <c r="F10" i="16"/>
  <c r="U22" i="16"/>
  <c r="S22" i="16"/>
  <c r="T22" i="16" s="1"/>
  <c r="F12" i="16"/>
  <c r="U14" i="16"/>
  <c r="AP12" i="16" s="1"/>
  <c r="Q15" i="16"/>
  <c r="R21" i="16"/>
  <c r="BY21" i="16"/>
  <c r="DO21" i="16"/>
  <c r="AZ22" i="16"/>
  <c r="DO27" i="16"/>
  <c r="AZ28" i="16"/>
  <c r="O20" i="16"/>
  <c r="O19" i="16"/>
  <c r="O17" i="16"/>
  <c r="AZ42" i="16"/>
  <c r="DO41" i="16"/>
  <c r="BT57" i="16"/>
  <c r="G4" i="16"/>
  <c r="F7" i="16" s="1"/>
  <c r="U6" i="16"/>
  <c r="AP10" i="16" s="1"/>
  <c r="S21" i="16"/>
  <c r="T21" i="16" s="1"/>
  <c r="O11" i="16"/>
  <c r="R23" i="16"/>
  <c r="H90" i="18" s="1"/>
  <c r="U23" i="16"/>
  <c r="Q19" i="16"/>
  <c r="G86" i="18" s="1"/>
  <c r="Q17" i="16"/>
  <c r="G84" i="18" s="1"/>
  <c r="R14" i="16"/>
  <c r="G28" i="18" s="1"/>
  <c r="F16" i="16"/>
  <c r="U21" i="16"/>
  <c r="R22" i="16"/>
  <c r="H89" i="18" s="1"/>
  <c r="B23" i="16"/>
  <c r="BY24" i="16"/>
  <c r="S18" i="16"/>
  <c r="T18" i="16" s="1"/>
  <c r="AZ33" i="16"/>
  <c r="DO32" i="16"/>
  <c r="F6" i="16"/>
  <c r="U24" i="16"/>
  <c r="S24" i="16"/>
  <c r="T24" i="16" s="1"/>
  <c r="S13" i="16"/>
  <c r="T13" i="16" s="1"/>
  <c r="S14" i="16"/>
  <c r="U18" i="16"/>
  <c r="Q20" i="16"/>
  <c r="AZ23" i="16"/>
  <c r="DO22" i="16"/>
  <c r="R24" i="16"/>
  <c r="H91" i="18" s="1"/>
  <c r="DO25" i="16"/>
  <c r="AZ27" i="16"/>
  <c r="DO26" i="16"/>
  <c r="AZ44" i="16"/>
  <c r="DO43" i="16"/>
  <c r="DM47" i="16"/>
  <c r="DO46" i="16"/>
  <c r="T26" i="16"/>
  <c r="Q24" i="15"/>
  <c r="G91" i="17" s="1"/>
  <c r="Q21" i="15"/>
  <c r="G88" i="17" s="1"/>
  <c r="Q11" i="15"/>
  <c r="Q10" i="15"/>
  <c r="Q22" i="15"/>
  <c r="G89" i="17" s="1"/>
  <c r="Q23" i="15"/>
  <c r="G90" i="17" s="1"/>
  <c r="Q12" i="15"/>
  <c r="G18" i="17" s="1"/>
  <c r="Q13" i="15"/>
  <c r="S13" i="15"/>
  <c r="T13" i="15" s="1"/>
  <c r="S10" i="15"/>
  <c r="T10" i="15" s="1"/>
  <c r="U10" i="15"/>
  <c r="G35" i="15"/>
  <c r="F24" i="15"/>
  <c r="Q15" i="15"/>
  <c r="Q25" i="15"/>
  <c r="F9" i="15"/>
  <c r="R9" i="15"/>
  <c r="H15" i="17" s="1"/>
  <c r="U11" i="15"/>
  <c r="O12" i="15"/>
  <c r="B27" i="15" s="1"/>
  <c r="BT54" i="15"/>
  <c r="F16" i="15"/>
  <c r="O39" i="15"/>
  <c r="B38" i="15"/>
  <c r="B34" i="15" s="1"/>
  <c r="T15" i="15"/>
  <c r="S25" i="15"/>
  <c r="T25" i="15" s="1"/>
  <c r="BT19" i="15"/>
  <c r="O27" i="15"/>
  <c r="BY20" i="15"/>
  <c r="U13" i="15"/>
  <c r="S9" i="15"/>
  <c r="T9" i="15" s="1"/>
  <c r="F10" i="15"/>
  <c r="O22" i="15"/>
  <c r="F11" i="15"/>
  <c r="DM47" i="15"/>
  <c r="U15" i="15"/>
  <c r="U25" i="15"/>
  <c r="B23" i="15"/>
  <c r="F18" i="15"/>
  <c r="G34" i="15"/>
  <c r="O14" i="15"/>
  <c r="U21" i="15"/>
  <c r="S21" i="15"/>
  <c r="T21" i="15" s="1"/>
  <c r="F13" i="15"/>
  <c r="O24" i="15"/>
  <c r="S19" i="15"/>
  <c r="T19" i="15" s="1"/>
  <c r="S17" i="15"/>
  <c r="T17" i="15" s="1"/>
  <c r="R14" i="15"/>
  <c r="G28" i="17" s="1"/>
  <c r="F21" i="15"/>
  <c r="F20" i="15"/>
  <c r="R32" i="15"/>
  <c r="F22" i="15"/>
  <c r="F6" i="15"/>
  <c r="F7" i="15"/>
  <c r="S11" i="15"/>
  <c r="T11" i="15" s="1"/>
  <c r="S23" i="15"/>
  <c r="T23" i="15" s="1"/>
  <c r="R23" i="15"/>
  <c r="H90" i="17" s="1"/>
  <c r="EH58" i="15"/>
  <c r="U23" i="15"/>
  <c r="U28" i="15"/>
  <c r="S18" i="15"/>
  <c r="T18" i="15" s="1"/>
  <c r="R27" i="15"/>
  <c r="J34" i="17" s="1"/>
  <c r="DM39" i="15"/>
  <c r="DO26" i="15"/>
  <c r="AZ28" i="15"/>
  <c r="DO32" i="15"/>
  <c r="Q17" i="15"/>
  <c r="U17" i="15"/>
  <c r="Q19" i="15"/>
  <c r="S20" i="15"/>
  <c r="T20" i="15" s="1"/>
  <c r="T26" i="15"/>
  <c r="DO46" i="15"/>
  <c r="Q28" i="15"/>
  <c r="Q18" i="15"/>
  <c r="B34" i="11"/>
  <c r="B32" i="11"/>
  <c r="H88" i="18" l="1"/>
  <c r="AP39" i="16"/>
  <c r="EH72" i="16" s="1"/>
  <c r="H16" i="18"/>
  <c r="AP22" i="16"/>
  <c r="R21" i="15"/>
  <c r="R24" i="15"/>
  <c r="H91" i="17" s="1"/>
  <c r="DM43" i="15"/>
  <c r="Q40" i="15"/>
  <c r="R28" i="15"/>
  <c r="J109" i="17" s="1"/>
  <c r="I109" i="17"/>
  <c r="R25" i="15"/>
  <c r="H92" i="17" s="1"/>
  <c r="G92" i="17"/>
  <c r="R11" i="15"/>
  <c r="H17" i="17" s="1"/>
  <c r="G17" i="17"/>
  <c r="R26" i="15"/>
  <c r="I108" i="17"/>
  <c r="I33" i="17"/>
  <c r="H88" i="17"/>
  <c r="R15" i="15"/>
  <c r="H21" i="17" s="1"/>
  <c r="G21" i="17"/>
  <c r="R6" i="15"/>
  <c r="H12" i="17" s="1"/>
  <c r="G12" i="17"/>
  <c r="AP31" i="15"/>
  <c r="EH62" i="15" s="1"/>
  <c r="R8" i="15"/>
  <c r="H14" i="17" s="1"/>
  <c r="G14" i="17"/>
  <c r="R19" i="15"/>
  <c r="H86" i="17" s="1"/>
  <c r="G86" i="17"/>
  <c r="R20" i="15"/>
  <c r="H87" i="17" s="1"/>
  <c r="G87" i="17"/>
  <c r="AP32" i="15"/>
  <c r="EH63" i="15" s="1"/>
  <c r="R7" i="15"/>
  <c r="H13" i="17" s="1"/>
  <c r="G13" i="17"/>
  <c r="AP10" i="15"/>
  <c r="DM9" i="15" s="1"/>
  <c r="R17" i="15"/>
  <c r="H84" i="17" s="1"/>
  <c r="G84" i="17"/>
  <c r="R18" i="15"/>
  <c r="H85" i="17" s="1"/>
  <c r="G85" i="17"/>
  <c r="R13" i="15"/>
  <c r="H19" i="17" s="1"/>
  <c r="G19" i="17"/>
  <c r="R10" i="15"/>
  <c r="G16" i="17"/>
  <c r="AP49" i="16"/>
  <c r="EH79" i="16"/>
  <c r="DM49" i="16"/>
  <c r="J108" i="18"/>
  <c r="J33" i="18"/>
  <c r="R20" i="16"/>
  <c r="H87" i="18" s="1"/>
  <c r="G87" i="18"/>
  <c r="R15" i="16"/>
  <c r="H21" i="18" s="1"/>
  <c r="G21" i="18"/>
  <c r="DM44" i="16"/>
  <c r="EH76" i="16"/>
  <c r="BG12" i="16"/>
  <c r="BK18" i="16" s="1"/>
  <c r="B35" i="16"/>
  <c r="AP30" i="16" s="1"/>
  <c r="O28" i="16"/>
  <c r="U17" i="16"/>
  <c r="S17" i="16"/>
  <c r="T17" i="16" s="1"/>
  <c r="EH70" i="16"/>
  <c r="U19" i="16"/>
  <c r="S19" i="16"/>
  <c r="T19" i="16" s="1"/>
  <c r="Q28" i="16"/>
  <c r="I109" i="18" s="1"/>
  <c r="EH71" i="16"/>
  <c r="Q27" i="16"/>
  <c r="DM22" i="16"/>
  <c r="EH37" i="16"/>
  <c r="EH33" i="16"/>
  <c r="DM19" i="16"/>
  <c r="BG14" i="16"/>
  <c r="B24" i="16"/>
  <c r="F17" i="16"/>
  <c r="O40" i="16"/>
  <c r="T6" i="16"/>
  <c r="DM23" i="16"/>
  <c r="EH36" i="16"/>
  <c r="R17" i="16"/>
  <c r="EH17" i="16"/>
  <c r="U11" i="16"/>
  <c r="R11" i="16"/>
  <c r="H17" i="18" s="1"/>
  <c r="S11" i="16"/>
  <c r="T11" i="16" s="1"/>
  <c r="Q40" i="16"/>
  <c r="S20" i="16"/>
  <c r="T20" i="16" s="1"/>
  <c r="U20" i="16"/>
  <c r="F8" i="16"/>
  <c r="B27" i="16"/>
  <c r="O42" i="16"/>
  <c r="T14" i="16"/>
  <c r="R19" i="16"/>
  <c r="F21" i="16"/>
  <c r="F20" i="16"/>
  <c r="R32" i="16"/>
  <c r="F22" i="16"/>
  <c r="F13" i="16"/>
  <c r="F11" i="16"/>
  <c r="F9" i="16"/>
  <c r="Q42" i="16"/>
  <c r="EH32" i="16"/>
  <c r="DM18" i="16"/>
  <c r="BG4" i="16"/>
  <c r="BY23" i="16"/>
  <c r="BY22" i="16"/>
  <c r="BT21" i="16"/>
  <c r="S27" i="16"/>
  <c r="AP42" i="16"/>
  <c r="EH21" i="16" s="1"/>
  <c r="BY19" i="16"/>
  <c r="AP6" i="16"/>
  <c r="AP5" i="16"/>
  <c r="U27" i="16"/>
  <c r="AP11" i="16" s="1"/>
  <c r="AP7" i="16"/>
  <c r="B35" i="15"/>
  <c r="BT20" i="15"/>
  <c r="U14" i="15"/>
  <c r="AP12" i="15" s="1"/>
  <c r="BY24" i="15"/>
  <c r="S14" i="15"/>
  <c r="DM22" i="15"/>
  <c r="EH37" i="15"/>
  <c r="BY21" i="15"/>
  <c r="O40" i="15"/>
  <c r="EH29" i="15"/>
  <c r="BG5" i="15"/>
  <c r="BK9" i="15" s="1"/>
  <c r="DM36" i="15"/>
  <c r="BG24" i="15"/>
  <c r="DM44" i="15"/>
  <c r="BG12" i="15"/>
  <c r="EH34" i="15"/>
  <c r="DM20" i="15"/>
  <c r="BG9" i="15"/>
  <c r="BK14" i="15" s="1"/>
  <c r="DM42" i="15"/>
  <c r="B24" i="15"/>
  <c r="F17" i="15"/>
  <c r="EH56" i="15"/>
  <c r="U22" i="15"/>
  <c r="EH52" i="15"/>
  <c r="EH48" i="15"/>
  <c r="S22" i="15"/>
  <c r="T22" i="15" s="1"/>
  <c r="BK15" i="15"/>
  <c r="DM37" i="15"/>
  <c r="DM49" i="15"/>
  <c r="EH32" i="15"/>
  <c r="DM18" i="15"/>
  <c r="BG4" i="15"/>
  <c r="U27" i="15"/>
  <c r="AP11" i="15" s="1"/>
  <c r="BY23" i="15"/>
  <c r="BY22" i="15"/>
  <c r="BT21" i="15"/>
  <c r="S27" i="15"/>
  <c r="BY19" i="15"/>
  <c r="EH19" i="15"/>
  <c r="R22" i="15"/>
  <c r="H89" i="17" s="1"/>
  <c r="DM33" i="15"/>
  <c r="DM26" i="15"/>
  <c r="EH50" i="15"/>
  <c r="EH59" i="15"/>
  <c r="U24" i="15"/>
  <c r="EH55" i="15"/>
  <c r="EH51" i="15"/>
  <c r="EH47" i="15"/>
  <c r="S24" i="15"/>
  <c r="T24" i="15" s="1"/>
  <c r="EH49" i="15"/>
  <c r="EH57" i="15"/>
  <c r="EH23" i="15"/>
  <c r="EH15" i="15"/>
  <c r="S12" i="15"/>
  <c r="T12" i="15" s="1"/>
  <c r="U12" i="15"/>
  <c r="EH11" i="15"/>
  <c r="EH7" i="15"/>
  <c r="R12" i="15"/>
  <c r="Q32" i="12"/>
  <c r="Q32" i="11"/>
  <c r="DM31" i="15" l="1"/>
  <c r="J108" i="17"/>
  <c r="J33" i="17"/>
  <c r="H16" i="17"/>
  <c r="AP22" i="15"/>
  <c r="AP39" i="15"/>
  <c r="EH72" i="15" s="1"/>
  <c r="O36" i="15"/>
  <c r="H18" i="17"/>
  <c r="B121" i="17"/>
  <c r="O35" i="15"/>
  <c r="O35" i="16"/>
  <c r="H84" i="18"/>
  <c r="R27" i="16"/>
  <c r="J34" i="18" s="1"/>
  <c r="B42" i="18" s="1"/>
  <c r="I34" i="18"/>
  <c r="EH78" i="16"/>
  <c r="BG11" i="16"/>
  <c r="BK17" i="16" s="1"/>
  <c r="DM48" i="16"/>
  <c r="DM39" i="16"/>
  <c r="EH73" i="16"/>
  <c r="R31" i="16"/>
  <c r="H86" i="18"/>
  <c r="BK35" i="15"/>
  <c r="DM4" i="16"/>
  <c r="EH11" i="16"/>
  <c r="EH10" i="16"/>
  <c r="EH12" i="16"/>
  <c r="BK4" i="16"/>
  <c r="BK15" i="16"/>
  <c r="DM37" i="16"/>
  <c r="U28" i="16"/>
  <c r="AP32" i="16" s="1"/>
  <c r="AP43" i="16"/>
  <c r="S28" i="16"/>
  <c r="T28" i="16" s="1"/>
  <c r="AP28" i="16"/>
  <c r="AP26" i="16"/>
  <c r="AP27" i="16"/>
  <c r="DM6" i="16"/>
  <c r="EH20" i="16"/>
  <c r="EH19" i="16"/>
  <c r="EH18" i="16"/>
  <c r="DM5" i="16"/>
  <c r="EH14" i="16"/>
  <c r="EH16" i="16"/>
  <c r="EH15" i="16"/>
  <c r="EH9" i="16"/>
  <c r="O36" i="16"/>
  <c r="BG25" i="16"/>
  <c r="BK7" i="16" s="1"/>
  <c r="DM38" i="16"/>
  <c r="R28" i="16"/>
  <c r="J109" i="18" s="1"/>
  <c r="BG24" i="16"/>
  <c r="DM36" i="16"/>
  <c r="BG27" i="16"/>
  <c r="BK21" i="16" s="1"/>
  <c r="DM29" i="16"/>
  <c r="EH28" i="16"/>
  <c r="DM8" i="16"/>
  <c r="BG7" i="16"/>
  <c r="BK20" i="16" s="1"/>
  <c r="BK24" i="16" s="1"/>
  <c r="T27" i="16"/>
  <c r="O41" i="16"/>
  <c r="Q41" i="16"/>
  <c r="DM3" i="16"/>
  <c r="EH7" i="16"/>
  <c r="EH8" i="16"/>
  <c r="EH6" i="16"/>
  <c r="DM41" i="16"/>
  <c r="AP54" i="16"/>
  <c r="EH24" i="16"/>
  <c r="EH22" i="16"/>
  <c r="EH23" i="16"/>
  <c r="EH27" i="16"/>
  <c r="BG15" i="16"/>
  <c r="DM11" i="16"/>
  <c r="EH29" i="16"/>
  <c r="BG5" i="16"/>
  <c r="DM9" i="16"/>
  <c r="EH5" i="16"/>
  <c r="EH13" i="16"/>
  <c r="EH34" i="16"/>
  <c r="DM20" i="16"/>
  <c r="BG9" i="16"/>
  <c r="BK14" i="16" s="1"/>
  <c r="AP31" i="16"/>
  <c r="EH62" i="16" s="1"/>
  <c r="DM3" i="15"/>
  <c r="EH6" i="15"/>
  <c r="EH8" i="15"/>
  <c r="EH5" i="15"/>
  <c r="T27" i="15"/>
  <c r="O41" i="15"/>
  <c r="DM32" i="15"/>
  <c r="DM25" i="15"/>
  <c r="EH45" i="15"/>
  <c r="EH46" i="15"/>
  <c r="EH44" i="15"/>
  <c r="AP55" i="15"/>
  <c r="R31" i="15"/>
  <c r="Q41" i="15"/>
  <c r="DM48" i="15"/>
  <c r="BG11" i="15"/>
  <c r="BK17" i="15" s="1"/>
  <c r="BK18" i="15"/>
  <c r="Q42" i="15"/>
  <c r="DM34" i="15"/>
  <c r="DM27" i="15"/>
  <c r="EH53" i="15"/>
  <c r="EH54" i="15"/>
  <c r="DM4" i="15"/>
  <c r="EH12" i="15"/>
  <c r="EH10" i="15"/>
  <c r="EH9" i="15"/>
  <c r="DM41" i="15"/>
  <c r="AP54" i="15"/>
  <c r="EH22" i="15"/>
  <c r="EH21" i="15"/>
  <c r="EH24" i="15"/>
  <c r="BG25" i="15"/>
  <c r="BK7" i="15" s="1"/>
  <c r="DM5" i="15"/>
  <c r="EH13" i="15"/>
  <c r="EH14" i="15"/>
  <c r="EH16" i="15"/>
  <c r="BK4" i="15"/>
  <c r="O42" i="15"/>
  <c r="T14" i="15"/>
  <c r="DM23" i="15"/>
  <c r="EH36" i="15"/>
  <c r="BG27" i="15"/>
  <c r="BK21" i="15" s="1"/>
  <c r="DM29" i="15"/>
  <c r="DM6" i="15"/>
  <c r="EH18" i="15"/>
  <c r="EH17" i="15"/>
  <c r="EH20" i="15"/>
  <c r="DM30" i="15"/>
  <c r="BG26" i="15"/>
  <c r="DM46" i="15"/>
  <c r="AP57" i="15"/>
  <c r="BK5" i="15"/>
  <c r="EH33" i="15"/>
  <c r="DM19" i="15"/>
  <c r="BG14" i="15"/>
  <c r="EH28" i="15"/>
  <c r="DM8" i="15"/>
  <c r="BG7" i="15"/>
  <c r="BK20" i="15" s="1"/>
  <c r="BK24" i="15" s="1"/>
  <c r="B134" i="14"/>
  <c r="B55" i="14"/>
  <c r="B48" i="14"/>
  <c r="B51" i="14" s="1"/>
  <c r="B58" i="14" s="1"/>
  <c r="B133" i="14"/>
  <c r="F109" i="14"/>
  <c r="E109" i="14"/>
  <c r="D109" i="14"/>
  <c r="H109" i="14" s="1"/>
  <c r="C109" i="14"/>
  <c r="G109" i="14" s="1"/>
  <c r="F108" i="14"/>
  <c r="E108" i="14"/>
  <c r="D108" i="14"/>
  <c r="H108" i="14" s="1"/>
  <c r="C108" i="14"/>
  <c r="G108" i="14" s="1"/>
  <c r="F92" i="14"/>
  <c r="E92" i="14"/>
  <c r="D92" i="14"/>
  <c r="C92" i="14"/>
  <c r="F91" i="14"/>
  <c r="D91" i="14"/>
  <c r="C91" i="14"/>
  <c r="F90" i="14"/>
  <c r="D90" i="14"/>
  <c r="C90" i="14"/>
  <c r="F89" i="14"/>
  <c r="D89" i="14"/>
  <c r="C89" i="14"/>
  <c r="F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B66" i="14"/>
  <c r="B54" i="14"/>
  <c r="F34" i="14"/>
  <c r="E34" i="14"/>
  <c r="D34" i="14"/>
  <c r="H34" i="14" s="1"/>
  <c r="C34" i="14"/>
  <c r="G34" i="14" s="1"/>
  <c r="F33" i="14"/>
  <c r="E33" i="14"/>
  <c r="D33" i="14"/>
  <c r="H33" i="14" s="1"/>
  <c r="C33" i="14"/>
  <c r="G33" i="14" s="1"/>
  <c r="K28" i="14"/>
  <c r="I28" i="14"/>
  <c r="E28" i="14"/>
  <c r="D28" i="14"/>
  <c r="C28" i="14"/>
  <c r="F22" i="14"/>
  <c r="E22" i="14"/>
  <c r="D22" i="14"/>
  <c r="C22" i="14"/>
  <c r="E21" i="14"/>
  <c r="D19" i="14"/>
  <c r="C19" i="14"/>
  <c r="B19" i="14"/>
  <c r="F19" i="14" s="1"/>
  <c r="B18" i="14"/>
  <c r="B17" i="14"/>
  <c r="B16" i="14"/>
  <c r="F16" i="14" s="1"/>
  <c r="C15" i="14"/>
  <c r="B15" i="14"/>
  <c r="F15" i="14" s="1"/>
  <c r="B14" i="14"/>
  <c r="E14" i="14" s="1"/>
  <c r="B13" i="14"/>
  <c r="D12" i="14"/>
  <c r="C12" i="14"/>
  <c r="B12" i="14"/>
  <c r="F12" i="14" s="1"/>
  <c r="B776" i="14"/>
  <c r="B778" i="14" s="1"/>
  <c r="B777" i="14" s="1"/>
  <c r="B768" i="14"/>
  <c r="B770" i="14" s="1"/>
  <c r="B771" i="14" s="1"/>
  <c r="B764" i="14"/>
  <c r="B761" i="14"/>
  <c r="J750" i="14"/>
  <c r="I750" i="14"/>
  <c r="F750" i="14"/>
  <c r="E750" i="14"/>
  <c r="D750" i="14"/>
  <c r="H750" i="14" s="1"/>
  <c r="C750" i="14"/>
  <c r="G750" i="14" s="1"/>
  <c r="K750" i="14" s="1"/>
  <c r="J749" i="14"/>
  <c r="I749" i="14"/>
  <c r="F749" i="14"/>
  <c r="E749" i="14"/>
  <c r="D749" i="14"/>
  <c r="H749" i="14" s="1"/>
  <c r="C749" i="14"/>
  <c r="G749" i="14" s="1"/>
  <c r="J748" i="14"/>
  <c r="I748" i="14"/>
  <c r="F748" i="14"/>
  <c r="E748" i="14"/>
  <c r="D748" i="14"/>
  <c r="H748" i="14" s="1"/>
  <c r="C748" i="14"/>
  <c r="G748" i="14" s="1"/>
  <c r="K748" i="14" s="1"/>
  <c r="J747" i="14"/>
  <c r="I747" i="14"/>
  <c r="F747" i="14"/>
  <c r="E747" i="14"/>
  <c r="D747" i="14"/>
  <c r="H747" i="14" s="1"/>
  <c r="C747" i="14"/>
  <c r="G747" i="14" s="1"/>
  <c r="J746" i="14"/>
  <c r="I746" i="14"/>
  <c r="F746" i="14"/>
  <c r="E746" i="14"/>
  <c r="D746" i="14"/>
  <c r="H746" i="14" s="1"/>
  <c r="C746" i="14"/>
  <c r="G746" i="14" s="1"/>
  <c r="K746" i="14" s="1"/>
  <c r="J745" i="14"/>
  <c r="I745" i="14"/>
  <c r="F745" i="14"/>
  <c r="E745" i="14"/>
  <c r="D745" i="14"/>
  <c r="H745" i="14" s="1"/>
  <c r="C745" i="14"/>
  <c r="G745" i="14" s="1"/>
  <c r="J744" i="14"/>
  <c r="I744" i="14"/>
  <c r="F744" i="14"/>
  <c r="E744" i="14"/>
  <c r="D744" i="14"/>
  <c r="H744" i="14" s="1"/>
  <c r="C744" i="14"/>
  <c r="G744" i="14" s="1"/>
  <c r="K744" i="14" s="1"/>
  <c r="J743" i="14"/>
  <c r="I743" i="14"/>
  <c r="F743" i="14"/>
  <c r="E743" i="14"/>
  <c r="D743" i="14"/>
  <c r="H743" i="14" s="1"/>
  <c r="C743" i="14"/>
  <c r="G743" i="14" s="1"/>
  <c r="J742" i="14"/>
  <c r="I742" i="14"/>
  <c r="F742" i="14"/>
  <c r="E742" i="14"/>
  <c r="D742" i="14"/>
  <c r="H742" i="14" s="1"/>
  <c r="C742" i="14"/>
  <c r="G742" i="14" s="1"/>
  <c r="K742" i="14" s="1"/>
  <c r="J741" i="14"/>
  <c r="I741" i="14"/>
  <c r="F741" i="14"/>
  <c r="E741" i="14"/>
  <c r="D741" i="14"/>
  <c r="H741" i="14" s="1"/>
  <c r="C741" i="14"/>
  <c r="G741" i="14" s="1"/>
  <c r="J740" i="14"/>
  <c r="I740" i="14"/>
  <c r="F740" i="14"/>
  <c r="E740" i="14"/>
  <c r="D740" i="14"/>
  <c r="H740" i="14" s="1"/>
  <c r="C740" i="14"/>
  <c r="G740" i="14" s="1"/>
  <c r="K740" i="14" s="1"/>
  <c r="J739" i="14"/>
  <c r="I739" i="14"/>
  <c r="F739" i="14"/>
  <c r="E739" i="14"/>
  <c r="D739" i="14"/>
  <c r="H739" i="14" s="1"/>
  <c r="C739" i="14"/>
  <c r="G739" i="14" s="1"/>
  <c r="G731" i="14"/>
  <c r="F731" i="14"/>
  <c r="M731" i="14" s="1"/>
  <c r="N731" i="14" s="1"/>
  <c r="H731" i="14" s="1"/>
  <c r="E731" i="14"/>
  <c r="D731" i="14"/>
  <c r="C731" i="14"/>
  <c r="I731" i="14" s="1"/>
  <c r="L731" i="14" s="1"/>
  <c r="H717" i="14"/>
  <c r="G717" i="14"/>
  <c r="F717" i="14"/>
  <c r="E717" i="14"/>
  <c r="D717" i="14"/>
  <c r="C717" i="14"/>
  <c r="H716" i="14"/>
  <c r="G716" i="14"/>
  <c r="F716" i="14"/>
  <c r="E716" i="14"/>
  <c r="D716" i="14"/>
  <c r="C716" i="14"/>
  <c r="H715" i="14"/>
  <c r="G715" i="14"/>
  <c r="F715" i="14"/>
  <c r="E715" i="14"/>
  <c r="D715" i="14"/>
  <c r="C715" i="14"/>
  <c r="B699" i="14"/>
  <c r="B698" i="14" s="1"/>
  <c r="B697" i="14"/>
  <c r="B685" i="14"/>
  <c r="B682" i="14"/>
  <c r="B689" i="14" s="1"/>
  <c r="J661" i="14"/>
  <c r="I661" i="14"/>
  <c r="F661" i="14"/>
  <c r="E661" i="14"/>
  <c r="D661" i="14"/>
  <c r="H661" i="14" s="1"/>
  <c r="C661" i="14"/>
  <c r="G661" i="14" s="1"/>
  <c r="J660" i="14"/>
  <c r="I660" i="14"/>
  <c r="F660" i="14"/>
  <c r="E660" i="14"/>
  <c r="D660" i="14"/>
  <c r="H660" i="14" s="1"/>
  <c r="C660" i="14"/>
  <c r="G660" i="14" s="1"/>
  <c r="G652" i="14"/>
  <c r="F652" i="14"/>
  <c r="M652" i="14" s="1"/>
  <c r="E652" i="14"/>
  <c r="D652" i="14"/>
  <c r="C652" i="14"/>
  <c r="I652" i="14" s="1"/>
  <c r="L652" i="14" s="1"/>
  <c r="H637" i="14"/>
  <c r="G637" i="14"/>
  <c r="F637" i="14"/>
  <c r="E637" i="14"/>
  <c r="D637" i="14"/>
  <c r="C637" i="14"/>
  <c r="H636" i="14"/>
  <c r="G636" i="14"/>
  <c r="F636" i="14"/>
  <c r="E636" i="14"/>
  <c r="D636" i="14"/>
  <c r="C636" i="14"/>
  <c r="B618" i="14"/>
  <c r="B620" i="14" s="1"/>
  <c r="B619" i="14" s="1"/>
  <c r="B607" i="14"/>
  <c r="B606" i="14"/>
  <c r="B603" i="14"/>
  <c r="B610" i="14" s="1"/>
  <c r="J583" i="14"/>
  <c r="I583" i="14"/>
  <c r="F583" i="14"/>
  <c r="E583" i="14"/>
  <c r="D583" i="14"/>
  <c r="H583" i="14" s="1"/>
  <c r="C583" i="14"/>
  <c r="G583" i="14" s="1"/>
  <c r="J582" i="14"/>
  <c r="I582" i="14"/>
  <c r="F582" i="14"/>
  <c r="E582" i="14"/>
  <c r="D582" i="14"/>
  <c r="H582" i="14" s="1"/>
  <c r="C582" i="14"/>
  <c r="G582" i="14" s="1"/>
  <c r="K582" i="14" s="1"/>
  <c r="J581" i="14"/>
  <c r="I581" i="14"/>
  <c r="F581" i="14"/>
  <c r="E581" i="14"/>
  <c r="D581" i="14"/>
  <c r="H581" i="14" s="1"/>
  <c r="C581" i="14"/>
  <c r="G581" i="14" s="1"/>
  <c r="G573" i="14"/>
  <c r="F573" i="14"/>
  <c r="M573" i="14" s="1"/>
  <c r="N573" i="14" s="1"/>
  <c r="H573" i="14" s="1"/>
  <c r="E573" i="14"/>
  <c r="D573" i="14"/>
  <c r="C573" i="14"/>
  <c r="I573" i="14" s="1"/>
  <c r="L573" i="14" s="1"/>
  <c r="H559" i="14"/>
  <c r="G559" i="14"/>
  <c r="F559" i="14"/>
  <c r="E559" i="14"/>
  <c r="D559" i="14"/>
  <c r="C559" i="14"/>
  <c r="H558" i="14"/>
  <c r="G558" i="14"/>
  <c r="F558" i="14"/>
  <c r="E558" i="14"/>
  <c r="D558" i="14"/>
  <c r="C558" i="14"/>
  <c r="H557" i="14"/>
  <c r="B594" i="14" s="1"/>
  <c r="G557" i="14"/>
  <c r="F557" i="14"/>
  <c r="E557" i="14"/>
  <c r="D557" i="14"/>
  <c r="C557" i="14"/>
  <c r="B539" i="14"/>
  <c r="B541" i="14" s="1"/>
  <c r="B540" i="14" s="1"/>
  <c r="B527" i="14"/>
  <c r="B528" i="14" s="1"/>
  <c r="B524" i="14"/>
  <c r="B531" i="14" s="1"/>
  <c r="B533" i="14" s="1"/>
  <c r="B534" i="14" s="1"/>
  <c r="J504" i="14"/>
  <c r="I504" i="14"/>
  <c r="F504" i="14"/>
  <c r="E504" i="14"/>
  <c r="D504" i="14"/>
  <c r="H504" i="14" s="1"/>
  <c r="C504" i="14"/>
  <c r="G504" i="14" s="1"/>
  <c r="J503" i="14"/>
  <c r="I503" i="14"/>
  <c r="F503" i="14"/>
  <c r="E503" i="14"/>
  <c r="D503" i="14"/>
  <c r="H503" i="14" s="1"/>
  <c r="C503" i="14"/>
  <c r="G503" i="14" s="1"/>
  <c r="J502" i="14"/>
  <c r="I502" i="14"/>
  <c r="F502" i="14"/>
  <c r="E502" i="14"/>
  <c r="D502" i="14"/>
  <c r="H502" i="14" s="1"/>
  <c r="C502" i="14"/>
  <c r="G502" i="14" s="1"/>
  <c r="H483" i="14"/>
  <c r="G483" i="14"/>
  <c r="F483" i="14"/>
  <c r="E483" i="14"/>
  <c r="D483" i="14"/>
  <c r="C483" i="14"/>
  <c r="H482" i="14"/>
  <c r="G482" i="14"/>
  <c r="F482" i="14"/>
  <c r="E482" i="14"/>
  <c r="D482" i="14"/>
  <c r="C482" i="14"/>
  <c r="H481" i="14"/>
  <c r="G481" i="14"/>
  <c r="F481" i="14"/>
  <c r="E481" i="14"/>
  <c r="D481" i="14"/>
  <c r="C481" i="14"/>
  <c r="H480" i="14"/>
  <c r="G480" i="14"/>
  <c r="F480" i="14"/>
  <c r="E480" i="14"/>
  <c r="D480" i="14"/>
  <c r="C480" i="14"/>
  <c r="H479" i="14"/>
  <c r="G479" i="14"/>
  <c r="F479" i="14"/>
  <c r="E479" i="14"/>
  <c r="D479" i="14"/>
  <c r="C479" i="14"/>
  <c r="H478" i="14"/>
  <c r="G478" i="14"/>
  <c r="F478" i="14"/>
  <c r="E478" i="14"/>
  <c r="D478" i="14"/>
  <c r="C478" i="14"/>
  <c r="B461" i="14"/>
  <c r="B463" i="14" s="1"/>
  <c r="B462" i="14" s="1"/>
  <c r="B449" i="14"/>
  <c r="B450" i="14" s="1"/>
  <c r="B446" i="14"/>
  <c r="B453" i="14" s="1"/>
  <c r="J428" i="14"/>
  <c r="I428" i="14"/>
  <c r="F428" i="14"/>
  <c r="E428" i="14"/>
  <c r="D428" i="14"/>
  <c r="H428" i="14" s="1"/>
  <c r="C428" i="14"/>
  <c r="G428" i="14" s="1"/>
  <c r="K428" i="14" s="1"/>
  <c r="J427" i="14"/>
  <c r="I427" i="14"/>
  <c r="F427" i="14"/>
  <c r="E427" i="14"/>
  <c r="D427" i="14"/>
  <c r="H427" i="14" s="1"/>
  <c r="C427" i="14"/>
  <c r="G427" i="14" s="1"/>
  <c r="J426" i="14"/>
  <c r="I426" i="14"/>
  <c r="F426" i="14"/>
  <c r="E426" i="14"/>
  <c r="D426" i="14"/>
  <c r="H426" i="14" s="1"/>
  <c r="C426" i="14"/>
  <c r="G426" i="14" s="1"/>
  <c r="K426" i="14" s="1"/>
  <c r="J425" i="14"/>
  <c r="I425" i="14"/>
  <c r="F425" i="14"/>
  <c r="E425" i="14"/>
  <c r="D425" i="14"/>
  <c r="H425" i="14" s="1"/>
  <c r="C425" i="14"/>
  <c r="G425" i="14" s="1"/>
  <c r="J424" i="14"/>
  <c r="I424" i="14"/>
  <c r="F424" i="14"/>
  <c r="E424" i="14"/>
  <c r="D424" i="14"/>
  <c r="H424" i="14" s="1"/>
  <c r="C424" i="14"/>
  <c r="G424" i="14" s="1"/>
  <c r="K424" i="14" s="1"/>
  <c r="H402" i="14"/>
  <c r="G402" i="14"/>
  <c r="F402" i="14"/>
  <c r="E402" i="14"/>
  <c r="D402" i="14"/>
  <c r="C402" i="14"/>
  <c r="H401" i="14"/>
  <c r="G401" i="14"/>
  <c r="F401" i="14"/>
  <c r="E401" i="14"/>
  <c r="D401" i="14"/>
  <c r="C401" i="14"/>
  <c r="H400" i="14"/>
  <c r="B437" i="14" s="1"/>
  <c r="G400" i="14"/>
  <c r="F400" i="14"/>
  <c r="E400" i="14"/>
  <c r="D400" i="14"/>
  <c r="C400" i="14"/>
  <c r="B383" i="14"/>
  <c r="B385" i="14" s="1"/>
  <c r="B384" i="14" s="1"/>
  <c r="B371" i="14"/>
  <c r="B372" i="14" s="1"/>
  <c r="B368" i="14"/>
  <c r="B375" i="14" s="1"/>
  <c r="J350" i="14"/>
  <c r="I350" i="14"/>
  <c r="F350" i="14"/>
  <c r="E350" i="14"/>
  <c r="D350" i="14"/>
  <c r="H350" i="14" s="1"/>
  <c r="C350" i="14"/>
  <c r="G350" i="14" s="1"/>
  <c r="K350" i="14" s="1"/>
  <c r="J349" i="14"/>
  <c r="I349" i="14"/>
  <c r="F349" i="14"/>
  <c r="E349" i="14"/>
  <c r="D349" i="14"/>
  <c r="H349" i="14" s="1"/>
  <c r="C349" i="14"/>
  <c r="G349" i="14" s="1"/>
  <c r="J348" i="14"/>
  <c r="I348" i="14"/>
  <c r="F348" i="14"/>
  <c r="E348" i="14"/>
  <c r="D348" i="14"/>
  <c r="H348" i="14" s="1"/>
  <c r="C348" i="14"/>
  <c r="G348" i="14" s="1"/>
  <c r="K348" i="14" s="1"/>
  <c r="J347" i="14"/>
  <c r="I347" i="14"/>
  <c r="F347" i="14"/>
  <c r="E347" i="14"/>
  <c r="D347" i="14"/>
  <c r="H347" i="14" s="1"/>
  <c r="C347" i="14"/>
  <c r="G347" i="14" s="1"/>
  <c r="J346" i="14"/>
  <c r="I346" i="14"/>
  <c r="F346" i="14"/>
  <c r="E346" i="14"/>
  <c r="D346" i="14"/>
  <c r="H346" i="14" s="1"/>
  <c r="C346" i="14"/>
  <c r="G346" i="14" s="1"/>
  <c r="K346" i="14" s="1"/>
  <c r="H325" i="14"/>
  <c r="G325" i="14"/>
  <c r="F325" i="14"/>
  <c r="E325" i="14"/>
  <c r="D325" i="14"/>
  <c r="C325" i="14"/>
  <c r="H324" i="14"/>
  <c r="G324" i="14"/>
  <c r="F324" i="14"/>
  <c r="E324" i="14"/>
  <c r="D324" i="14"/>
  <c r="C324" i="14"/>
  <c r="H323" i="14"/>
  <c r="G323" i="14"/>
  <c r="F323" i="14"/>
  <c r="E323" i="14"/>
  <c r="D323" i="14"/>
  <c r="C323" i="14"/>
  <c r="H322" i="14"/>
  <c r="G322" i="14"/>
  <c r="F322" i="14"/>
  <c r="E322" i="14"/>
  <c r="D322" i="14"/>
  <c r="C322" i="14"/>
  <c r="B304" i="14"/>
  <c r="B306" i="14" s="1"/>
  <c r="B305" i="14" s="1"/>
  <c r="B292" i="14"/>
  <c r="B289" i="14"/>
  <c r="B296" i="14" s="1"/>
  <c r="J270" i="14"/>
  <c r="I270" i="14"/>
  <c r="F270" i="14"/>
  <c r="E270" i="14"/>
  <c r="D270" i="14"/>
  <c r="H270" i="14" s="1"/>
  <c r="C270" i="14"/>
  <c r="G270" i="14" s="1"/>
  <c r="J269" i="14"/>
  <c r="I269" i="14"/>
  <c r="F269" i="14"/>
  <c r="E269" i="14"/>
  <c r="D269" i="14"/>
  <c r="H269" i="14" s="1"/>
  <c r="C269" i="14"/>
  <c r="G269" i="14" s="1"/>
  <c r="J268" i="14"/>
  <c r="I268" i="14"/>
  <c r="F268" i="14"/>
  <c r="E268" i="14"/>
  <c r="D268" i="14"/>
  <c r="H268" i="14" s="1"/>
  <c r="C268" i="14"/>
  <c r="G268" i="14" s="1"/>
  <c r="J267" i="14"/>
  <c r="I267" i="14"/>
  <c r="F267" i="14"/>
  <c r="E267" i="14"/>
  <c r="D267" i="14"/>
  <c r="H267" i="14" s="1"/>
  <c r="C267" i="14"/>
  <c r="G267" i="14" s="1"/>
  <c r="H246" i="14"/>
  <c r="G246" i="14"/>
  <c r="F246" i="14"/>
  <c r="E246" i="14"/>
  <c r="D246" i="14"/>
  <c r="C246" i="14"/>
  <c r="H245" i="14"/>
  <c r="G245" i="14"/>
  <c r="F245" i="14"/>
  <c r="E245" i="14"/>
  <c r="D245" i="14"/>
  <c r="C245" i="14"/>
  <c r="H244" i="14"/>
  <c r="G244" i="14"/>
  <c r="F244" i="14"/>
  <c r="E244" i="14"/>
  <c r="D244" i="14"/>
  <c r="C244" i="14"/>
  <c r="H243" i="14"/>
  <c r="B280" i="14" s="1"/>
  <c r="G243" i="14"/>
  <c r="F243" i="14"/>
  <c r="E243" i="14"/>
  <c r="D243" i="14"/>
  <c r="C243" i="14"/>
  <c r="B225" i="14"/>
  <c r="B227" i="14" s="1"/>
  <c r="B226" i="14" s="1"/>
  <c r="B213" i="14"/>
  <c r="B210" i="14"/>
  <c r="B217" i="14" s="1"/>
  <c r="J190" i="14"/>
  <c r="I190" i="14"/>
  <c r="F190" i="14"/>
  <c r="E190" i="14"/>
  <c r="D190" i="14"/>
  <c r="H190" i="14" s="1"/>
  <c r="C190" i="14"/>
  <c r="G190" i="14" s="1"/>
  <c r="K190" i="14" s="1"/>
  <c r="J189" i="14"/>
  <c r="I189" i="14"/>
  <c r="F189" i="14"/>
  <c r="E189" i="14"/>
  <c r="D189" i="14"/>
  <c r="H189" i="14" s="1"/>
  <c r="C189" i="14"/>
  <c r="G189" i="14" s="1"/>
  <c r="J188" i="14"/>
  <c r="I188" i="14"/>
  <c r="F188" i="14"/>
  <c r="E188" i="14"/>
  <c r="D188" i="14"/>
  <c r="H188" i="14" s="1"/>
  <c r="C188" i="14"/>
  <c r="G188" i="14" s="1"/>
  <c r="K188" i="14" s="1"/>
  <c r="I180" i="14"/>
  <c r="L180" i="14" s="1"/>
  <c r="G180" i="14"/>
  <c r="F180" i="14"/>
  <c r="M180" i="14" s="1"/>
  <c r="E180" i="14"/>
  <c r="D180" i="14"/>
  <c r="C180" i="14"/>
  <c r="H165" i="14"/>
  <c r="G165" i="14"/>
  <c r="F165" i="14"/>
  <c r="E165" i="14"/>
  <c r="D165" i="14"/>
  <c r="C165" i="14"/>
  <c r="H164" i="14"/>
  <c r="B201" i="14" s="1"/>
  <c r="G164" i="14"/>
  <c r="F164" i="14"/>
  <c r="E164" i="14"/>
  <c r="D164" i="14"/>
  <c r="C164" i="14"/>
  <c r="B145" i="14"/>
  <c r="B147" i="14" s="1"/>
  <c r="B146" i="14" s="1"/>
  <c r="B68" i="14"/>
  <c r="B67" i="14" s="1"/>
  <c r="B127" i="14"/>
  <c r="B130" i="14" s="1"/>
  <c r="B21" i="14"/>
  <c r="V12" i="14"/>
  <c r="V11" i="14"/>
  <c r="V10" i="14"/>
  <c r="V9" i="14"/>
  <c r="V8" i="14"/>
  <c r="V7" i="14"/>
  <c r="B127" i="13"/>
  <c r="B48" i="13"/>
  <c r="B133" i="13"/>
  <c r="F109" i="13"/>
  <c r="E109" i="13"/>
  <c r="D109" i="13"/>
  <c r="H109" i="13" s="1"/>
  <c r="C109" i="13"/>
  <c r="G109" i="13" s="1"/>
  <c r="F108" i="13"/>
  <c r="E108" i="13"/>
  <c r="D108" i="13"/>
  <c r="H108" i="13" s="1"/>
  <c r="C108" i="13"/>
  <c r="G108" i="13" s="1"/>
  <c r="F92" i="13"/>
  <c r="E92" i="13"/>
  <c r="D92" i="13"/>
  <c r="C92" i="13"/>
  <c r="F91" i="13"/>
  <c r="D91" i="13"/>
  <c r="C91" i="13"/>
  <c r="F90" i="13"/>
  <c r="D90" i="13"/>
  <c r="C90" i="13"/>
  <c r="F89" i="13"/>
  <c r="D89" i="13"/>
  <c r="C89" i="13"/>
  <c r="F88" i="13"/>
  <c r="D88" i="13"/>
  <c r="C88" i="13"/>
  <c r="F87" i="13"/>
  <c r="E87" i="13"/>
  <c r="D87" i="13"/>
  <c r="C87" i="13"/>
  <c r="F86" i="13"/>
  <c r="E86" i="13"/>
  <c r="D86" i="13"/>
  <c r="C86" i="13"/>
  <c r="F85" i="13"/>
  <c r="E85" i="13"/>
  <c r="D85" i="13"/>
  <c r="C85" i="13"/>
  <c r="F84" i="13"/>
  <c r="E84" i="13"/>
  <c r="D84" i="13"/>
  <c r="C84" i="13"/>
  <c r="B66" i="13"/>
  <c r="B54" i="13"/>
  <c r="B51" i="13"/>
  <c r="B58" i="13" s="1"/>
  <c r="B60" i="13" s="1"/>
  <c r="B61" i="13" s="1"/>
  <c r="F34" i="13"/>
  <c r="E34" i="13"/>
  <c r="D34" i="13"/>
  <c r="H34" i="13" s="1"/>
  <c r="C34" i="13"/>
  <c r="G34" i="13" s="1"/>
  <c r="F33" i="13"/>
  <c r="E33" i="13"/>
  <c r="D33" i="13"/>
  <c r="H33" i="13" s="1"/>
  <c r="C33" i="13"/>
  <c r="G33" i="13" s="1"/>
  <c r="K28" i="13"/>
  <c r="I28" i="13"/>
  <c r="E28" i="13"/>
  <c r="D28" i="13"/>
  <c r="C28" i="13"/>
  <c r="F22" i="13"/>
  <c r="E22" i="13"/>
  <c r="D22" i="13"/>
  <c r="C22" i="13"/>
  <c r="F21" i="13"/>
  <c r="E21" i="13"/>
  <c r="D21" i="13"/>
  <c r="C21" i="13"/>
  <c r="D19" i="13"/>
  <c r="C19" i="13"/>
  <c r="B19" i="13"/>
  <c r="F19" i="13" s="1"/>
  <c r="B18" i="13"/>
  <c r="B17" i="13"/>
  <c r="D16" i="13"/>
  <c r="B16" i="13"/>
  <c r="D15" i="13"/>
  <c r="C15" i="13"/>
  <c r="B15" i="13"/>
  <c r="F15" i="13" s="1"/>
  <c r="B14" i="13"/>
  <c r="E14" i="13" s="1"/>
  <c r="E13" i="13"/>
  <c r="B13" i="13"/>
  <c r="E12" i="13"/>
  <c r="D12" i="13"/>
  <c r="B12" i="13"/>
  <c r="B778" i="13"/>
  <c r="B777" i="13" s="1"/>
  <c r="B776" i="13"/>
  <c r="B770" i="13"/>
  <c r="B771" i="13" s="1"/>
  <c r="B764" i="13"/>
  <c r="B761" i="13"/>
  <c r="B768" i="13" s="1"/>
  <c r="G768" i="13" s="1"/>
  <c r="J750" i="13"/>
  <c r="I750" i="13"/>
  <c r="F750" i="13"/>
  <c r="E750" i="13"/>
  <c r="D750" i="13"/>
  <c r="H750" i="13" s="1"/>
  <c r="C750" i="13"/>
  <c r="G750" i="13" s="1"/>
  <c r="K750" i="13" s="1"/>
  <c r="J749" i="13"/>
  <c r="I749" i="13"/>
  <c r="F749" i="13"/>
  <c r="E749" i="13"/>
  <c r="D749" i="13"/>
  <c r="H749" i="13" s="1"/>
  <c r="C749" i="13"/>
  <c r="G749" i="13" s="1"/>
  <c r="K749" i="13" s="1"/>
  <c r="J748" i="13"/>
  <c r="I748" i="13"/>
  <c r="F748" i="13"/>
  <c r="E748" i="13"/>
  <c r="D748" i="13"/>
  <c r="H748" i="13" s="1"/>
  <c r="C748" i="13"/>
  <c r="G748" i="13" s="1"/>
  <c r="J747" i="13"/>
  <c r="I747" i="13"/>
  <c r="F747" i="13"/>
  <c r="E747" i="13"/>
  <c r="D747" i="13"/>
  <c r="H747" i="13" s="1"/>
  <c r="C747" i="13"/>
  <c r="G747" i="13" s="1"/>
  <c r="K747" i="13" s="1"/>
  <c r="J746" i="13"/>
  <c r="I746" i="13"/>
  <c r="F746" i="13"/>
  <c r="E746" i="13"/>
  <c r="D746" i="13"/>
  <c r="H746" i="13" s="1"/>
  <c r="C746" i="13"/>
  <c r="G746" i="13" s="1"/>
  <c r="J745" i="13"/>
  <c r="I745" i="13"/>
  <c r="F745" i="13"/>
  <c r="E745" i="13"/>
  <c r="D745" i="13"/>
  <c r="H745" i="13" s="1"/>
  <c r="C745" i="13"/>
  <c r="G745" i="13" s="1"/>
  <c r="K745" i="13" s="1"/>
  <c r="J744" i="13"/>
  <c r="I744" i="13"/>
  <c r="F744" i="13"/>
  <c r="E744" i="13"/>
  <c r="D744" i="13"/>
  <c r="H744" i="13" s="1"/>
  <c r="C744" i="13"/>
  <c r="G744" i="13" s="1"/>
  <c r="J743" i="13"/>
  <c r="I743" i="13"/>
  <c r="F743" i="13"/>
  <c r="E743" i="13"/>
  <c r="D743" i="13"/>
  <c r="H743" i="13" s="1"/>
  <c r="C743" i="13"/>
  <c r="G743" i="13" s="1"/>
  <c r="K743" i="13" s="1"/>
  <c r="J742" i="13"/>
  <c r="I742" i="13"/>
  <c r="F742" i="13"/>
  <c r="E742" i="13"/>
  <c r="D742" i="13"/>
  <c r="H742" i="13" s="1"/>
  <c r="C742" i="13"/>
  <c r="G742" i="13" s="1"/>
  <c r="J741" i="13"/>
  <c r="I741" i="13"/>
  <c r="F741" i="13"/>
  <c r="E741" i="13"/>
  <c r="D741" i="13"/>
  <c r="H741" i="13" s="1"/>
  <c r="C741" i="13"/>
  <c r="G741" i="13" s="1"/>
  <c r="K741" i="13" s="1"/>
  <c r="J740" i="13"/>
  <c r="I740" i="13"/>
  <c r="H740" i="13"/>
  <c r="F740" i="13"/>
  <c r="E740" i="13"/>
  <c r="D740" i="13"/>
  <c r="C740" i="13"/>
  <c r="G740" i="13" s="1"/>
  <c r="K740" i="13" s="1"/>
  <c r="J739" i="13"/>
  <c r="I739" i="13"/>
  <c r="F739" i="13"/>
  <c r="E739" i="13"/>
  <c r="D739" i="13"/>
  <c r="H739" i="13" s="1"/>
  <c r="C739" i="13"/>
  <c r="G739" i="13" s="1"/>
  <c r="M731" i="13"/>
  <c r="G731" i="13"/>
  <c r="F731" i="13"/>
  <c r="E731" i="13"/>
  <c r="D731" i="13"/>
  <c r="C731" i="13"/>
  <c r="I731" i="13" s="1"/>
  <c r="L731" i="13" s="1"/>
  <c r="H717" i="13"/>
  <c r="G717" i="13"/>
  <c r="F717" i="13"/>
  <c r="E717" i="13"/>
  <c r="D717" i="13"/>
  <c r="C717" i="13"/>
  <c r="H716" i="13"/>
  <c r="G716" i="13"/>
  <c r="F716" i="13"/>
  <c r="E716" i="13"/>
  <c r="D716" i="13"/>
  <c r="C716" i="13"/>
  <c r="H715" i="13"/>
  <c r="G715" i="13"/>
  <c r="F715" i="13"/>
  <c r="E715" i="13"/>
  <c r="D715" i="13"/>
  <c r="C715" i="13"/>
  <c r="B697" i="13"/>
  <c r="B699" i="13" s="1"/>
  <c r="B698" i="13" s="1"/>
  <c r="B689" i="13"/>
  <c r="G689" i="13" s="1"/>
  <c r="B685" i="13"/>
  <c r="B682" i="13"/>
  <c r="J661" i="13"/>
  <c r="I661" i="13"/>
  <c r="F661" i="13"/>
  <c r="E661" i="13"/>
  <c r="D661" i="13"/>
  <c r="H661" i="13" s="1"/>
  <c r="C661" i="13"/>
  <c r="G661" i="13" s="1"/>
  <c r="K661" i="13" s="1"/>
  <c r="J660" i="13"/>
  <c r="I660" i="13"/>
  <c r="H660" i="13"/>
  <c r="F660" i="13"/>
  <c r="E660" i="13"/>
  <c r="D660" i="13"/>
  <c r="C660" i="13"/>
  <c r="G660" i="13" s="1"/>
  <c r="K660" i="13" s="1"/>
  <c r="L652" i="13"/>
  <c r="G652" i="13"/>
  <c r="F652" i="13"/>
  <c r="M652" i="13" s="1"/>
  <c r="E652" i="13"/>
  <c r="D652" i="13"/>
  <c r="C652" i="13"/>
  <c r="I652" i="13" s="1"/>
  <c r="H637" i="13"/>
  <c r="G637" i="13"/>
  <c r="F637" i="13"/>
  <c r="E637" i="13"/>
  <c r="D637" i="13"/>
  <c r="C637" i="13"/>
  <c r="H636" i="13"/>
  <c r="B673" i="13" s="1"/>
  <c r="B674" i="13" s="1"/>
  <c r="B704" i="13" s="1"/>
  <c r="G636" i="13"/>
  <c r="F636" i="13"/>
  <c r="E636" i="13"/>
  <c r="D636" i="13"/>
  <c r="C636" i="13"/>
  <c r="B618" i="13"/>
  <c r="B620" i="13" s="1"/>
  <c r="B619" i="13" s="1"/>
  <c r="B610" i="13"/>
  <c r="B606" i="13"/>
  <c r="B607" i="13" s="1"/>
  <c r="B603" i="13"/>
  <c r="J583" i="13"/>
  <c r="I583" i="13"/>
  <c r="F583" i="13"/>
  <c r="E583" i="13"/>
  <c r="D583" i="13"/>
  <c r="H583" i="13" s="1"/>
  <c r="C583" i="13"/>
  <c r="G583" i="13" s="1"/>
  <c r="J582" i="13"/>
  <c r="I582" i="13"/>
  <c r="F582" i="13"/>
  <c r="E582" i="13"/>
  <c r="D582" i="13"/>
  <c r="H582" i="13" s="1"/>
  <c r="C582" i="13"/>
  <c r="G582" i="13" s="1"/>
  <c r="K582" i="13" s="1"/>
  <c r="J581" i="13"/>
  <c r="I581" i="13"/>
  <c r="F581" i="13"/>
  <c r="E581" i="13"/>
  <c r="D581" i="13"/>
  <c r="H581" i="13" s="1"/>
  <c r="C581" i="13"/>
  <c r="G581" i="13" s="1"/>
  <c r="I573" i="13"/>
  <c r="L573" i="13" s="1"/>
  <c r="G573" i="13"/>
  <c r="F573" i="13"/>
  <c r="M573" i="13" s="1"/>
  <c r="E573" i="13"/>
  <c r="D573" i="13"/>
  <c r="C573" i="13"/>
  <c r="H559" i="13"/>
  <c r="G559" i="13"/>
  <c r="F559" i="13"/>
  <c r="E559" i="13"/>
  <c r="D559" i="13"/>
  <c r="C559" i="13"/>
  <c r="H558" i="13"/>
  <c r="G558" i="13"/>
  <c r="F558" i="13"/>
  <c r="E558" i="13"/>
  <c r="D558" i="13"/>
  <c r="C558" i="13"/>
  <c r="H557" i="13"/>
  <c r="B594" i="13" s="1"/>
  <c r="B624" i="13" s="1"/>
  <c r="G557" i="13"/>
  <c r="F557" i="13"/>
  <c r="E557" i="13"/>
  <c r="D557" i="13"/>
  <c r="C557" i="13"/>
  <c r="B541" i="13"/>
  <c r="B540" i="13"/>
  <c r="B539" i="13"/>
  <c r="G531" i="13"/>
  <c r="B527" i="13"/>
  <c r="B528" i="13" s="1"/>
  <c r="B524" i="13"/>
  <c r="B531" i="13" s="1"/>
  <c r="B533" i="13" s="1"/>
  <c r="B534" i="13" s="1"/>
  <c r="J504" i="13"/>
  <c r="I504" i="13"/>
  <c r="F504" i="13"/>
  <c r="E504" i="13"/>
  <c r="D504" i="13"/>
  <c r="H504" i="13" s="1"/>
  <c r="C504" i="13"/>
  <c r="G504" i="13" s="1"/>
  <c r="K504" i="13" s="1"/>
  <c r="J503" i="13"/>
  <c r="I503" i="13"/>
  <c r="F503" i="13"/>
  <c r="E503" i="13"/>
  <c r="D503" i="13"/>
  <c r="H503" i="13" s="1"/>
  <c r="C503" i="13"/>
  <c r="G503" i="13" s="1"/>
  <c r="K503" i="13" s="1"/>
  <c r="J502" i="13"/>
  <c r="I502" i="13"/>
  <c r="H502" i="13"/>
  <c r="F502" i="13"/>
  <c r="E502" i="13"/>
  <c r="D502" i="13"/>
  <c r="C502" i="13"/>
  <c r="G502" i="13" s="1"/>
  <c r="K502" i="13" s="1"/>
  <c r="H483" i="13"/>
  <c r="G483" i="13"/>
  <c r="F483" i="13"/>
  <c r="E483" i="13"/>
  <c r="D483" i="13"/>
  <c r="C483" i="13"/>
  <c r="H482" i="13"/>
  <c r="G482" i="13"/>
  <c r="F482" i="13"/>
  <c r="E482" i="13"/>
  <c r="D482" i="13"/>
  <c r="C482" i="13"/>
  <c r="H481" i="13"/>
  <c r="G481" i="13"/>
  <c r="F481" i="13"/>
  <c r="E481" i="13"/>
  <c r="D481" i="13"/>
  <c r="C481" i="13"/>
  <c r="H480" i="13"/>
  <c r="G480" i="13"/>
  <c r="F480" i="13"/>
  <c r="E480" i="13"/>
  <c r="D480" i="13"/>
  <c r="C480" i="13"/>
  <c r="H479" i="13"/>
  <c r="G479" i="13"/>
  <c r="F479" i="13"/>
  <c r="E479" i="13"/>
  <c r="D479" i="13"/>
  <c r="C479" i="13"/>
  <c r="H478" i="13"/>
  <c r="B515" i="13" s="1"/>
  <c r="G478" i="13"/>
  <c r="F478" i="13"/>
  <c r="E478" i="13"/>
  <c r="D478" i="13"/>
  <c r="C478" i="13"/>
  <c r="B463" i="13"/>
  <c r="B462" i="13" s="1"/>
  <c r="B461" i="13"/>
  <c r="B455" i="13"/>
  <c r="B456" i="13" s="1"/>
  <c r="B453" i="13"/>
  <c r="G453" i="13" s="1"/>
  <c r="B449" i="13"/>
  <c r="B450" i="13" s="1"/>
  <c r="B446" i="13"/>
  <c r="J428" i="13"/>
  <c r="I428" i="13"/>
  <c r="F428" i="13"/>
  <c r="E428" i="13"/>
  <c r="D428" i="13"/>
  <c r="H428" i="13" s="1"/>
  <c r="C428" i="13"/>
  <c r="G428" i="13" s="1"/>
  <c r="K428" i="13" s="1"/>
  <c r="J427" i="13"/>
  <c r="I427" i="13"/>
  <c r="H427" i="13"/>
  <c r="F427" i="13"/>
  <c r="E427" i="13"/>
  <c r="D427" i="13"/>
  <c r="C427" i="13"/>
  <c r="G427" i="13" s="1"/>
  <c r="K427" i="13" s="1"/>
  <c r="J426" i="13"/>
  <c r="I426" i="13"/>
  <c r="F426" i="13"/>
  <c r="E426" i="13"/>
  <c r="D426" i="13"/>
  <c r="H426" i="13" s="1"/>
  <c r="C426" i="13"/>
  <c r="G426" i="13" s="1"/>
  <c r="J425" i="13"/>
  <c r="I425" i="13"/>
  <c r="F425" i="13"/>
  <c r="E425" i="13"/>
  <c r="D425" i="13"/>
  <c r="H425" i="13" s="1"/>
  <c r="C425" i="13"/>
  <c r="G425" i="13" s="1"/>
  <c r="K425" i="13" s="1"/>
  <c r="J424" i="13"/>
  <c r="I424" i="13"/>
  <c r="F424" i="13"/>
  <c r="E424" i="13"/>
  <c r="D424" i="13"/>
  <c r="H424" i="13" s="1"/>
  <c r="C424" i="13"/>
  <c r="G424" i="13" s="1"/>
  <c r="K424" i="13" s="1"/>
  <c r="H402" i="13"/>
  <c r="G402" i="13"/>
  <c r="F402" i="13"/>
  <c r="E402" i="13"/>
  <c r="D402" i="13"/>
  <c r="C402" i="13"/>
  <c r="H401" i="13"/>
  <c r="B437" i="13" s="1"/>
  <c r="G401" i="13"/>
  <c r="F401" i="13"/>
  <c r="E401" i="13"/>
  <c r="D401" i="13"/>
  <c r="C401" i="13"/>
  <c r="H400" i="13"/>
  <c r="G400" i="13"/>
  <c r="F400" i="13"/>
  <c r="E400" i="13"/>
  <c r="D400" i="13"/>
  <c r="C400" i="13"/>
  <c r="B383" i="13"/>
  <c r="B385" i="13" s="1"/>
  <c r="B384" i="13" s="1"/>
  <c r="B375" i="13"/>
  <c r="G375" i="13" s="1"/>
  <c r="B372" i="13"/>
  <c r="B371" i="13"/>
  <c r="B368" i="13"/>
  <c r="J350" i="13"/>
  <c r="I350" i="13"/>
  <c r="H350" i="13"/>
  <c r="F350" i="13"/>
  <c r="E350" i="13"/>
  <c r="D350" i="13"/>
  <c r="C350" i="13"/>
  <c r="G350" i="13" s="1"/>
  <c r="K350" i="13" s="1"/>
  <c r="J349" i="13"/>
  <c r="I349" i="13"/>
  <c r="F349" i="13"/>
  <c r="E349" i="13"/>
  <c r="D349" i="13"/>
  <c r="H349" i="13" s="1"/>
  <c r="C349" i="13"/>
  <c r="G349" i="13" s="1"/>
  <c r="J348" i="13"/>
  <c r="I348" i="13"/>
  <c r="F348" i="13"/>
  <c r="E348" i="13"/>
  <c r="D348" i="13"/>
  <c r="H348" i="13" s="1"/>
  <c r="C348" i="13"/>
  <c r="G348" i="13" s="1"/>
  <c r="K348" i="13" s="1"/>
  <c r="J347" i="13"/>
  <c r="I347" i="13"/>
  <c r="F347" i="13"/>
  <c r="E347" i="13"/>
  <c r="D347" i="13"/>
  <c r="H347" i="13" s="1"/>
  <c r="C347" i="13"/>
  <c r="G347" i="13" s="1"/>
  <c r="J346" i="13"/>
  <c r="I346" i="13"/>
  <c r="F346" i="13"/>
  <c r="E346" i="13"/>
  <c r="D346" i="13"/>
  <c r="H346" i="13" s="1"/>
  <c r="C346" i="13"/>
  <c r="G346" i="13" s="1"/>
  <c r="H325" i="13"/>
  <c r="G325" i="13"/>
  <c r="F325" i="13"/>
  <c r="E325" i="13"/>
  <c r="D325" i="13"/>
  <c r="C325" i="13"/>
  <c r="H324" i="13"/>
  <c r="G324" i="13"/>
  <c r="F324" i="13"/>
  <c r="E324" i="13"/>
  <c r="D324" i="13"/>
  <c r="C324" i="13"/>
  <c r="H323" i="13"/>
  <c r="G323" i="13"/>
  <c r="F323" i="13"/>
  <c r="E323" i="13"/>
  <c r="D323" i="13"/>
  <c r="C323" i="13"/>
  <c r="H322" i="13"/>
  <c r="B359" i="13" s="1"/>
  <c r="G322" i="13"/>
  <c r="F322" i="13"/>
  <c r="E322" i="13"/>
  <c r="D322" i="13"/>
  <c r="C322" i="13"/>
  <c r="B306" i="13"/>
  <c r="B305" i="13" s="1"/>
  <c r="B304" i="13"/>
  <c r="B298" i="13"/>
  <c r="B299" i="13" s="1"/>
  <c r="B292" i="13"/>
  <c r="B289" i="13"/>
  <c r="B296" i="13" s="1"/>
  <c r="G296" i="13" s="1"/>
  <c r="J270" i="13"/>
  <c r="I270" i="13"/>
  <c r="F270" i="13"/>
  <c r="E270" i="13"/>
  <c r="D270" i="13"/>
  <c r="H270" i="13" s="1"/>
  <c r="C270" i="13"/>
  <c r="G270" i="13" s="1"/>
  <c r="J269" i="13"/>
  <c r="I269" i="13"/>
  <c r="F269" i="13"/>
  <c r="E269" i="13"/>
  <c r="D269" i="13"/>
  <c r="H269" i="13" s="1"/>
  <c r="C269" i="13"/>
  <c r="G269" i="13" s="1"/>
  <c r="K269" i="13" s="1"/>
  <c r="J268" i="13"/>
  <c r="I268" i="13"/>
  <c r="H268" i="13"/>
  <c r="F268" i="13"/>
  <c r="E268" i="13"/>
  <c r="D268" i="13"/>
  <c r="C268" i="13"/>
  <c r="G268" i="13" s="1"/>
  <c r="K268" i="13" s="1"/>
  <c r="J267" i="13"/>
  <c r="I267" i="13"/>
  <c r="F267" i="13"/>
  <c r="E267" i="13"/>
  <c r="D267" i="13"/>
  <c r="H267" i="13" s="1"/>
  <c r="C267" i="13"/>
  <c r="G267" i="13" s="1"/>
  <c r="K267" i="13" s="1"/>
  <c r="H246" i="13"/>
  <c r="G246" i="13"/>
  <c r="F246" i="13"/>
  <c r="E246" i="13"/>
  <c r="D246" i="13"/>
  <c r="C246" i="13"/>
  <c r="H245" i="13"/>
  <c r="G245" i="13"/>
  <c r="F245" i="13"/>
  <c r="E245" i="13"/>
  <c r="D245" i="13"/>
  <c r="C245" i="13"/>
  <c r="H244" i="13"/>
  <c r="B280" i="13" s="1"/>
  <c r="G244" i="13"/>
  <c r="F244" i="13"/>
  <c r="E244" i="13"/>
  <c r="D244" i="13"/>
  <c r="C244" i="13"/>
  <c r="H243" i="13"/>
  <c r="G243" i="13"/>
  <c r="F243" i="13"/>
  <c r="E243" i="13"/>
  <c r="D243" i="13"/>
  <c r="C243" i="13"/>
  <c r="B225" i="13"/>
  <c r="B227" i="13" s="1"/>
  <c r="B226" i="13" s="1"/>
  <c r="B220" i="13"/>
  <c r="G217" i="13"/>
  <c r="B217" i="13"/>
  <c r="B219" i="13" s="1"/>
  <c r="B213" i="13"/>
  <c r="B210" i="13"/>
  <c r="J190" i="13"/>
  <c r="I190" i="13"/>
  <c r="F190" i="13"/>
  <c r="E190" i="13"/>
  <c r="D190" i="13"/>
  <c r="H190" i="13" s="1"/>
  <c r="C190" i="13"/>
  <c r="G190" i="13" s="1"/>
  <c r="J189" i="13"/>
  <c r="I189" i="13"/>
  <c r="F189" i="13"/>
  <c r="E189" i="13"/>
  <c r="D189" i="13"/>
  <c r="H189" i="13" s="1"/>
  <c r="C189" i="13"/>
  <c r="G189" i="13" s="1"/>
  <c r="J188" i="13"/>
  <c r="I188" i="13"/>
  <c r="F188" i="13"/>
  <c r="E188" i="13"/>
  <c r="D188" i="13"/>
  <c r="H188" i="13" s="1"/>
  <c r="C188" i="13"/>
  <c r="G188" i="13" s="1"/>
  <c r="K188" i="13" s="1"/>
  <c r="M180" i="13"/>
  <c r="G180" i="13"/>
  <c r="F180" i="13"/>
  <c r="E180" i="13"/>
  <c r="D180" i="13"/>
  <c r="C180" i="13"/>
  <c r="I180" i="13" s="1"/>
  <c r="L180" i="13" s="1"/>
  <c r="H165" i="13"/>
  <c r="G165" i="13"/>
  <c r="F165" i="13"/>
  <c r="E165" i="13"/>
  <c r="D165" i="13"/>
  <c r="C165" i="13"/>
  <c r="H164" i="13"/>
  <c r="B201" i="13" s="1"/>
  <c r="G164" i="13"/>
  <c r="F164" i="13"/>
  <c r="E164" i="13"/>
  <c r="D164" i="13"/>
  <c r="C164" i="13"/>
  <c r="B145" i="13"/>
  <c r="B147" i="13" s="1"/>
  <c r="B146" i="13" s="1"/>
  <c r="B68" i="13"/>
  <c r="B67" i="13" s="1"/>
  <c r="J28" i="13"/>
  <c r="L28" i="13" s="1"/>
  <c r="B21" i="13"/>
  <c r="V12" i="13"/>
  <c r="V11" i="13"/>
  <c r="V10" i="13"/>
  <c r="V9" i="13"/>
  <c r="V8" i="13"/>
  <c r="V7" i="13"/>
  <c r="Y19" i="12"/>
  <c r="AC15" i="12"/>
  <c r="AC16" i="12"/>
  <c r="EA79" i="12"/>
  <c r="EA78" i="12"/>
  <c r="EA77" i="12"/>
  <c r="EA76" i="12"/>
  <c r="EA75" i="12"/>
  <c r="EA73" i="12"/>
  <c r="EA72" i="12"/>
  <c r="EA71" i="12"/>
  <c r="EA70" i="12"/>
  <c r="EA68" i="12"/>
  <c r="EA67" i="12"/>
  <c r="EA66" i="12"/>
  <c r="EA65" i="12"/>
  <c r="EA63" i="12"/>
  <c r="EA62" i="12"/>
  <c r="EA61" i="12"/>
  <c r="EA59" i="12"/>
  <c r="EA58" i="12"/>
  <c r="EA57" i="12"/>
  <c r="EA56" i="12"/>
  <c r="DI56" i="12"/>
  <c r="DG56" i="12"/>
  <c r="EA55" i="12"/>
  <c r="DI55" i="12"/>
  <c r="DG55" i="12"/>
  <c r="EA54" i="12"/>
  <c r="DI54" i="12"/>
  <c r="DG54" i="12"/>
  <c r="EA53" i="12"/>
  <c r="DI53" i="12"/>
  <c r="DG53" i="12"/>
  <c r="EA52" i="12"/>
  <c r="DI52" i="12"/>
  <c r="DG52" i="12"/>
  <c r="EA51" i="12"/>
  <c r="EA50" i="12"/>
  <c r="BY50" i="12"/>
  <c r="BS50" i="12"/>
  <c r="AY50" i="12"/>
  <c r="AC52" i="12"/>
  <c r="EA49" i="12"/>
  <c r="DN49" i="12"/>
  <c r="DM49" i="12"/>
  <c r="BY49" i="12"/>
  <c r="AY49" i="12" s="1"/>
  <c r="BS49" i="12"/>
  <c r="AF51" i="12"/>
  <c r="AD51" i="12"/>
  <c r="EA48" i="12"/>
  <c r="DM48" i="12"/>
  <c r="BY48" i="12"/>
  <c r="BS48" i="12"/>
  <c r="EA47" i="12"/>
  <c r="DM47" i="12"/>
  <c r="BY47" i="12"/>
  <c r="BS47" i="12"/>
  <c r="EA46" i="12"/>
  <c r="DM46" i="12"/>
  <c r="BY46" i="12"/>
  <c r="AY46" i="12" s="1"/>
  <c r="BS46" i="12"/>
  <c r="AD48" i="12"/>
  <c r="AC48" i="12"/>
  <c r="EA45" i="12"/>
  <c r="DM45" i="12"/>
  <c r="BY45" i="12"/>
  <c r="AY45" i="12" s="1"/>
  <c r="BS45" i="12"/>
  <c r="AD47" i="12"/>
  <c r="AC47" i="12"/>
  <c r="EA44" i="12"/>
  <c r="DN44" i="12"/>
  <c r="DM44" i="12"/>
  <c r="BY44" i="12"/>
  <c r="AY44" i="12" s="1"/>
  <c r="BS44" i="12"/>
  <c r="DN43" i="12"/>
  <c r="DM43" i="12"/>
  <c r="DI43" i="12"/>
  <c r="DG43" i="12"/>
  <c r="BY43" i="12"/>
  <c r="AY43" i="12" s="1"/>
  <c r="BS43" i="12"/>
  <c r="AD45" i="12"/>
  <c r="AC45" i="12"/>
  <c r="EA42" i="12"/>
  <c r="DM42" i="12"/>
  <c r="DI42" i="12"/>
  <c r="DG42" i="12"/>
  <c r="BY42" i="12"/>
  <c r="BS42" i="12"/>
  <c r="AY42" i="12"/>
  <c r="AD44" i="12"/>
  <c r="AC44" i="12"/>
  <c r="C42" i="12"/>
  <c r="EA41" i="12"/>
  <c r="DN41" i="12"/>
  <c r="DM41" i="12"/>
  <c r="DI41" i="12"/>
  <c r="DG41" i="12"/>
  <c r="EA40" i="12"/>
  <c r="DN40" i="12"/>
  <c r="DM40" i="12"/>
  <c r="DL40" i="12"/>
  <c r="DI40" i="12"/>
  <c r="DG40" i="12"/>
  <c r="BY40" i="12"/>
  <c r="AY40" i="12" s="1"/>
  <c r="BU40" i="12"/>
  <c r="DM39" i="12" s="1"/>
  <c r="AQ40" i="12"/>
  <c r="BS40" i="12" s="1"/>
  <c r="AF42" i="12"/>
  <c r="EA39" i="12"/>
  <c r="DI39" i="12"/>
  <c r="DG39" i="12"/>
  <c r="BY39" i="12"/>
  <c r="BS39" i="12"/>
  <c r="AY39" i="12"/>
  <c r="EA38" i="12"/>
  <c r="DN38" i="12"/>
  <c r="DM38" i="12"/>
  <c r="DI38" i="12"/>
  <c r="DG38" i="12"/>
  <c r="BY38" i="12"/>
  <c r="BS38" i="12"/>
  <c r="EA37" i="12"/>
  <c r="DM37" i="12"/>
  <c r="DI37" i="12"/>
  <c r="DG37" i="12"/>
  <c r="BY37" i="12"/>
  <c r="AY37" i="12" s="1"/>
  <c r="BS37" i="12"/>
  <c r="N37" i="12"/>
  <c r="EA36" i="12"/>
  <c r="DN36" i="12"/>
  <c r="DM36" i="12"/>
  <c r="DI36" i="12"/>
  <c r="DG36" i="12"/>
  <c r="AC38" i="12"/>
  <c r="G36" i="12"/>
  <c r="B36" i="12" s="1"/>
  <c r="EA35" i="12"/>
  <c r="DN35" i="12"/>
  <c r="DM35" i="12"/>
  <c r="DL35" i="12"/>
  <c r="DI35" i="12"/>
  <c r="DG35" i="12"/>
  <c r="BY35" i="12"/>
  <c r="DN34" i="12" s="1"/>
  <c r="BS35" i="12"/>
  <c r="AF37" i="12"/>
  <c r="AD37" i="12"/>
  <c r="EA34" i="12"/>
  <c r="DM34" i="12"/>
  <c r="DI34" i="12"/>
  <c r="DG34" i="12"/>
  <c r="BY34" i="12"/>
  <c r="DN33" i="12" s="1"/>
  <c r="BS34" i="12"/>
  <c r="AY34" i="12"/>
  <c r="P34" i="12"/>
  <c r="P35" i="12" s="1"/>
  <c r="EA33" i="12"/>
  <c r="DM33" i="12"/>
  <c r="DI33" i="12"/>
  <c r="DG33" i="12"/>
  <c r="BY33" i="12"/>
  <c r="BS33" i="12"/>
  <c r="BS57" i="12" s="1"/>
  <c r="EA32" i="12"/>
  <c r="DM32" i="12"/>
  <c r="DI32" i="12"/>
  <c r="DG32" i="12"/>
  <c r="BY32" i="12"/>
  <c r="DN31" i="12" s="1"/>
  <c r="BS32" i="12"/>
  <c r="AD34" i="12"/>
  <c r="AC34" i="12"/>
  <c r="DM31" i="12"/>
  <c r="DI31" i="12"/>
  <c r="DG31" i="12"/>
  <c r="BY31" i="12"/>
  <c r="BS31" i="12"/>
  <c r="AY31" i="12"/>
  <c r="AD33" i="12"/>
  <c r="AC33" i="12"/>
  <c r="EA30" i="12"/>
  <c r="DN30" i="12"/>
  <c r="DM30" i="12"/>
  <c r="BY30" i="12"/>
  <c r="BS30" i="12"/>
  <c r="AY30" i="12"/>
  <c r="AD32" i="12"/>
  <c r="AC32" i="12"/>
  <c r="EA29" i="12"/>
  <c r="DN29" i="12"/>
  <c r="DM29" i="12"/>
  <c r="AD31" i="12"/>
  <c r="AC31" i="12"/>
  <c r="EA28" i="12"/>
  <c r="DN28" i="12"/>
  <c r="DM28" i="12"/>
  <c r="DL28" i="12"/>
  <c r="BY28" i="12"/>
  <c r="AY28" i="12" s="1"/>
  <c r="BS28" i="12"/>
  <c r="EA27" i="12"/>
  <c r="DN27" i="12"/>
  <c r="DM27" i="12"/>
  <c r="BY27" i="12"/>
  <c r="BS27" i="12"/>
  <c r="AY27" i="12"/>
  <c r="Z29" i="12"/>
  <c r="P26" i="12" s="1"/>
  <c r="I108" i="14" s="1"/>
  <c r="DN26" i="12"/>
  <c r="DM26" i="12"/>
  <c r="DI26" i="12"/>
  <c r="DG26" i="12"/>
  <c r="BY26" i="12"/>
  <c r="DN25" i="12" s="1"/>
  <c r="BS26" i="12"/>
  <c r="AY26" i="12"/>
  <c r="N26" i="12"/>
  <c r="B26" i="12"/>
  <c r="DM25" i="12"/>
  <c r="DI25" i="12"/>
  <c r="DG25" i="12"/>
  <c r="AD27" i="12"/>
  <c r="AC27" i="12"/>
  <c r="N25" i="12"/>
  <c r="EA24" i="12"/>
  <c r="DN24" i="12"/>
  <c r="DM24" i="12"/>
  <c r="DL24" i="12"/>
  <c r="DI24" i="12"/>
  <c r="DG24" i="12"/>
  <c r="BY24" i="12"/>
  <c r="AY24" i="12" s="1"/>
  <c r="BU24" i="12"/>
  <c r="AQ24" i="12"/>
  <c r="BS24" i="12" s="1"/>
  <c r="AD26" i="12"/>
  <c r="AC26" i="12"/>
  <c r="P24" i="12"/>
  <c r="G91" i="14" s="1"/>
  <c r="EA23" i="12"/>
  <c r="DN23" i="12"/>
  <c r="DM23" i="12"/>
  <c r="DI23" i="12"/>
  <c r="DG23" i="12"/>
  <c r="BY23" i="12"/>
  <c r="DN22" i="12" s="1"/>
  <c r="BU23" i="12"/>
  <c r="DM22" i="12" s="1"/>
  <c r="AQ23" i="12"/>
  <c r="BS23" i="12" s="1"/>
  <c r="AD25" i="12"/>
  <c r="AF23" i="12" s="1"/>
  <c r="AC25" i="12"/>
  <c r="P23" i="12"/>
  <c r="G90" i="14" s="1"/>
  <c r="EA22" i="12"/>
  <c r="DI22" i="12"/>
  <c r="DG22" i="12"/>
  <c r="BY22" i="12"/>
  <c r="DN21" i="12" s="1"/>
  <c r="BS22" i="12"/>
  <c r="AY22" i="12"/>
  <c r="P22" i="12"/>
  <c r="G89" i="14" s="1"/>
  <c r="EA21" i="12"/>
  <c r="DM21" i="12"/>
  <c r="DI21" i="12"/>
  <c r="DG21" i="12"/>
  <c r="BY21" i="12"/>
  <c r="DN20" i="12" s="1"/>
  <c r="AD23" i="12"/>
  <c r="P21" i="12"/>
  <c r="G88" i="14" s="1"/>
  <c r="EA20" i="12"/>
  <c r="DM20" i="12"/>
  <c r="DI20" i="12"/>
  <c r="DG20" i="12"/>
  <c r="BY20" i="12"/>
  <c r="AY20" i="12" s="1"/>
  <c r="N20" i="12"/>
  <c r="EA19" i="12"/>
  <c r="DM19" i="12"/>
  <c r="DI19" i="12"/>
  <c r="DG19" i="12"/>
  <c r="BY19" i="12"/>
  <c r="AY19" i="12"/>
  <c r="AD21" i="12"/>
  <c r="AC21" i="12"/>
  <c r="N19" i="12"/>
  <c r="B19" i="12"/>
  <c r="EA18" i="12"/>
  <c r="DN18" i="12"/>
  <c r="DM18" i="12"/>
  <c r="DI18" i="12"/>
  <c r="DG18" i="12"/>
  <c r="AD20" i="12"/>
  <c r="AC20" i="12"/>
  <c r="N18" i="12"/>
  <c r="EA17" i="12"/>
  <c r="DN17" i="12"/>
  <c r="DM17" i="12"/>
  <c r="DL17" i="12"/>
  <c r="DI17" i="12"/>
  <c r="DG17" i="12"/>
  <c r="BY17" i="12"/>
  <c r="BS17" i="12"/>
  <c r="AY17" i="12"/>
  <c r="N17" i="12"/>
  <c r="EA16" i="12"/>
  <c r="DN16" i="12"/>
  <c r="DM16" i="12"/>
  <c r="BY16" i="12"/>
  <c r="AY16" i="12" s="1"/>
  <c r="BS16" i="12"/>
  <c r="T16" i="12"/>
  <c r="P16" i="12"/>
  <c r="Q16" i="12" s="1"/>
  <c r="H22" i="14" s="1"/>
  <c r="N16" i="12"/>
  <c r="R16" i="12" s="1"/>
  <c r="S16" i="12" s="1"/>
  <c r="EA15" i="12"/>
  <c r="DM15" i="12"/>
  <c r="DI15" i="12"/>
  <c r="DG15" i="12"/>
  <c r="BY15" i="12"/>
  <c r="DN14" i="12" s="1"/>
  <c r="BS15" i="12"/>
  <c r="AY15" i="12"/>
  <c r="AD17" i="12"/>
  <c r="AC17" i="12"/>
  <c r="EA14" i="12"/>
  <c r="DM14" i="12"/>
  <c r="DI14" i="12"/>
  <c r="DG14" i="12"/>
  <c r="BY14" i="12"/>
  <c r="AY14" i="12" s="1"/>
  <c r="BS14" i="12"/>
  <c r="EA13" i="12"/>
  <c r="DN13" i="12"/>
  <c r="DM13" i="12"/>
  <c r="DI13" i="12"/>
  <c r="DG13" i="12"/>
  <c r="P13" i="12"/>
  <c r="G19" i="14" s="1"/>
  <c r="EA12" i="12"/>
  <c r="DN12" i="12"/>
  <c r="DM12" i="12"/>
  <c r="DL12" i="12"/>
  <c r="DI12" i="12"/>
  <c r="DG12" i="12"/>
  <c r="BY12" i="12"/>
  <c r="BS12" i="12"/>
  <c r="AY12" i="12"/>
  <c r="P12" i="12"/>
  <c r="EA11" i="12"/>
  <c r="DN11" i="12"/>
  <c r="DM11" i="12"/>
  <c r="DI11" i="12"/>
  <c r="DG11" i="12"/>
  <c r="BY11" i="12"/>
  <c r="AY11" i="12" s="1"/>
  <c r="BS11" i="12"/>
  <c r="P11" i="12"/>
  <c r="EA10" i="12"/>
  <c r="DM10" i="12"/>
  <c r="DI10" i="12"/>
  <c r="DG10" i="12"/>
  <c r="BY10" i="12"/>
  <c r="AY10" i="12" s="1"/>
  <c r="BS10" i="12"/>
  <c r="AD10" i="12"/>
  <c r="AC10" i="12"/>
  <c r="P10" i="12"/>
  <c r="EA9" i="12"/>
  <c r="DN9" i="12"/>
  <c r="DM9" i="12"/>
  <c r="BY9" i="12"/>
  <c r="BS9" i="12"/>
  <c r="AY9" i="12"/>
  <c r="AD9" i="12"/>
  <c r="AC9" i="12"/>
  <c r="Z5" i="12" s="1"/>
  <c r="P25" i="12" s="1"/>
  <c r="Q25" i="12" s="1"/>
  <c r="H92" i="14" s="1"/>
  <c r="N9" i="12"/>
  <c r="EA8" i="12"/>
  <c r="DN8" i="12"/>
  <c r="DM8" i="12"/>
  <c r="BS8" i="12"/>
  <c r="AD8" i="12"/>
  <c r="N8" i="12"/>
  <c r="EA7" i="12"/>
  <c r="DN7" i="12"/>
  <c r="DM7" i="12"/>
  <c r="DL7" i="12"/>
  <c r="BY7" i="12"/>
  <c r="BS7" i="12"/>
  <c r="AY7" i="12"/>
  <c r="AD7" i="12"/>
  <c r="AC7" i="12"/>
  <c r="N7" i="12"/>
  <c r="H7" i="12"/>
  <c r="N11" i="12" s="1"/>
  <c r="E17" i="14" s="1"/>
  <c r="B7" i="12"/>
  <c r="N14" i="12" s="1"/>
  <c r="AO20" i="12" s="1"/>
  <c r="EA6" i="12"/>
  <c r="DN6" i="12"/>
  <c r="DM6" i="12"/>
  <c r="BY6" i="12"/>
  <c r="AY6" i="12" s="1"/>
  <c r="BS6" i="12"/>
  <c r="N6" i="12"/>
  <c r="B6" i="12"/>
  <c r="B23" i="12" s="1"/>
  <c r="B24" i="12" s="1"/>
  <c r="EA5" i="12"/>
  <c r="DM5" i="12"/>
  <c r="BY5" i="12"/>
  <c r="DN4" i="12" s="1"/>
  <c r="BS5" i="12"/>
  <c r="AF5" i="12"/>
  <c r="T15" i="12" s="1"/>
  <c r="DM4" i="12"/>
  <c r="BY4" i="12"/>
  <c r="AY4" i="12" s="1"/>
  <c r="BS4" i="12"/>
  <c r="BS54" i="12" s="1"/>
  <c r="B4" i="12"/>
  <c r="DN3" i="12"/>
  <c r="DM3" i="12"/>
  <c r="AC36" i="11"/>
  <c r="EA79" i="11"/>
  <c r="EA78" i="11"/>
  <c r="EA77" i="11"/>
  <c r="EA76" i="11"/>
  <c r="EA75" i="11"/>
  <c r="EA73" i="11"/>
  <c r="EA72" i="11"/>
  <c r="EA71" i="11"/>
  <c r="EA70" i="11"/>
  <c r="EA68" i="11"/>
  <c r="EA67" i="11"/>
  <c r="EA66" i="11"/>
  <c r="EA65" i="11"/>
  <c r="EA63" i="11"/>
  <c r="EA62" i="11"/>
  <c r="EA61" i="11"/>
  <c r="EA59" i="11"/>
  <c r="EA58" i="11"/>
  <c r="EA57" i="11"/>
  <c r="EA56" i="11"/>
  <c r="DI56" i="11"/>
  <c r="DG56" i="11"/>
  <c r="EA55" i="11"/>
  <c r="DI55" i="11"/>
  <c r="DG55" i="11"/>
  <c r="EA54" i="11"/>
  <c r="DI54" i="11"/>
  <c r="DG54" i="11"/>
  <c r="EA53" i="11"/>
  <c r="DI53" i="11"/>
  <c r="DG53" i="11"/>
  <c r="EA52" i="11"/>
  <c r="DI52" i="11"/>
  <c r="DG52" i="11"/>
  <c r="EA51" i="11"/>
  <c r="EA50" i="11"/>
  <c r="BY50" i="11"/>
  <c r="DN49" i="11" s="1"/>
  <c r="BS50" i="11"/>
  <c r="AY50" i="11"/>
  <c r="AC50" i="11"/>
  <c r="EA49" i="11"/>
  <c r="DM49" i="11"/>
  <c r="BY49" i="11"/>
  <c r="AY49" i="11" s="1"/>
  <c r="BS49" i="11"/>
  <c r="AF49" i="11"/>
  <c r="AD49" i="11"/>
  <c r="R16" i="11" s="1"/>
  <c r="S16" i="11" s="1"/>
  <c r="EA48" i="11"/>
  <c r="DM48" i="11"/>
  <c r="BY48" i="11"/>
  <c r="BS48" i="11"/>
  <c r="EA47" i="11"/>
  <c r="DM47" i="11"/>
  <c r="BY47" i="11"/>
  <c r="BS47" i="11"/>
  <c r="EA46" i="11"/>
  <c r="DM46" i="11"/>
  <c r="BY46" i="11"/>
  <c r="BS46" i="11"/>
  <c r="AD46" i="11"/>
  <c r="AC46" i="11"/>
  <c r="EA45" i="11"/>
  <c r="DM45" i="11"/>
  <c r="BY45" i="11"/>
  <c r="AY45" i="11" s="1"/>
  <c r="BS45" i="11"/>
  <c r="AD45" i="11"/>
  <c r="AC45" i="11"/>
  <c r="H10" i="11"/>
  <c r="N21" i="11" s="1"/>
  <c r="E88" i="13" s="1"/>
  <c r="EA44" i="11"/>
  <c r="DN44" i="11"/>
  <c r="DM44" i="11"/>
  <c r="BY44" i="11"/>
  <c r="AY44" i="11" s="1"/>
  <c r="BS44" i="11"/>
  <c r="AD44" i="11"/>
  <c r="AC44" i="11"/>
  <c r="DM43" i="11"/>
  <c r="DI43" i="11"/>
  <c r="DG43" i="11"/>
  <c r="BY43" i="11"/>
  <c r="BS43" i="11"/>
  <c r="AD43" i="11"/>
  <c r="AC43" i="11"/>
  <c r="EA42" i="11"/>
  <c r="DM42" i="11"/>
  <c r="DI42" i="11"/>
  <c r="DG42" i="11"/>
  <c r="BY42" i="11"/>
  <c r="BS42" i="11"/>
  <c r="AD42" i="11"/>
  <c r="AC42" i="11"/>
  <c r="C42" i="11"/>
  <c r="EA41" i="11"/>
  <c r="DM41" i="11"/>
  <c r="DI41" i="11"/>
  <c r="DG41" i="11"/>
  <c r="EA40" i="11"/>
  <c r="DN40" i="11"/>
  <c r="DM40" i="11"/>
  <c r="DL40" i="11"/>
  <c r="DI40" i="11"/>
  <c r="DG40" i="11"/>
  <c r="BY40" i="11"/>
  <c r="DN39" i="11" s="1"/>
  <c r="BU40" i="11"/>
  <c r="DM39" i="11" s="1"/>
  <c r="AQ40" i="11"/>
  <c r="BS40" i="11" s="1"/>
  <c r="EA39" i="11"/>
  <c r="DI39" i="11"/>
  <c r="DG39" i="11"/>
  <c r="BY39" i="11"/>
  <c r="BS39" i="11"/>
  <c r="EA38" i="11"/>
  <c r="DM38" i="11"/>
  <c r="DI38" i="11"/>
  <c r="DG38" i="11"/>
  <c r="BY38" i="11"/>
  <c r="AY38" i="11" s="1"/>
  <c r="BS38" i="11"/>
  <c r="EA37" i="11"/>
  <c r="DM37" i="11"/>
  <c r="DI37" i="11"/>
  <c r="DG37" i="11"/>
  <c r="BY37" i="11"/>
  <c r="DN36" i="11" s="1"/>
  <c r="BS37" i="11"/>
  <c r="N37" i="11"/>
  <c r="EA36" i="11"/>
  <c r="DM36" i="11"/>
  <c r="DI36" i="11"/>
  <c r="DG36" i="11"/>
  <c r="G36" i="11"/>
  <c r="B36" i="11"/>
  <c r="EA35" i="11"/>
  <c r="DN35" i="11"/>
  <c r="DM35" i="11"/>
  <c r="DL35" i="11"/>
  <c r="DI35" i="11"/>
  <c r="DG35" i="11"/>
  <c r="BY35" i="11"/>
  <c r="AY35" i="11" s="1"/>
  <c r="BS35" i="11"/>
  <c r="AF35" i="11"/>
  <c r="AD35" i="11"/>
  <c r="EA34" i="11"/>
  <c r="DM34" i="11"/>
  <c r="DI34" i="11"/>
  <c r="DG34" i="11"/>
  <c r="BY34" i="11"/>
  <c r="DN33" i="11" s="1"/>
  <c r="BS34" i="11"/>
  <c r="AY34" i="11"/>
  <c r="P34" i="11"/>
  <c r="P35" i="11" s="1"/>
  <c r="EA33" i="11"/>
  <c r="DM33" i="11"/>
  <c r="DI33" i="11"/>
  <c r="DG33" i="11"/>
  <c r="BY33" i="11"/>
  <c r="AY33" i="11" s="1"/>
  <c r="BS33" i="11"/>
  <c r="EA32" i="11"/>
  <c r="DN32" i="11"/>
  <c r="DM32" i="11"/>
  <c r="DI32" i="11"/>
  <c r="DG32" i="11"/>
  <c r="BY32" i="11"/>
  <c r="DN31" i="11" s="1"/>
  <c r="BS32" i="11"/>
  <c r="AD32" i="11"/>
  <c r="AC32" i="11"/>
  <c r="DM31" i="11"/>
  <c r="DI31" i="11"/>
  <c r="DG31" i="11"/>
  <c r="BY31" i="11"/>
  <c r="AY31" i="11" s="1"/>
  <c r="BS31" i="11"/>
  <c r="AD31" i="11"/>
  <c r="AC31" i="11"/>
  <c r="EA30" i="11"/>
  <c r="DM30" i="11"/>
  <c r="BY30" i="11"/>
  <c r="AY30" i="11" s="1"/>
  <c r="BS30" i="11"/>
  <c r="AD30" i="11"/>
  <c r="AC30" i="11"/>
  <c r="EA29" i="11"/>
  <c r="DM29" i="11"/>
  <c r="AD29" i="11"/>
  <c r="AC29" i="11"/>
  <c r="EA28" i="11"/>
  <c r="DN28" i="11"/>
  <c r="DM28" i="11"/>
  <c r="DL28" i="11"/>
  <c r="BY28" i="11"/>
  <c r="BS28" i="11"/>
  <c r="AY28" i="11"/>
  <c r="EA27" i="11"/>
  <c r="DN27" i="11"/>
  <c r="DM27" i="11"/>
  <c r="BY27" i="11"/>
  <c r="AY27" i="11" s="1"/>
  <c r="BS27" i="11"/>
  <c r="DM26" i="11"/>
  <c r="DI26" i="11"/>
  <c r="DG26" i="11"/>
  <c r="BY26" i="11"/>
  <c r="AY26" i="11" s="1"/>
  <c r="BS26" i="11"/>
  <c r="N26" i="11"/>
  <c r="B26" i="11"/>
  <c r="DN25" i="11"/>
  <c r="DM25" i="11"/>
  <c r="DI25" i="11"/>
  <c r="DG25" i="11"/>
  <c r="AD25" i="11"/>
  <c r="AC25" i="11"/>
  <c r="N25" i="11"/>
  <c r="EA24" i="11"/>
  <c r="DN24" i="11"/>
  <c r="DM24" i="11"/>
  <c r="DL24" i="11"/>
  <c r="DI24" i="11"/>
  <c r="DG24" i="11"/>
  <c r="BY24" i="11"/>
  <c r="BU24" i="11"/>
  <c r="DM23" i="11" s="1"/>
  <c r="AY24" i="11"/>
  <c r="AQ24" i="11"/>
  <c r="BS24" i="11" s="1"/>
  <c r="AD24" i="11"/>
  <c r="AC24" i="11"/>
  <c r="EA23" i="11"/>
  <c r="DN23" i="11"/>
  <c r="DI23" i="11"/>
  <c r="DG23" i="11"/>
  <c r="BY23" i="11"/>
  <c r="AY23" i="11" s="1"/>
  <c r="BU23" i="11"/>
  <c r="DM22" i="11" s="1"/>
  <c r="AQ23" i="11"/>
  <c r="BS23" i="11" s="1"/>
  <c r="AD23" i="11"/>
  <c r="AC23" i="11"/>
  <c r="EA22" i="11"/>
  <c r="DI22" i="11"/>
  <c r="DG22" i="11"/>
  <c r="BY22" i="11"/>
  <c r="AY22" i="11" s="1"/>
  <c r="BS22" i="11"/>
  <c r="EA21" i="11"/>
  <c r="DM21" i="11"/>
  <c r="DI21" i="11"/>
  <c r="DG21" i="11"/>
  <c r="BY21" i="11"/>
  <c r="DN20" i="11" s="1"/>
  <c r="Z21" i="11"/>
  <c r="EA20" i="11"/>
  <c r="DM20" i="11"/>
  <c r="DI20" i="11"/>
  <c r="DG20" i="11"/>
  <c r="BY20" i="11"/>
  <c r="AY20" i="11" s="1"/>
  <c r="EA19" i="11"/>
  <c r="DM19" i="11"/>
  <c r="DI19" i="11"/>
  <c r="DG19" i="11"/>
  <c r="BY19" i="11"/>
  <c r="AY19" i="11" s="1"/>
  <c r="AD19" i="11"/>
  <c r="AC19" i="11"/>
  <c r="B19" i="11"/>
  <c r="EA18" i="11"/>
  <c r="DM18" i="11"/>
  <c r="DI18" i="11"/>
  <c r="DG18" i="11"/>
  <c r="AD18" i="11"/>
  <c r="AC18" i="11"/>
  <c r="EA17" i="11"/>
  <c r="DN17" i="11"/>
  <c r="DM17" i="11"/>
  <c r="DL17" i="11"/>
  <c r="DI17" i="11"/>
  <c r="DG17" i="11"/>
  <c r="BY17" i="11"/>
  <c r="DN16" i="11" s="1"/>
  <c r="BS17" i="11"/>
  <c r="AY17" i="11"/>
  <c r="AD17" i="11"/>
  <c r="AC17" i="11"/>
  <c r="N17" i="11"/>
  <c r="EA16" i="11"/>
  <c r="DM16" i="11"/>
  <c r="BY16" i="11"/>
  <c r="AY16" i="11" s="1"/>
  <c r="BS16" i="11"/>
  <c r="P16" i="11"/>
  <c r="Q16" i="11" s="1"/>
  <c r="H22" i="13" s="1"/>
  <c r="N16" i="11"/>
  <c r="EA15" i="11"/>
  <c r="DN15" i="11"/>
  <c r="DM15" i="11"/>
  <c r="DI15" i="11"/>
  <c r="DG15" i="11"/>
  <c r="BY15" i="11"/>
  <c r="AY15" i="11" s="1"/>
  <c r="BS15" i="11"/>
  <c r="AD15" i="11"/>
  <c r="AC15" i="11"/>
  <c r="EA14" i="11"/>
  <c r="DM14" i="11"/>
  <c r="DI14" i="11"/>
  <c r="DG14" i="11"/>
  <c r="BY14" i="11"/>
  <c r="AY14" i="11" s="1"/>
  <c r="BS14" i="11"/>
  <c r="EA13" i="11"/>
  <c r="DN13" i="11"/>
  <c r="DM13" i="11"/>
  <c r="DI13" i="11"/>
  <c r="DG13" i="11"/>
  <c r="AF13" i="11"/>
  <c r="EA12" i="11"/>
  <c r="DN12" i="11"/>
  <c r="DM12" i="11"/>
  <c r="DL12" i="11"/>
  <c r="DI12" i="11"/>
  <c r="DG12" i="11"/>
  <c r="BY12" i="11"/>
  <c r="DN11" i="11" s="1"/>
  <c r="BS12" i="11"/>
  <c r="AY12" i="11"/>
  <c r="EA11" i="11"/>
  <c r="DM11" i="11"/>
  <c r="DI11" i="11"/>
  <c r="DG11" i="11"/>
  <c r="BY11" i="11"/>
  <c r="AY11" i="11" s="1"/>
  <c r="BS11" i="11"/>
  <c r="EA10" i="11"/>
  <c r="DN10" i="11"/>
  <c r="DM10" i="11"/>
  <c r="DI10" i="11"/>
  <c r="DG10" i="11"/>
  <c r="BY10" i="11"/>
  <c r="DN9" i="11" s="1"/>
  <c r="BS10" i="11"/>
  <c r="AD10" i="11"/>
  <c r="AC10" i="11"/>
  <c r="EA9" i="11"/>
  <c r="DM9" i="11"/>
  <c r="BY9" i="11"/>
  <c r="DN8" i="11" s="1"/>
  <c r="BS9" i="11"/>
  <c r="AY9" i="11"/>
  <c r="AD9" i="11"/>
  <c r="AC9" i="11"/>
  <c r="EA8" i="11"/>
  <c r="DM8" i="11"/>
  <c r="BS8" i="11"/>
  <c r="AD8" i="11"/>
  <c r="N8" i="11"/>
  <c r="T8" i="11" s="1"/>
  <c r="EA7" i="11"/>
  <c r="DN7" i="11"/>
  <c r="DM7" i="11"/>
  <c r="DL7" i="11"/>
  <c r="BY7" i="11"/>
  <c r="AY7" i="11" s="1"/>
  <c r="BS7" i="11"/>
  <c r="AD7" i="11"/>
  <c r="AD5" i="11" s="1"/>
  <c r="R15" i="11" s="1"/>
  <c r="S15" i="11" s="1"/>
  <c r="AC7" i="11"/>
  <c r="Z5" i="11" s="1"/>
  <c r="N7" i="11"/>
  <c r="T7" i="11" s="1"/>
  <c r="H7" i="11"/>
  <c r="B7" i="11"/>
  <c r="EA6" i="11"/>
  <c r="DM6" i="11"/>
  <c r="BY6" i="11"/>
  <c r="BS6" i="11"/>
  <c r="AY6" i="11"/>
  <c r="T6" i="11"/>
  <c r="N6" i="11"/>
  <c r="H6" i="11"/>
  <c r="N10" i="11" s="1"/>
  <c r="R10" i="11" s="1"/>
  <c r="S10" i="11" s="1"/>
  <c r="B6" i="11"/>
  <c r="B23" i="11" s="1"/>
  <c r="B24" i="11" s="1"/>
  <c r="EA5" i="11"/>
  <c r="DN5" i="11"/>
  <c r="DM5" i="11"/>
  <c r="BY5" i="11"/>
  <c r="AY5" i="11" s="1"/>
  <c r="BS5" i="11"/>
  <c r="AF5" i="11"/>
  <c r="T15" i="11" s="1"/>
  <c r="DN4" i="11"/>
  <c r="DM4" i="11"/>
  <c r="BY4" i="11"/>
  <c r="AY4" i="11" s="1"/>
  <c r="BS4" i="11"/>
  <c r="B4" i="11"/>
  <c r="N39" i="11" s="1"/>
  <c r="DN3" i="11"/>
  <c r="DM3" i="11"/>
  <c r="F28" i="3"/>
  <c r="E28" i="3"/>
  <c r="B42" i="17" l="1"/>
  <c r="B43" i="17" s="1"/>
  <c r="B73" i="17" s="1"/>
  <c r="W7" i="17" s="1"/>
  <c r="B122" i="17"/>
  <c r="B152" i="17" s="1"/>
  <c r="W8" i="17" s="1"/>
  <c r="Z8" i="17" s="1"/>
  <c r="B151" i="17"/>
  <c r="DM38" i="15"/>
  <c r="BK35" i="16"/>
  <c r="B121" i="18"/>
  <c r="DM31" i="16"/>
  <c r="EH63" i="16"/>
  <c r="B43" i="18"/>
  <c r="B73" i="18" s="1"/>
  <c r="W7" i="18" s="1"/>
  <c r="B72" i="18"/>
  <c r="BG29" i="16"/>
  <c r="BK5" i="16"/>
  <c r="BK32" i="16" s="1"/>
  <c r="DM21" i="16"/>
  <c r="BG6" i="16"/>
  <c r="EH35" i="16"/>
  <c r="EH41" i="16"/>
  <c r="DM16" i="16"/>
  <c r="DM13" i="16"/>
  <c r="EH38" i="16"/>
  <c r="DM33" i="16"/>
  <c r="DM26" i="16"/>
  <c r="EH51" i="16"/>
  <c r="EH49" i="16"/>
  <c r="EH50" i="16"/>
  <c r="EH48" i="16"/>
  <c r="DM42" i="16"/>
  <c r="AP55" i="16"/>
  <c r="EH56" i="16"/>
  <c r="EH58" i="16"/>
  <c r="EH59" i="16"/>
  <c r="EH57" i="16"/>
  <c r="EH42" i="16"/>
  <c r="AP56" i="16"/>
  <c r="DM45" i="16"/>
  <c r="BK9" i="16"/>
  <c r="DM10" i="16"/>
  <c r="EH30" i="16"/>
  <c r="BG10" i="16"/>
  <c r="BK11" i="16" s="1"/>
  <c r="EH40" i="16"/>
  <c r="DM15" i="16"/>
  <c r="DM25" i="16"/>
  <c r="DM32" i="16"/>
  <c r="EH45" i="16"/>
  <c r="EH47" i="16"/>
  <c r="EH44" i="16"/>
  <c r="EH46" i="16"/>
  <c r="BG26" i="16"/>
  <c r="DM30" i="16"/>
  <c r="DM34" i="16"/>
  <c r="DM27" i="16"/>
  <c r="EH53" i="16"/>
  <c r="EH55" i="16"/>
  <c r="EH52" i="16"/>
  <c r="EH54" i="16"/>
  <c r="DM14" i="16"/>
  <c r="EH39" i="16"/>
  <c r="BK32" i="15"/>
  <c r="BG29" i="15"/>
  <c r="DM14" i="15"/>
  <c r="EH39" i="15"/>
  <c r="EH30" i="15"/>
  <c r="BG10" i="15"/>
  <c r="DM10" i="15"/>
  <c r="EH41" i="15"/>
  <c r="DM16" i="15"/>
  <c r="EH27" i="15"/>
  <c r="BG15" i="15"/>
  <c r="DM11" i="15"/>
  <c r="DM21" i="15"/>
  <c r="EH35" i="15"/>
  <c r="BG6" i="15"/>
  <c r="BK10" i="15"/>
  <c r="BG28" i="15"/>
  <c r="BK12" i="15"/>
  <c r="EH40" i="15"/>
  <c r="DM15" i="15"/>
  <c r="EH42" i="15"/>
  <c r="AP56" i="15"/>
  <c r="DM45" i="15"/>
  <c r="EH38" i="15"/>
  <c r="DM13" i="15"/>
  <c r="K108" i="13"/>
  <c r="E18" i="13"/>
  <c r="E16" i="13"/>
  <c r="G22" i="13"/>
  <c r="K109" i="13"/>
  <c r="K33" i="13"/>
  <c r="I33" i="14"/>
  <c r="G92" i="14"/>
  <c r="G22" i="14"/>
  <c r="B298" i="14"/>
  <c r="B299" i="14" s="1"/>
  <c r="G296" i="14"/>
  <c r="B673" i="14"/>
  <c r="B752" i="14"/>
  <c r="B753" i="14" s="1"/>
  <c r="B783" i="14" s="1"/>
  <c r="D21" i="14"/>
  <c r="K34" i="14"/>
  <c r="B359" i="14"/>
  <c r="E12" i="14"/>
  <c r="E13" i="14"/>
  <c r="D15" i="14"/>
  <c r="C16" i="14"/>
  <c r="F21" i="14"/>
  <c r="G16" i="14"/>
  <c r="K347" i="14"/>
  <c r="K349" i="14"/>
  <c r="K425" i="14"/>
  <c r="K427" i="14"/>
  <c r="B515" i="14"/>
  <c r="B516" i="14" s="1"/>
  <c r="B546" i="14" s="1"/>
  <c r="K741" i="14"/>
  <c r="K743" i="14"/>
  <c r="K745" i="14"/>
  <c r="K747" i="14"/>
  <c r="K749" i="14"/>
  <c r="D16" i="14"/>
  <c r="C21" i="14"/>
  <c r="B137" i="14"/>
  <c r="G137" i="14" s="1"/>
  <c r="F18" i="14"/>
  <c r="F13" i="14"/>
  <c r="C14" i="14"/>
  <c r="C18" i="14"/>
  <c r="C13" i="14"/>
  <c r="D14" i="14"/>
  <c r="E15" i="14"/>
  <c r="C17" i="14"/>
  <c r="G17" i="14"/>
  <c r="D18" i="14"/>
  <c r="F14" i="14"/>
  <c r="F17" i="14"/>
  <c r="G18" i="14"/>
  <c r="D13" i="14"/>
  <c r="D17" i="14"/>
  <c r="K33" i="14"/>
  <c r="B139" i="14"/>
  <c r="B140" i="14" s="1"/>
  <c r="K189" i="14"/>
  <c r="G217" i="14"/>
  <c r="B219" i="14"/>
  <c r="B220" i="14" s="1"/>
  <c r="G375" i="14"/>
  <c r="B377" i="14"/>
  <c r="B378" i="14" s="1"/>
  <c r="B455" i="14"/>
  <c r="B456" i="14" s="1"/>
  <c r="G453" i="14"/>
  <c r="B545" i="14"/>
  <c r="K581" i="14"/>
  <c r="K583" i="14"/>
  <c r="K739" i="14"/>
  <c r="G58" i="14"/>
  <c r="B60" i="14"/>
  <c r="B61" i="14" s="1"/>
  <c r="K109" i="14"/>
  <c r="B202" i="14"/>
  <c r="B232" i="14" s="1"/>
  <c r="B231" i="14"/>
  <c r="K267" i="14"/>
  <c r="K269" i="14"/>
  <c r="B438" i="14"/>
  <c r="B468" i="14" s="1"/>
  <c r="B467" i="14"/>
  <c r="K503" i="14"/>
  <c r="B674" i="14"/>
  <c r="B704" i="14" s="1"/>
  <c r="B703" i="14"/>
  <c r="K660" i="14"/>
  <c r="G689" i="14"/>
  <c r="B691" i="14"/>
  <c r="B692" i="14" s="1"/>
  <c r="B782" i="14"/>
  <c r="B310" i="14"/>
  <c r="B281" i="14"/>
  <c r="B311" i="14" s="1"/>
  <c r="B595" i="14"/>
  <c r="B625" i="14" s="1"/>
  <c r="B624" i="14"/>
  <c r="B612" i="14"/>
  <c r="B613" i="14" s="1"/>
  <c r="G610" i="14"/>
  <c r="K108" i="14"/>
  <c r="N180" i="14"/>
  <c r="H180" i="14" s="1"/>
  <c r="K268" i="14"/>
  <c r="K270" i="14"/>
  <c r="B360" i="14"/>
  <c r="B390" i="14" s="1"/>
  <c r="B389" i="14"/>
  <c r="K502" i="14"/>
  <c r="K504" i="14"/>
  <c r="N652" i="14"/>
  <c r="H652" i="14" s="1"/>
  <c r="K661" i="14"/>
  <c r="G768" i="14"/>
  <c r="J28" i="14"/>
  <c r="L28" i="14" s="1"/>
  <c r="G531" i="14"/>
  <c r="K34" i="13"/>
  <c r="F18" i="13"/>
  <c r="F12" i="13"/>
  <c r="C13" i="13"/>
  <c r="D14" i="13"/>
  <c r="E15" i="13"/>
  <c r="F16" i="13"/>
  <c r="C17" i="13"/>
  <c r="D18" i="13"/>
  <c r="F14" i="13"/>
  <c r="F13" i="13"/>
  <c r="C14" i="13"/>
  <c r="F17" i="13"/>
  <c r="C18" i="13"/>
  <c r="C12" i="13"/>
  <c r="D13" i="13"/>
  <c r="C16" i="13"/>
  <c r="D17" i="13"/>
  <c r="B231" i="13"/>
  <c r="B202" i="13"/>
  <c r="B232" i="13" s="1"/>
  <c r="N180" i="13"/>
  <c r="H180" i="13" s="1"/>
  <c r="B281" i="13"/>
  <c r="B311" i="13" s="1"/>
  <c r="B310" i="13"/>
  <c r="K270" i="13"/>
  <c r="B360" i="13"/>
  <c r="B390" i="13" s="1"/>
  <c r="B389" i="13"/>
  <c r="B595" i="13"/>
  <c r="B625" i="13" s="1"/>
  <c r="K581" i="13"/>
  <c r="K190" i="13"/>
  <c r="K347" i="13"/>
  <c r="G58" i="13"/>
  <c r="B703" i="13"/>
  <c r="N731" i="13"/>
  <c r="H731" i="13" s="1"/>
  <c r="K189" i="13"/>
  <c r="K346" i="13"/>
  <c r="K349" i="13"/>
  <c r="B438" i="13"/>
  <c r="B468" i="13" s="1"/>
  <c r="B467" i="13"/>
  <c r="N573" i="13"/>
  <c r="H573" i="13" s="1"/>
  <c r="N652" i="13"/>
  <c r="H652" i="13" s="1"/>
  <c r="K739" i="13"/>
  <c r="K746" i="13"/>
  <c r="K748" i="13"/>
  <c r="B612" i="13"/>
  <c r="B613" i="13" s="1"/>
  <c r="G610" i="13"/>
  <c r="K426" i="13"/>
  <c r="B545" i="13"/>
  <c r="B516" i="13"/>
  <c r="B546" i="13" s="1"/>
  <c r="K583" i="13"/>
  <c r="B752" i="13"/>
  <c r="K742" i="13"/>
  <c r="K744" i="13"/>
  <c r="B377" i="13"/>
  <c r="B378" i="13" s="1"/>
  <c r="B691" i="13"/>
  <c r="B692" i="13" s="1"/>
  <c r="DN10" i="12"/>
  <c r="Z23" i="12"/>
  <c r="Q26" i="12"/>
  <c r="G34" i="12"/>
  <c r="DN39" i="12"/>
  <c r="DN45" i="12"/>
  <c r="T7" i="12"/>
  <c r="T18" i="12"/>
  <c r="Q11" i="12"/>
  <c r="H17" i="14" s="1"/>
  <c r="DN19" i="12"/>
  <c r="AY32" i="12"/>
  <c r="AD5" i="12"/>
  <c r="R25" i="12" s="1"/>
  <c r="S25" i="12" s="1"/>
  <c r="AF13" i="12"/>
  <c r="AY23" i="12"/>
  <c r="AF29" i="12"/>
  <c r="T26" i="12" s="1"/>
  <c r="B34" i="12"/>
  <c r="AO9" i="12" s="1"/>
  <c r="DN42" i="12"/>
  <c r="DN48" i="12"/>
  <c r="DL8" i="12"/>
  <c r="BF7" i="12"/>
  <c r="BJ20" i="12" s="1"/>
  <c r="P27" i="12"/>
  <c r="I34" i="14" s="1"/>
  <c r="P28" i="12"/>
  <c r="I109" i="14" s="1"/>
  <c r="DL19" i="12"/>
  <c r="R11" i="12"/>
  <c r="S11" i="12" s="1"/>
  <c r="T11" i="12"/>
  <c r="AY5" i="12"/>
  <c r="H13" i="12"/>
  <c r="H12" i="12"/>
  <c r="H11" i="12"/>
  <c r="DN5" i="12"/>
  <c r="H6" i="12"/>
  <c r="H8" i="12"/>
  <c r="T9" i="12"/>
  <c r="P15" i="12"/>
  <c r="Q15" i="12" s="1"/>
  <c r="H21" i="14" s="1"/>
  <c r="DN15" i="12"/>
  <c r="BS20" i="12"/>
  <c r="AD46" i="12"/>
  <c r="AD42" i="12" s="1"/>
  <c r="AC46" i="12"/>
  <c r="Z42" i="12" s="1"/>
  <c r="P14" i="12" s="1"/>
  <c r="DN46" i="12"/>
  <c r="AY47" i="12"/>
  <c r="AO48" i="12"/>
  <c r="BX20" i="12"/>
  <c r="BS56" i="12"/>
  <c r="N39" i="12"/>
  <c r="F16" i="12"/>
  <c r="B35" i="12"/>
  <c r="AO30" i="12" s="1"/>
  <c r="T6" i="12"/>
  <c r="B8" i="12"/>
  <c r="R14" i="12"/>
  <c r="T17" i="12"/>
  <c r="F18" i="12"/>
  <c r="AY21" i="12"/>
  <c r="F17" i="12"/>
  <c r="AD29" i="12"/>
  <c r="R26" i="12" s="1"/>
  <c r="AY35" i="12"/>
  <c r="DN37" i="12"/>
  <c r="AY38" i="12"/>
  <c r="BS55" i="12"/>
  <c r="DN47" i="12"/>
  <c r="AY48" i="12"/>
  <c r="BX21" i="12"/>
  <c r="N27" i="12"/>
  <c r="AO19" i="12"/>
  <c r="T14" i="12"/>
  <c r="H9" i="12"/>
  <c r="H10" i="12"/>
  <c r="AD19" i="12"/>
  <c r="AD13" i="12" s="1"/>
  <c r="R17" i="12" s="1"/>
  <c r="S17" i="12" s="1"/>
  <c r="AC19" i="12"/>
  <c r="Z13" i="12" s="1"/>
  <c r="BS19" i="12"/>
  <c r="BX24" i="12"/>
  <c r="AO37" i="12"/>
  <c r="T25" i="12"/>
  <c r="N28" i="12"/>
  <c r="DN32" i="12"/>
  <c r="AY33" i="12"/>
  <c r="Z40" i="11"/>
  <c r="P14" i="11" s="1"/>
  <c r="DN21" i="11"/>
  <c r="DN30" i="11"/>
  <c r="AY37" i="11"/>
  <c r="AY40" i="11"/>
  <c r="DN48" i="11"/>
  <c r="DN29" i="11"/>
  <c r="P12" i="11"/>
  <c r="G18" i="13" s="1"/>
  <c r="P10" i="11"/>
  <c r="Q10" i="11" s="1"/>
  <c r="H16" i="13" s="1"/>
  <c r="P11" i="11"/>
  <c r="P23" i="11"/>
  <c r="G90" i="13" s="1"/>
  <c r="P22" i="11"/>
  <c r="G89" i="13" s="1"/>
  <c r="P24" i="11"/>
  <c r="G91" i="13" s="1"/>
  <c r="P21" i="11"/>
  <c r="G88" i="13" s="1"/>
  <c r="P13" i="11"/>
  <c r="Z27" i="11"/>
  <c r="DN6" i="11"/>
  <c r="H8" i="11"/>
  <c r="N12" i="11" s="1"/>
  <c r="H9" i="11"/>
  <c r="N13" i="11" s="1"/>
  <c r="E19" i="13" s="1"/>
  <c r="Z13" i="11"/>
  <c r="P17" i="11" s="1"/>
  <c r="DN26" i="11"/>
  <c r="DN22" i="11"/>
  <c r="AY10" i="11"/>
  <c r="AY32" i="11"/>
  <c r="BS57" i="11"/>
  <c r="DN19" i="11"/>
  <c r="BS55" i="11"/>
  <c r="AD13" i="11"/>
  <c r="R17" i="11" s="1"/>
  <c r="S17" i="11" s="1"/>
  <c r="DN18" i="11"/>
  <c r="DN14" i="11"/>
  <c r="T16" i="11"/>
  <c r="AY21" i="11"/>
  <c r="DN34" i="11"/>
  <c r="DN37" i="11"/>
  <c r="P25" i="11"/>
  <c r="P15" i="11"/>
  <c r="P26" i="11"/>
  <c r="AO48" i="11"/>
  <c r="T21" i="11"/>
  <c r="R21" i="11"/>
  <c r="S21" i="11" s="1"/>
  <c r="T10" i="11"/>
  <c r="F18" i="11"/>
  <c r="P27" i="11"/>
  <c r="I34" i="13" s="1"/>
  <c r="P28" i="11"/>
  <c r="I109" i="13" s="1"/>
  <c r="R25" i="11"/>
  <c r="S25" i="11" s="1"/>
  <c r="AY39" i="11"/>
  <c r="DN38" i="11"/>
  <c r="BS54" i="11"/>
  <c r="BS56" i="11"/>
  <c r="N11" i="11"/>
  <c r="E17" i="13" s="1"/>
  <c r="AF27" i="11"/>
  <c r="T26" i="11" s="1"/>
  <c r="AD27" i="11"/>
  <c r="R26" i="11" s="1"/>
  <c r="N20" i="11"/>
  <c r="AO37" i="11" s="1"/>
  <c r="N19" i="11"/>
  <c r="N9" i="11"/>
  <c r="N18" i="11"/>
  <c r="AY42" i="11"/>
  <c r="DN41" i="11"/>
  <c r="AY43" i="11"/>
  <c r="DN42" i="11"/>
  <c r="AY46" i="11"/>
  <c r="DN45" i="11"/>
  <c r="DN46" i="11"/>
  <c r="AY47" i="11"/>
  <c r="DN47" i="11"/>
  <c r="AY48" i="11"/>
  <c r="N27" i="11"/>
  <c r="AO21" i="11" s="1"/>
  <c r="AO23" i="11"/>
  <c r="DL22" i="11" s="1"/>
  <c r="AO19" i="11"/>
  <c r="BS19" i="11"/>
  <c r="N14" i="11"/>
  <c r="G34" i="11"/>
  <c r="T17" i="11"/>
  <c r="AF21" i="11"/>
  <c r="AD21" i="11"/>
  <c r="AO9" i="11"/>
  <c r="H13" i="11"/>
  <c r="H12" i="11"/>
  <c r="H11" i="11"/>
  <c r="B8" i="11"/>
  <c r="F16" i="11"/>
  <c r="Q21" i="11"/>
  <c r="H88" i="13" s="1"/>
  <c r="T25" i="11"/>
  <c r="F17" i="11"/>
  <c r="AF40" i="11"/>
  <c r="AD40" i="11"/>
  <c r="DN43" i="11"/>
  <c r="B127" i="7"/>
  <c r="B48" i="7"/>
  <c r="AD36" i="6"/>
  <c r="AA35" i="6" s="1"/>
  <c r="B72" i="17" l="1"/>
  <c r="W18" i="17"/>
  <c r="V31" i="17" s="1"/>
  <c r="W21" i="17"/>
  <c r="Z7" i="17"/>
  <c r="BG17" i="16"/>
  <c r="BG18" i="16" s="1"/>
  <c r="B122" i="18"/>
  <c r="B152" i="18" s="1"/>
  <c r="W8" i="18" s="1"/>
  <c r="Z8" i="18" s="1"/>
  <c r="B151" i="18"/>
  <c r="W21" i="18"/>
  <c r="Z7" i="18"/>
  <c r="W18" i="18"/>
  <c r="V31" i="18" s="1"/>
  <c r="BG28" i="16"/>
  <c r="BK10" i="16"/>
  <c r="BK34" i="16" s="1"/>
  <c r="BK12" i="16"/>
  <c r="BK6" i="16"/>
  <c r="BK33" i="16" s="1"/>
  <c r="BK36" i="16" s="1"/>
  <c r="BG19" i="16"/>
  <c r="DM46" i="16"/>
  <c r="AP57" i="16"/>
  <c r="BK11" i="15"/>
  <c r="BG17" i="15"/>
  <c r="BG18" i="15" s="1"/>
  <c r="BK34" i="15"/>
  <c r="BK23" i="15"/>
  <c r="BK25" i="15" s="1"/>
  <c r="BK6" i="15"/>
  <c r="BK33" i="15" s="1"/>
  <c r="BK36" i="15" s="1"/>
  <c r="BG19" i="15"/>
  <c r="R15" i="12"/>
  <c r="S15" i="12" s="1"/>
  <c r="Q11" i="11"/>
  <c r="H17" i="13" s="1"/>
  <c r="Q26" i="11"/>
  <c r="I33" i="13"/>
  <c r="I108" i="13"/>
  <c r="Q14" i="11"/>
  <c r="G28" i="13" s="1"/>
  <c r="F28" i="13"/>
  <c r="M28" i="13" s="1"/>
  <c r="N28" i="13" s="1"/>
  <c r="H28" i="13" s="1"/>
  <c r="Q17" i="11"/>
  <c r="H84" i="13" s="1"/>
  <c r="G84" i="13"/>
  <c r="Q13" i="11"/>
  <c r="H19" i="13" s="1"/>
  <c r="G19" i="13"/>
  <c r="G16" i="13"/>
  <c r="Q15" i="11"/>
  <c r="H21" i="13" s="1"/>
  <c r="G21" i="13"/>
  <c r="Q25" i="11"/>
  <c r="H92" i="13" s="1"/>
  <c r="G92" i="13"/>
  <c r="G17" i="13"/>
  <c r="Q14" i="12"/>
  <c r="G28" i="14" s="1"/>
  <c r="F28" i="14"/>
  <c r="M28" i="14" s="1"/>
  <c r="N28" i="14" s="1"/>
  <c r="H28" i="14" s="1"/>
  <c r="J33" i="14"/>
  <c r="J108" i="14"/>
  <c r="G21" i="14"/>
  <c r="B782" i="13"/>
  <c r="B753" i="13"/>
  <c r="B783" i="13" s="1"/>
  <c r="AO24" i="12"/>
  <c r="T19" i="12"/>
  <c r="T20" i="12"/>
  <c r="T8" i="12"/>
  <c r="P40" i="12" s="1"/>
  <c r="AO40" i="12"/>
  <c r="DL39" i="12" s="1"/>
  <c r="DL18" i="12"/>
  <c r="DL47" i="12"/>
  <c r="AO50" i="12"/>
  <c r="R28" i="12"/>
  <c r="S28" i="12" s="1"/>
  <c r="T28" i="12"/>
  <c r="AO32" i="12" s="1"/>
  <c r="DL31" i="12" s="1"/>
  <c r="DL36" i="12"/>
  <c r="N21" i="12"/>
  <c r="E88" i="14" s="1"/>
  <c r="DL29" i="12"/>
  <c r="BF27" i="12"/>
  <c r="BJ21" i="12" s="1"/>
  <c r="BJ24" i="12" s="1"/>
  <c r="N24" i="12"/>
  <c r="E91" i="14" s="1"/>
  <c r="Q27" i="12"/>
  <c r="J34" i="14" s="1"/>
  <c r="AO45" i="12"/>
  <c r="DL44" i="12" s="1"/>
  <c r="AO44" i="12"/>
  <c r="P19" i="12"/>
  <c r="P18" i="12"/>
  <c r="P7" i="12"/>
  <c r="P20" i="12"/>
  <c r="P8" i="12"/>
  <c r="P6" i="12"/>
  <c r="P17" i="12"/>
  <c r="P9" i="12"/>
  <c r="N13" i="12"/>
  <c r="E19" i="14" s="1"/>
  <c r="Q28" i="12"/>
  <c r="J109" i="14" s="1"/>
  <c r="R19" i="12"/>
  <c r="S19" i="12" s="1"/>
  <c r="R8" i="12"/>
  <c r="S8" i="12" s="1"/>
  <c r="R7" i="12"/>
  <c r="S7" i="12" s="1"/>
  <c r="AO23" i="12"/>
  <c r="DL22" i="12" s="1"/>
  <c r="R20" i="12"/>
  <c r="S20" i="12" s="1"/>
  <c r="G35" i="12"/>
  <c r="F24" i="12"/>
  <c r="R6" i="12"/>
  <c r="N22" i="12"/>
  <c r="E89" i="14" s="1"/>
  <c r="AO38" i="12"/>
  <c r="S14" i="12"/>
  <c r="N42" i="12"/>
  <c r="AO12" i="12"/>
  <c r="P42" i="12"/>
  <c r="T27" i="12"/>
  <c r="AO11" i="12" s="1"/>
  <c r="BS21" i="12"/>
  <c r="BX19" i="12"/>
  <c r="R27" i="12"/>
  <c r="S27" i="12" s="1"/>
  <c r="BX23" i="12"/>
  <c r="BX22" i="12"/>
  <c r="S26" i="12"/>
  <c r="R18" i="12"/>
  <c r="S18" i="12" s="1"/>
  <c r="N12" i="12"/>
  <c r="E18" i="14" s="1"/>
  <c r="G4" i="12"/>
  <c r="F10" i="12" s="1"/>
  <c r="N10" i="12"/>
  <c r="E16" i="14" s="1"/>
  <c r="N23" i="12"/>
  <c r="E90" i="14" s="1"/>
  <c r="R9" i="12"/>
  <c r="S9" i="12" s="1"/>
  <c r="AO21" i="12"/>
  <c r="P18" i="11"/>
  <c r="P19" i="11"/>
  <c r="Q12" i="11"/>
  <c r="AO42" i="11"/>
  <c r="DL41" i="11" s="1"/>
  <c r="N28" i="11"/>
  <c r="AO40" i="11"/>
  <c r="DL39" i="11" s="1"/>
  <c r="BX20" i="11"/>
  <c r="R7" i="11"/>
  <c r="S7" i="11" s="1"/>
  <c r="R6" i="11"/>
  <c r="S6" i="11" s="1"/>
  <c r="R8" i="11"/>
  <c r="S8" i="11" s="1"/>
  <c r="P8" i="11"/>
  <c r="P9" i="11"/>
  <c r="P7" i="11"/>
  <c r="P6" i="11"/>
  <c r="P20" i="11"/>
  <c r="DL20" i="11"/>
  <c r="BF9" i="11"/>
  <c r="BJ14" i="11" s="1"/>
  <c r="N24" i="11"/>
  <c r="E91" i="13" s="1"/>
  <c r="T19" i="11"/>
  <c r="R19" i="11"/>
  <c r="S19" i="11" s="1"/>
  <c r="AO45" i="11"/>
  <c r="DL44" i="11" s="1"/>
  <c r="AO44" i="11"/>
  <c r="B35" i="11"/>
  <c r="DL36" i="11"/>
  <c r="R13" i="11"/>
  <c r="S13" i="11" s="1"/>
  <c r="T13" i="11"/>
  <c r="T27" i="11"/>
  <c r="AO11" i="11" s="1"/>
  <c r="BS21" i="11"/>
  <c r="BX19" i="11"/>
  <c r="R27" i="11"/>
  <c r="S27" i="11" s="1"/>
  <c r="BX22" i="11"/>
  <c r="BX23" i="11"/>
  <c r="AO5" i="11"/>
  <c r="R20" i="11"/>
  <c r="S20" i="11" s="1"/>
  <c r="T20" i="11"/>
  <c r="Q27" i="11"/>
  <c r="J34" i="13" s="1"/>
  <c r="DL47" i="11"/>
  <c r="AO50" i="11"/>
  <c r="BF7" i="11"/>
  <c r="BJ20" i="11" s="1"/>
  <c r="DL8" i="11"/>
  <c r="AO24" i="11"/>
  <c r="DL23" i="11" s="1"/>
  <c r="R14" i="11"/>
  <c r="BX24" i="11"/>
  <c r="AO20" i="11"/>
  <c r="AO7" i="11"/>
  <c r="BS20" i="11"/>
  <c r="T14" i="11"/>
  <c r="BX21" i="11"/>
  <c r="T18" i="11"/>
  <c r="R18" i="11"/>
  <c r="S18" i="11" s="1"/>
  <c r="S26" i="11"/>
  <c r="R12" i="11"/>
  <c r="S12" i="11" s="1"/>
  <c r="T12" i="11"/>
  <c r="Q28" i="11"/>
  <c r="J109" i="13" s="1"/>
  <c r="G4" i="11"/>
  <c r="N22" i="11"/>
  <c r="E89" i="13" s="1"/>
  <c r="G35" i="11"/>
  <c r="F24" i="11"/>
  <c r="N23" i="11"/>
  <c r="E90" i="13" s="1"/>
  <c r="R28" i="11"/>
  <c r="S28" i="11" s="1"/>
  <c r="T28" i="11"/>
  <c r="AO32" i="11" s="1"/>
  <c r="DL31" i="11" s="1"/>
  <c r="DL18" i="11"/>
  <c r="BF4" i="11"/>
  <c r="R9" i="11"/>
  <c r="AO4" i="11"/>
  <c r="T9" i="11"/>
  <c r="R11" i="11"/>
  <c r="S11" i="11" s="1"/>
  <c r="T11" i="11"/>
  <c r="AO6" i="11"/>
  <c r="AO38" i="11"/>
  <c r="B28" i="3"/>
  <c r="BK23" i="16" l="1"/>
  <c r="BK25" i="16" s="1"/>
  <c r="AO30" i="11"/>
  <c r="B130" i="13"/>
  <c r="B137" i="13" s="1"/>
  <c r="AO27" i="11"/>
  <c r="Q20" i="11"/>
  <c r="H87" i="13" s="1"/>
  <c r="G87" i="13"/>
  <c r="H18" i="13"/>
  <c r="Q19" i="11"/>
  <c r="H86" i="13" s="1"/>
  <c r="G86" i="13"/>
  <c r="Q7" i="11"/>
  <c r="H13" i="13" s="1"/>
  <c r="G13" i="13"/>
  <c r="Q18" i="11"/>
  <c r="H85" i="13" s="1"/>
  <c r="G85" i="13"/>
  <c r="Q8" i="11"/>
  <c r="H14" i="13" s="1"/>
  <c r="G14" i="13"/>
  <c r="Q6" i="11"/>
  <c r="H12" i="13" s="1"/>
  <c r="G12" i="13"/>
  <c r="Q9" i="11"/>
  <c r="H15" i="13" s="1"/>
  <c r="G15" i="13"/>
  <c r="J108" i="13"/>
  <c r="J33" i="13"/>
  <c r="Q8" i="12"/>
  <c r="H14" i="14" s="1"/>
  <c r="G14" i="14"/>
  <c r="Q9" i="12"/>
  <c r="H15" i="14" s="1"/>
  <c r="G15" i="14"/>
  <c r="Q17" i="12"/>
  <c r="H84" i="14" s="1"/>
  <c r="G84" i="14"/>
  <c r="Q7" i="12"/>
  <c r="H13" i="14" s="1"/>
  <c r="G13" i="14"/>
  <c r="Q19" i="12"/>
  <c r="H86" i="14" s="1"/>
  <c r="G86" i="14"/>
  <c r="Q20" i="12"/>
  <c r="H87" i="14" s="1"/>
  <c r="G87" i="14"/>
  <c r="Q6" i="12"/>
  <c r="H12" i="14" s="1"/>
  <c r="G12" i="14"/>
  <c r="Q18" i="12"/>
  <c r="H85" i="14" s="1"/>
  <c r="G85" i="14"/>
  <c r="AO10" i="12"/>
  <c r="BF5" i="12" s="1"/>
  <c r="BJ9" i="12" s="1"/>
  <c r="AO31" i="12"/>
  <c r="BF26" i="12" s="1"/>
  <c r="DL23" i="12"/>
  <c r="BF14" i="12"/>
  <c r="F8" i="12"/>
  <c r="F9" i="12"/>
  <c r="BF24" i="12"/>
  <c r="BJ5" i="12" s="1"/>
  <c r="DL10" i="12"/>
  <c r="BF10" i="12"/>
  <c r="BJ11" i="12" s="1"/>
  <c r="R22" i="12"/>
  <c r="S22" i="12" s="1"/>
  <c r="T22" i="12"/>
  <c r="Q22" i="12"/>
  <c r="H89" i="14" s="1"/>
  <c r="AO27" i="12"/>
  <c r="T23" i="12"/>
  <c r="R23" i="12"/>
  <c r="S23" i="12" s="1"/>
  <c r="Q23" i="12"/>
  <c r="H90" i="14" s="1"/>
  <c r="R12" i="12"/>
  <c r="S12" i="12" s="1"/>
  <c r="T12" i="12"/>
  <c r="Q12" i="12"/>
  <c r="H18" i="14" s="1"/>
  <c r="BJ15" i="12"/>
  <c r="BJ35" i="12" s="1"/>
  <c r="DL37" i="12"/>
  <c r="P41" i="12"/>
  <c r="T24" i="12"/>
  <c r="Q24" i="12"/>
  <c r="H91" i="14" s="1"/>
  <c r="R24" i="12"/>
  <c r="S24" i="12" s="1"/>
  <c r="BF9" i="12"/>
  <c r="BJ14" i="12" s="1"/>
  <c r="DL20" i="12"/>
  <c r="T21" i="12"/>
  <c r="AO28" i="12"/>
  <c r="R21" i="12"/>
  <c r="S21" i="12" s="1"/>
  <c r="Q21" i="12"/>
  <c r="H88" i="14" s="1"/>
  <c r="AO26" i="12"/>
  <c r="AO43" i="12"/>
  <c r="N41" i="12"/>
  <c r="R13" i="12"/>
  <c r="S13" i="12" s="1"/>
  <c r="Q13" i="12"/>
  <c r="H19" i="14" s="1"/>
  <c r="T13" i="12"/>
  <c r="BF4" i="12"/>
  <c r="T10" i="12"/>
  <c r="R10" i="12"/>
  <c r="S10" i="12" s="1"/>
  <c r="AO6" i="12"/>
  <c r="Q10" i="12"/>
  <c r="H16" i="14" s="1"/>
  <c r="B27" i="12"/>
  <c r="AO4" i="12"/>
  <c r="AO7" i="12"/>
  <c r="AO42" i="12"/>
  <c r="F22" i="12"/>
  <c r="F20" i="12"/>
  <c r="F21" i="12"/>
  <c r="F7" i="12"/>
  <c r="F11" i="12"/>
  <c r="F12" i="12"/>
  <c r="F6" i="12"/>
  <c r="DL9" i="12"/>
  <c r="AO5" i="12"/>
  <c r="DL11" i="12"/>
  <c r="BF15" i="12"/>
  <c r="N40" i="12"/>
  <c r="S6" i="12"/>
  <c r="DL43" i="12"/>
  <c r="BF12" i="12"/>
  <c r="F13" i="12"/>
  <c r="DL49" i="12"/>
  <c r="AO49" i="12"/>
  <c r="N41" i="11"/>
  <c r="BF24" i="11"/>
  <c r="BJ5" i="11" s="1"/>
  <c r="AO31" i="11"/>
  <c r="DL30" i="11" s="1"/>
  <c r="AO46" i="11"/>
  <c r="DL45" i="11" s="1"/>
  <c r="AO54" i="11"/>
  <c r="P41" i="11"/>
  <c r="P42" i="11"/>
  <c r="AO12" i="11"/>
  <c r="DL4" i="11"/>
  <c r="AO15" i="11"/>
  <c r="DL14" i="11" s="1"/>
  <c r="DL43" i="11"/>
  <c r="BF12" i="11"/>
  <c r="AO34" i="11"/>
  <c r="DL33" i="11" s="1"/>
  <c r="DL26" i="11"/>
  <c r="F22" i="11"/>
  <c r="F20" i="11"/>
  <c r="F21" i="11"/>
  <c r="F6" i="11"/>
  <c r="F7" i="11"/>
  <c r="F8" i="11"/>
  <c r="F9" i="11"/>
  <c r="F10" i="11"/>
  <c r="S14" i="11"/>
  <c r="N42" i="11"/>
  <c r="F13" i="11"/>
  <c r="BJ4" i="11"/>
  <c r="F11" i="11"/>
  <c r="BJ15" i="11"/>
  <c r="BJ35" i="11" s="1"/>
  <c r="DL37" i="11"/>
  <c r="P40" i="11"/>
  <c r="AO10" i="11"/>
  <c r="F12" i="11"/>
  <c r="AO17" i="11"/>
  <c r="DL16" i="11" s="1"/>
  <c r="DL6" i="11"/>
  <c r="DL49" i="11"/>
  <c r="AO49" i="11"/>
  <c r="DL10" i="11"/>
  <c r="BF10" i="11"/>
  <c r="BJ11" i="11" s="1"/>
  <c r="T24" i="11"/>
  <c r="R24" i="11"/>
  <c r="S24" i="11" s="1"/>
  <c r="Q24" i="11"/>
  <c r="H91" i="13" s="1"/>
  <c r="S9" i="11"/>
  <c r="N40" i="11"/>
  <c r="AO16" i="11"/>
  <c r="DL15" i="11" s="1"/>
  <c r="DL5" i="11"/>
  <c r="AO14" i="11"/>
  <c r="DL13" i="11" s="1"/>
  <c r="DL3" i="11"/>
  <c r="T23" i="11"/>
  <c r="R23" i="11"/>
  <c r="S23" i="11" s="1"/>
  <c r="Q23" i="11"/>
  <c r="H90" i="13" s="1"/>
  <c r="R22" i="11"/>
  <c r="S22" i="11" s="1"/>
  <c r="T22" i="11"/>
  <c r="AO28" i="11"/>
  <c r="AO43" i="11"/>
  <c r="Q22" i="11"/>
  <c r="H89" i="13" s="1"/>
  <c r="AO26" i="11"/>
  <c r="B27" i="11"/>
  <c r="BF14" i="11"/>
  <c r="DL19" i="11"/>
  <c r="DL29" i="11"/>
  <c r="BF27" i="11"/>
  <c r="BJ21" i="11" s="1"/>
  <c r="BJ24" i="11" s="1"/>
  <c r="EB76" i="6"/>
  <c r="EB75" i="6"/>
  <c r="EB73" i="6"/>
  <c r="EB71" i="6"/>
  <c r="EB72" i="6"/>
  <c r="EB70" i="6"/>
  <c r="EB66" i="6"/>
  <c r="EB67" i="6"/>
  <c r="EB68" i="6"/>
  <c r="EB65" i="6"/>
  <c r="EB62" i="6"/>
  <c r="EB63" i="6"/>
  <c r="EB61" i="6"/>
  <c r="EB45" i="6"/>
  <c r="EB46" i="6"/>
  <c r="EB47" i="6"/>
  <c r="EB48" i="6"/>
  <c r="EB49" i="6"/>
  <c r="EB50" i="6"/>
  <c r="EB51" i="6"/>
  <c r="EB52" i="6"/>
  <c r="EB53" i="6"/>
  <c r="EB54" i="6"/>
  <c r="EB55" i="6"/>
  <c r="EB56" i="6"/>
  <c r="EB57" i="6"/>
  <c r="EB58" i="6"/>
  <c r="EB59" i="6"/>
  <c r="EB44" i="6"/>
  <c r="EB39" i="6"/>
  <c r="EB40" i="6"/>
  <c r="EB41" i="6"/>
  <c r="EB42" i="6"/>
  <c r="EB38" i="6"/>
  <c r="EB37" i="6"/>
  <c r="EB36" i="6"/>
  <c r="EB33" i="6"/>
  <c r="EB34" i="6"/>
  <c r="EB35" i="6"/>
  <c r="EB32" i="6"/>
  <c r="EB28" i="6"/>
  <c r="EB29" i="6"/>
  <c r="EB30" i="6"/>
  <c r="EB27" i="6"/>
  <c r="EB6" i="6"/>
  <c r="EB7" i="6"/>
  <c r="EB8" i="6"/>
  <c r="EB9" i="6"/>
  <c r="EB10" i="6"/>
  <c r="EB11" i="6"/>
  <c r="EB12" i="6"/>
  <c r="EB13" i="6"/>
  <c r="EB14" i="6"/>
  <c r="EB15" i="6"/>
  <c r="EB16" i="6"/>
  <c r="EB17" i="6"/>
  <c r="EB18" i="6"/>
  <c r="EB19" i="6"/>
  <c r="EB20" i="6"/>
  <c r="EB21" i="6"/>
  <c r="EB22" i="6"/>
  <c r="EB23" i="6"/>
  <c r="EB24" i="6"/>
  <c r="EB5" i="6"/>
  <c r="G137" i="13" l="1"/>
  <c r="B140" i="13"/>
  <c r="B121" i="13"/>
  <c r="B122" i="13" s="1"/>
  <c r="B152" i="13" s="1"/>
  <c r="W8" i="13" s="1"/>
  <c r="Z8" i="13" s="1"/>
  <c r="N35" i="11"/>
  <c r="B42" i="13"/>
  <c r="N35" i="12"/>
  <c r="B42" i="14"/>
  <c r="B121" i="14"/>
  <c r="DL30" i="12"/>
  <c r="BJ10" i="12"/>
  <c r="BJ34" i="12" s="1"/>
  <c r="BF28" i="12"/>
  <c r="BJ12" i="12"/>
  <c r="DL6" i="12"/>
  <c r="AO17" i="12"/>
  <c r="DL16" i="12" s="1"/>
  <c r="DL48" i="12"/>
  <c r="BF11" i="12"/>
  <c r="BJ17" i="12" s="1"/>
  <c r="DL41" i="12"/>
  <c r="AO54" i="12"/>
  <c r="AO46" i="12"/>
  <c r="N36" i="12"/>
  <c r="BJ4" i="12"/>
  <c r="BJ32" i="12" s="1"/>
  <c r="DL25" i="12"/>
  <c r="AO33" i="12"/>
  <c r="DL32" i="12" s="1"/>
  <c r="AO15" i="12"/>
  <c r="DL14" i="12" s="1"/>
  <c r="DL4" i="12"/>
  <c r="AO16" i="12"/>
  <c r="DL15" i="12" s="1"/>
  <c r="DL5" i="12"/>
  <c r="AO14" i="12"/>
  <c r="DL13" i="12" s="1"/>
  <c r="DL3" i="12"/>
  <c r="AO34" i="12"/>
  <c r="DL33" i="12" s="1"/>
  <c r="DL26" i="12"/>
  <c r="BJ18" i="12"/>
  <c r="BF17" i="12"/>
  <c r="BF18" i="12" s="1"/>
  <c r="Q31" i="12"/>
  <c r="DL42" i="12"/>
  <c r="AO47" i="12"/>
  <c r="AO55" i="12"/>
  <c r="DL27" i="12"/>
  <c r="AO35" i="12"/>
  <c r="DL34" i="12" s="1"/>
  <c r="BF26" i="11"/>
  <c r="BJ12" i="11" s="1"/>
  <c r="BJ32" i="11"/>
  <c r="AO33" i="11"/>
  <c r="DL32" i="11" s="1"/>
  <c r="DL25" i="11"/>
  <c r="DL48" i="11"/>
  <c r="BF11" i="11"/>
  <c r="BJ17" i="11" s="1"/>
  <c r="BJ18" i="11"/>
  <c r="N36" i="11"/>
  <c r="BF5" i="11"/>
  <c r="BJ9" i="11" s="1"/>
  <c r="DL9" i="11"/>
  <c r="DL42" i="11"/>
  <c r="AO55" i="11"/>
  <c r="AO47" i="11"/>
  <c r="AO56" i="11"/>
  <c r="AO35" i="11"/>
  <c r="DL34" i="11" s="1"/>
  <c r="DL27" i="11"/>
  <c r="BF15" i="11"/>
  <c r="DL11" i="11"/>
  <c r="Q31" i="11"/>
  <c r="DM7" i="6"/>
  <c r="DM12" i="6"/>
  <c r="DM17" i="6"/>
  <c r="DM24" i="6"/>
  <c r="DM28" i="6"/>
  <c r="DM35" i="6"/>
  <c r="DM40" i="6"/>
  <c r="DO7" i="6"/>
  <c r="DO12" i="6"/>
  <c r="DO17" i="6"/>
  <c r="DO24" i="6"/>
  <c r="DO28" i="6"/>
  <c r="DO35" i="6"/>
  <c r="DO40" i="6"/>
  <c r="DN4" i="6"/>
  <c r="DN5" i="6"/>
  <c r="DN6" i="6"/>
  <c r="DN7" i="6"/>
  <c r="DN8" i="6"/>
  <c r="DN9" i="6"/>
  <c r="DN10" i="6"/>
  <c r="DN11" i="6"/>
  <c r="DN12" i="6"/>
  <c r="DN13" i="6"/>
  <c r="DN14" i="6"/>
  <c r="DN15" i="6"/>
  <c r="DN16" i="6"/>
  <c r="DN17" i="6"/>
  <c r="DN18" i="6"/>
  <c r="DN19" i="6"/>
  <c r="DN20" i="6"/>
  <c r="DN21" i="6"/>
  <c r="DN24" i="6"/>
  <c r="DN25" i="6"/>
  <c r="DN26" i="6"/>
  <c r="DN27" i="6"/>
  <c r="DN28" i="6"/>
  <c r="DN29" i="6"/>
  <c r="DN30" i="6"/>
  <c r="DN31" i="6"/>
  <c r="DN32" i="6"/>
  <c r="DN33" i="6"/>
  <c r="DN34" i="6"/>
  <c r="DN35" i="6"/>
  <c r="DN36" i="6"/>
  <c r="DN37" i="6"/>
  <c r="DN38" i="6"/>
  <c r="DN40" i="6"/>
  <c r="DN41" i="6"/>
  <c r="DN42" i="6"/>
  <c r="DN43" i="6"/>
  <c r="DN44" i="6"/>
  <c r="DN45" i="6"/>
  <c r="DN46" i="6"/>
  <c r="DN47" i="6"/>
  <c r="DN48" i="6"/>
  <c r="DN49" i="6"/>
  <c r="DN3" i="6"/>
  <c r="B151" i="13" l="1"/>
  <c r="B43" i="13"/>
  <c r="B73" i="13" s="1"/>
  <c r="W7" i="13" s="1"/>
  <c r="B72" i="13"/>
  <c r="BJ10" i="11"/>
  <c r="BJ34" i="11" s="1"/>
  <c r="B151" i="14"/>
  <c r="B122" i="14"/>
  <c r="B152" i="14" s="1"/>
  <c r="W8" i="14" s="1"/>
  <c r="Z8" i="14" s="1"/>
  <c r="B43" i="14"/>
  <c r="B73" i="14" s="1"/>
  <c r="W7" i="14" s="1"/>
  <c r="B72" i="14"/>
  <c r="BJ23" i="12"/>
  <c r="BJ25" i="12" s="1"/>
  <c r="DL45" i="12"/>
  <c r="AO56" i="12"/>
  <c r="AO57" i="12"/>
  <c r="DL46" i="12"/>
  <c r="BF28" i="11"/>
  <c r="AO57" i="11"/>
  <c r="DL46" i="11"/>
  <c r="BF17" i="11"/>
  <c r="BF18" i="11" s="1"/>
  <c r="DH11" i="6"/>
  <c r="DJ11" i="6"/>
  <c r="DH12" i="6"/>
  <c r="DJ12" i="6"/>
  <c r="DH13" i="6"/>
  <c r="DJ13" i="6"/>
  <c r="DH14" i="6"/>
  <c r="DJ14" i="6"/>
  <c r="DH15" i="6"/>
  <c r="DJ15" i="6"/>
  <c r="DH17" i="6"/>
  <c r="DJ17" i="6"/>
  <c r="DH18" i="6"/>
  <c r="DJ18" i="6"/>
  <c r="DH19" i="6"/>
  <c r="DJ19" i="6"/>
  <c r="DH20" i="6"/>
  <c r="DJ20" i="6"/>
  <c r="DH21" i="6"/>
  <c r="DJ21" i="6"/>
  <c r="DH22" i="6"/>
  <c r="DJ22" i="6"/>
  <c r="DH23" i="6"/>
  <c r="DJ23" i="6"/>
  <c r="DH24" i="6"/>
  <c r="DJ24" i="6"/>
  <c r="DH25" i="6"/>
  <c r="DJ25" i="6"/>
  <c r="DH26" i="6"/>
  <c r="DJ26" i="6"/>
  <c r="DH31" i="6"/>
  <c r="DJ31" i="6"/>
  <c r="DH32" i="6"/>
  <c r="DJ32" i="6"/>
  <c r="DH33" i="6"/>
  <c r="DJ33" i="6"/>
  <c r="DH34" i="6"/>
  <c r="DJ34" i="6"/>
  <c r="DH35" i="6"/>
  <c r="DJ35" i="6"/>
  <c r="DH36" i="6"/>
  <c r="DJ36" i="6"/>
  <c r="DH37" i="6"/>
  <c r="DJ37" i="6"/>
  <c r="DH38" i="6"/>
  <c r="DJ38" i="6"/>
  <c r="DH39" i="6"/>
  <c r="DJ39" i="6"/>
  <c r="DH40" i="6"/>
  <c r="DJ40" i="6"/>
  <c r="DH41" i="6"/>
  <c r="DJ41" i="6"/>
  <c r="DH42" i="6"/>
  <c r="DJ42" i="6"/>
  <c r="DH43" i="6"/>
  <c r="DJ43" i="6"/>
  <c r="DH52" i="6"/>
  <c r="DJ52" i="6"/>
  <c r="DH53" i="6"/>
  <c r="DJ53" i="6"/>
  <c r="DH54" i="6"/>
  <c r="DJ54" i="6"/>
  <c r="DH55" i="6"/>
  <c r="DJ55" i="6"/>
  <c r="DH56" i="6"/>
  <c r="DJ56" i="6"/>
  <c r="DJ10" i="6"/>
  <c r="DH10" i="6"/>
  <c r="BZ50" i="6"/>
  <c r="DO49" i="6" s="1"/>
  <c r="BZ49" i="6"/>
  <c r="DO48" i="6" s="1"/>
  <c r="BZ48" i="6"/>
  <c r="DO47" i="6" s="1"/>
  <c r="BZ47" i="6"/>
  <c r="DO46" i="6" s="1"/>
  <c r="BZ46" i="6"/>
  <c r="DO45" i="6" s="1"/>
  <c r="BZ45" i="6"/>
  <c r="DO44" i="6" s="1"/>
  <c r="BZ44" i="6"/>
  <c r="DO43" i="6" s="1"/>
  <c r="BZ43" i="6"/>
  <c r="DO42" i="6" s="1"/>
  <c r="BZ42" i="6"/>
  <c r="DO41" i="6" s="1"/>
  <c r="AZ49" i="6"/>
  <c r="BZ40" i="6"/>
  <c r="DO39" i="6" s="1"/>
  <c r="BZ39" i="6"/>
  <c r="DO38" i="6" s="1"/>
  <c r="BZ38" i="6"/>
  <c r="DO37" i="6" s="1"/>
  <c r="BZ37" i="6"/>
  <c r="DO36" i="6" s="1"/>
  <c r="BZ35" i="6"/>
  <c r="DO34" i="6" s="1"/>
  <c r="BZ34" i="6"/>
  <c r="DO33" i="6" s="1"/>
  <c r="BZ33" i="6"/>
  <c r="DO32" i="6" s="1"/>
  <c r="BZ32" i="6"/>
  <c r="DO31" i="6" s="1"/>
  <c r="BZ31" i="6"/>
  <c r="DO30" i="6" s="1"/>
  <c r="BZ30" i="6"/>
  <c r="DO29" i="6" s="1"/>
  <c r="BZ27" i="6"/>
  <c r="DO26" i="6" s="1"/>
  <c r="BZ28" i="6"/>
  <c r="DO27" i="6" s="1"/>
  <c r="BZ26" i="6"/>
  <c r="DO25" i="6" s="1"/>
  <c r="BJ23" i="11" l="1"/>
  <c r="BJ25" i="11" s="1"/>
  <c r="Z7" i="13"/>
  <c r="W18" i="13"/>
  <c r="V31" i="13" s="1"/>
  <c r="W21" i="13"/>
  <c r="W21" i="14"/>
  <c r="Z7" i="14"/>
  <c r="W18" i="14"/>
  <c r="V31" i="14" s="1"/>
  <c r="AZ48" i="6"/>
  <c r="AZ46" i="6"/>
  <c r="AZ44" i="6"/>
  <c r="AZ42" i="6"/>
  <c r="BZ24" i="6"/>
  <c r="BZ23" i="6"/>
  <c r="BZ22" i="6"/>
  <c r="BZ21" i="6"/>
  <c r="BZ20" i="6"/>
  <c r="BZ19" i="6"/>
  <c r="BZ17" i="6"/>
  <c r="BZ16" i="6"/>
  <c r="BZ15" i="6"/>
  <c r="BZ14" i="6"/>
  <c r="BZ12" i="6"/>
  <c r="BZ11" i="6"/>
  <c r="BZ10" i="6"/>
  <c r="BZ9" i="6"/>
  <c r="BZ5" i="6"/>
  <c r="BZ6" i="6"/>
  <c r="BZ7" i="6"/>
  <c r="BZ4" i="6"/>
  <c r="AZ6" i="6" l="1"/>
  <c r="DO5" i="6"/>
  <c r="AZ11" i="6"/>
  <c r="DO10" i="6"/>
  <c r="AZ16" i="6"/>
  <c r="DO15" i="6"/>
  <c r="AZ21" i="6"/>
  <c r="DO20" i="6"/>
  <c r="AZ5" i="6"/>
  <c r="DO4" i="6"/>
  <c r="AZ12" i="6"/>
  <c r="DO11" i="6"/>
  <c r="AZ17" i="6"/>
  <c r="DO16" i="6"/>
  <c r="AZ22" i="6"/>
  <c r="DO21" i="6"/>
  <c r="AZ4" i="6"/>
  <c r="DO3" i="6"/>
  <c r="AZ9" i="6"/>
  <c r="DO8" i="6"/>
  <c r="AZ14" i="6"/>
  <c r="DO13" i="6"/>
  <c r="AZ19" i="6"/>
  <c r="DO18" i="6"/>
  <c r="AZ23" i="6"/>
  <c r="DO22" i="6"/>
  <c r="AZ7" i="6"/>
  <c r="DO6" i="6"/>
  <c r="AZ10" i="6"/>
  <c r="DO9" i="6"/>
  <c r="AZ15" i="6"/>
  <c r="DO14" i="6"/>
  <c r="AZ20" i="6"/>
  <c r="DO19" i="6"/>
  <c r="AZ24" i="6"/>
  <c r="DO23" i="6"/>
  <c r="BT26" i="6"/>
  <c r="AZ26" i="6" s="1"/>
  <c r="BT27" i="6"/>
  <c r="AZ27" i="6" s="1"/>
  <c r="BT28" i="6"/>
  <c r="AZ28" i="6" s="1"/>
  <c r="BT30" i="6"/>
  <c r="AZ30" i="6" s="1"/>
  <c r="BT31" i="6"/>
  <c r="AZ31" i="6" s="1"/>
  <c r="BT32" i="6"/>
  <c r="AZ32" i="6" s="1"/>
  <c r="BT33" i="6"/>
  <c r="AZ33" i="6" s="1"/>
  <c r="BT34" i="6"/>
  <c r="AZ34" i="6" s="1"/>
  <c r="BT35" i="6"/>
  <c r="AZ35" i="6" s="1"/>
  <c r="BT37" i="6"/>
  <c r="AZ37" i="6" s="1"/>
  <c r="BT38" i="6"/>
  <c r="AZ38" i="6" s="1"/>
  <c r="BT39" i="6"/>
  <c r="AZ39" i="6" s="1"/>
  <c r="BT42" i="6"/>
  <c r="BT43" i="6"/>
  <c r="BT44" i="6"/>
  <c r="BT45" i="6"/>
  <c r="AZ45" i="6" s="1"/>
  <c r="BT46" i="6"/>
  <c r="BT47" i="6"/>
  <c r="BT48" i="6"/>
  <c r="BT49" i="6"/>
  <c r="BT50" i="6"/>
  <c r="AZ50" i="6" s="1"/>
  <c r="BT22" i="6"/>
  <c r="BT14" i="6"/>
  <c r="BT15" i="6"/>
  <c r="BT16" i="6"/>
  <c r="BT17" i="6"/>
  <c r="BT9" i="6"/>
  <c r="BT10" i="6"/>
  <c r="BT11" i="6"/>
  <c r="BT12" i="6"/>
  <c r="BT8" i="6"/>
  <c r="BT5" i="6"/>
  <c r="BT6" i="6"/>
  <c r="BT7" i="6"/>
  <c r="BT4" i="6"/>
  <c r="BV40" i="6"/>
  <c r="DN39" i="6" s="1"/>
  <c r="BV24" i="6"/>
  <c r="DN23" i="6" s="1"/>
  <c r="BV23" i="6"/>
  <c r="DN22" i="6" s="1"/>
  <c r="BT56" i="6" l="1"/>
  <c r="BT57" i="6"/>
  <c r="AZ47" i="6"/>
  <c r="BT55" i="6"/>
  <c r="AZ43" i="6"/>
  <c r="BT54" i="6"/>
  <c r="AR40" i="6"/>
  <c r="BT40" i="6" s="1"/>
  <c r="AZ40" i="6" s="1"/>
  <c r="AR24" i="6"/>
  <c r="BT24" i="6" s="1"/>
  <c r="AR23" i="6"/>
  <c r="BT23" i="6" s="1"/>
  <c r="B10" i="10" l="1"/>
  <c r="B11" i="10" s="1"/>
  <c r="C32" i="10"/>
  <c r="C50" i="10" s="1"/>
  <c r="C19" i="10"/>
  <c r="C29" i="10" s="1"/>
  <c r="B32" i="10"/>
  <c r="B50" i="10" s="1"/>
  <c r="B19" i="10"/>
  <c r="B29" i="10" s="1"/>
  <c r="C10" i="10"/>
  <c r="B48" i="10"/>
  <c r="C47" i="10"/>
  <c r="B47" i="10"/>
  <c r="C46" i="10"/>
  <c r="B46" i="10"/>
  <c r="B35" i="10"/>
  <c r="B37" i="10" s="1"/>
  <c r="C28" i="10"/>
  <c r="C48" i="10" s="1"/>
  <c r="C35" i="10"/>
  <c r="C37" i="10" s="1"/>
  <c r="C16" i="10"/>
  <c r="C15" i="10"/>
  <c r="B15" i="10"/>
  <c r="C23" i="10" l="1"/>
  <c r="C30" i="10" s="1"/>
  <c r="C49" i="10"/>
  <c r="C11" i="10"/>
  <c r="B49" i="10"/>
  <c r="B23" i="10"/>
  <c r="B30" i="10" s="1"/>
  <c r="Q10" i="6"/>
  <c r="Q11" i="6"/>
  <c r="Q12" i="6"/>
  <c r="Q13" i="6"/>
  <c r="Q34" i="6" l="1"/>
  <c r="Q35" i="6" s="1"/>
  <c r="C22" i="7"/>
  <c r="D22" i="7"/>
  <c r="F22" i="7"/>
  <c r="Q21" i="6"/>
  <c r="Q22" i="6"/>
  <c r="Q23" i="6"/>
  <c r="Q24" i="6"/>
  <c r="AD50" i="6"/>
  <c r="B14" i="3"/>
  <c r="B10" i="3"/>
  <c r="B776" i="7" l="1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J748" i="7"/>
  <c r="I748" i="7"/>
  <c r="F748" i="7"/>
  <c r="E748" i="7"/>
  <c r="D748" i="7"/>
  <c r="H748" i="7" s="1"/>
  <c r="C748" i="7"/>
  <c r="G748" i="7" s="1"/>
  <c r="K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6" i="7" s="1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K744" i="7" s="1"/>
  <c r="J743" i="7"/>
  <c r="I743" i="7"/>
  <c r="F743" i="7"/>
  <c r="E743" i="7"/>
  <c r="D743" i="7"/>
  <c r="H743" i="7" s="1"/>
  <c r="C743" i="7"/>
  <c r="G743" i="7" s="1"/>
  <c r="J742" i="7"/>
  <c r="I742" i="7"/>
  <c r="F742" i="7"/>
  <c r="E742" i="7"/>
  <c r="D742" i="7"/>
  <c r="H742" i="7" s="1"/>
  <c r="C742" i="7"/>
  <c r="G742" i="7" s="1"/>
  <c r="K742" i="7" s="1"/>
  <c r="J741" i="7"/>
  <c r="I741" i="7"/>
  <c r="F741" i="7"/>
  <c r="E741" i="7"/>
  <c r="D741" i="7"/>
  <c r="H741" i="7" s="1"/>
  <c r="C741" i="7"/>
  <c r="G741" i="7" s="1"/>
  <c r="J740" i="7"/>
  <c r="I740" i="7"/>
  <c r="F740" i="7"/>
  <c r="E740" i="7"/>
  <c r="D740" i="7"/>
  <c r="H740" i="7" s="1"/>
  <c r="C740" i="7"/>
  <c r="G740" i="7" s="1"/>
  <c r="K740" i="7" s="1"/>
  <c r="J739" i="7"/>
  <c r="B752" i="7" s="1"/>
  <c r="I739" i="7"/>
  <c r="F739" i="7"/>
  <c r="E739" i="7"/>
  <c r="D739" i="7"/>
  <c r="H739" i="7" s="1"/>
  <c r="C739" i="7"/>
  <c r="G739" i="7" s="1"/>
  <c r="G731" i="7"/>
  <c r="F731" i="7"/>
  <c r="M731" i="7" s="1"/>
  <c r="N731" i="7" s="1"/>
  <c r="H731" i="7" s="1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697" i="7"/>
  <c r="B699" i="7" s="1"/>
  <c r="B698" i="7" s="1"/>
  <c r="B685" i="7"/>
  <c r="B682" i="7"/>
  <c r="B689" i="7" s="1"/>
  <c r="J661" i="7"/>
  <c r="I661" i="7"/>
  <c r="F661" i="7"/>
  <c r="E661" i="7"/>
  <c r="D661" i="7"/>
  <c r="H661" i="7" s="1"/>
  <c r="C661" i="7"/>
  <c r="G661" i="7" s="1"/>
  <c r="J660" i="7"/>
  <c r="I660" i="7"/>
  <c r="F660" i="7"/>
  <c r="E660" i="7"/>
  <c r="D660" i="7"/>
  <c r="H660" i="7" s="1"/>
  <c r="C660" i="7"/>
  <c r="G660" i="7" s="1"/>
  <c r="K660" i="7" s="1"/>
  <c r="M652" i="7"/>
  <c r="G652" i="7"/>
  <c r="F652" i="7"/>
  <c r="E652" i="7"/>
  <c r="D652" i="7"/>
  <c r="C652" i="7"/>
  <c r="I652" i="7" s="1"/>
  <c r="L652" i="7" s="1"/>
  <c r="N652" i="7" s="1"/>
  <c r="H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20" i="7"/>
  <c r="B619" i="7"/>
  <c r="B618" i="7"/>
  <c r="B606" i="7"/>
  <c r="B607" i="7" s="1"/>
  <c r="B603" i="7"/>
  <c r="B610" i="7" s="1"/>
  <c r="J583" i="7"/>
  <c r="I583" i="7"/>
  <c r="F583" i="7"/>
  <c r="E583" i="7"/>
  <c r="D583" i="7"/>
  <c r="H583" i="7" s="1"/>
  <c r="C583" i="7"/>
  <c r="G583" i="7" s="1"/>
  <c r="K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G573" i="7"/>
  <c r="F573" i="7"/>
  <c r="M573" i="7" s="1"/>
  <c r="E573" i="7"/>
  <c r="D573" i="7"/>
  <c r="C573" i="7"/>
  <c r="I573" i="7" s="1"/>
  <c r="L573" i="7" s="1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G557" i="7"/>
  <c r="F557" i="7"/>
  <c r="E557" i="7"/>
  <c r="D557" i="7"/>
  <c r="C557" i="7"/>
  <c r="B541" i="7"/>
  <c r="B540" i="7" s="1"/>
  <c r="B539" i="7"/>
  <c r="B533" i="7"/>
  <c r="B534" i="7" s="1"/>
  <c r="B531" i="7"/>
  <c r="G531" i="7" s="1"/>
  <c r="B527" i="7"/>
  <c r="B528" i="7" s="1"/>
  <c r="B524" i="7"/>
  <c r="J504" i="7"/>
  <c r="I504" i="7"/>
  <c r="F504" i="7"/>
  <c r="E504" i="7"/>
  <c r="D504" i="7"/>
  <c r="H504" i="7" s="1"/>
  <c r="C504" i="7"/>
  <c r="G504" i="7" s="1"/>
  <c r="K504" i="7" s="1"/>
  <c r="J503" i="7"/>
  <c r="I503" i="7"/>
  <c r="F503" i="7"/>
  <c r="E503" i="7"/>
  <c r="D503" i="7"/>
  <c r="H503" i="7" s="1"/>
  <c r="C503" i="7"/>
  <c r="G503" i="7" s="1"/>
  <c r="J502" i="7"/>
  <c r="I502" i="7"/>
  <c r="F502" i="7"/>
  <c r="E502" i="7"/>
  <c r="D502" i="7"/>
  <c r="H502" i="7" s="1"/>
  <c r="C502" i="7"/>
  <c r="G502" i="7" s="1"/>
  <c r="K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1" i="7"/>
  <c r="B463" i="7" s="1"/>
  <c r="B462" i="7" s="1"/>
  <c r="B453" i="7"/>
  <c r="G453" i="7" s="1"/>
  <c r="B450" i="7"/>
  <c r="B449" i="7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5" i="7"/>
  <c r="B384" i="7"/>
  <c r="B383" i="7"/>
  <c r="B371" i="7"/>
  <c r="B372" i="7" s="1"/>
  <c r="B368" i="7"/>
  <c r="B375" i="7" s="1"/>
  <c r="J350" i="7"/>
  <c r="I350" i="7"/>
  <c r="F350" i="7"/>
  <c r="E350" i="7"/>
  <c r="D350" i="7"/>
  <c r="H350" i="7" s="1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J346" i="7"/>
  <c r="I346" i="7"/>
  <c r="F346" i="7"/>
  <c r="E346" i="7"/>
  <c r="D346" i="7"/>
  <c r="H346" i="7" s="1"/>
  <c r="C346" i="7"/>
  <c r="G346" i="7" s="1"/>
  <c r="K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4" i="7"/>
  <c r="B306" i="7" s="1"/>
  <c r="B305" i="7" s="1"/>
  <c r="B296" i="7"/>
  <c r="G296" i="7" s="1"/>
  <c r="B292" i="7"/>
  <c r="B289" i="7"/>
  <c r="J270" i="7"/>
  <c r="I270" i="7"/>
  <c r="F270" i="7"/>
  <c r="E270" i="7"/>
  <c r="D270" i="7"/>
  <c r="H270" i="7" s="1"/>
  <c r="C270" i="7"/>
  <c r="G270" i="7" s="1"/>
  <c r="J269" i="7"/>
  <c r="I269" i="7"/>
  <c r="F269" i="7"/>
  <c r="E269" i="7"/>
  <c r="D269" i="7"/>
  <c r="H269" i="7" s="1"/>
  <c r="C269" i="7"/>
  <c r="G269" i="7" s="1"/>
  <c r="K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K188" i="7" s="1"/>
  <c r="I180" i="7"/>
  <c r="L180" i="7" s="1"/>
  <c r="G180" i="7"/>
  <c r="F180" i="7"/>
  <c r="M180" i="7" s="1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G89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F19" i="7" s="1"/>
  <c r="B18" i="7"/>
  <c r="F18" i="7" s="1"/>
  <c r="B17" i="7"/>
  <c r="C17" i="7" s="1"/>
  <c r="B16" i="7"/>
  <c r="C16" i="7" s="1"/>
  <c r="B15" i="7"/>
  <c r="C15" i="7" s="1"/>
  <c r="B14" i="7"/>
  <c r="D14" i="7" s="1"/>
  <c r="B13" i="7"/>
  <c r="C13" i="7" s="1"/>
  <c r="V12" i="7"/>
  <c r="B12" i="7"/>
  <c r="F12" i="7" s="1"/>
  <c r="V11" i="7"/>
  <c r="V10" i="7"/>
  <c r="V9" i="7"/>
  <c r="V8" i="7"/>
  <c r="V7" i="7"/>
  <c r="AG49" i="6"/>
  <c r="AE49" i="6"/>
  <c r="AE46" i="6"/>
  <c r="AD46" i="6"/>
  <c r="AE45" i="6"/>
  <c r="AD45" i="6"/>
  <c r="AE44" i="6"/>
  <c r="AD44" i="6"/>
  <c r="AE43" i="6"/>
  <c r="AD43" i="6"/>
  <c r="C42" i="6"/>
  <c r="AE42" i="6"/>
  <c r="AD42" i="6"/>
  <c r="G36" i="6"/>
  <c r="B36" i="6" s="1"/>
  <c r="AG35" i="6"/>
  <c r="AE35" i="6"/>
  <c r="AE32" i="6"/>
  <c r="AD32" i="6"/>
  <c r="AE31" i="6"/>
  <c r="AD31" i="6"/>
  <c r="AE30" i="6"/>
  <c r="AD30" i="6"/>
  <c r="AE29" i="6"/>
  <c r="AD29" i="6"/>
  <c r="B26" i="6"/>
  <c r="O26" i="6"/>
  <c r="AE25" i="6"/>
  <c r="AD25" i="6"/>
  <c r="O25" i="6"/>
  <c r="AE24" i="6"/>
  <c r="AD24" i="6"/>
  <c r="G91" i="7"/>
  <c r="AE23" i="6"/>
  <c r="AD23" i="6"/>
  <c r="G88" i="7"/>
  <c r="B19" i="6"/>
  <c r="AE19" i="6"/>
  <c r="AD19" i="6"/>
  <c r="AE18" i="6"/>
  <c r="AD18" i="6"/>
  <c r="AE17" i="6"/>
  <c r="AD17" i="6"/>
  <c r="Q16" i="6"/>
  <c r="G22" i="7" s="1"/>
  <c r="O16" i="6"/>
  <c r="E22" i="7" s="1"/>
  <c r="AE15" i="6"/>
  <c r="AD15" i="6"/>
  <c r="AE10" i="6"/>
  <c r="AD10" i="6"/>
  <c r="AE9" i="6"/>
  <c r="AD9" i="6"/>
  <c r="AE8" i="6"/>
  <c r="B7" i="6"/>
  <c r="AE7" i="6"/>
  <c r="AD7" i="6"/>
  <c r="B6" i="6"/>
  <c r="B23" i="6" s="1"/>
  <c r="B4" i="6"/>
  <c r="B778" i="5"/>
  <c r="B777" i="5" s="1"/>
  <c r="B776" i="5"/>
  <c r="B764" i="5"/>
  <c r="B761" i="5"/>
  <c r="B768" i="5" s="1"/>
  <c r="J750" i="5"/>
  <c r="I750" i="5"/>
  <c r="F750" i="5"/>
  <c r="E750" i="5"/>
  <c r="D750" i="5"/>
  <c r="H750" i="5" s="1"/>
  <c r="C750" i="5"/>
  <c r="G750" i="5" s="1"/>
  <c r="K750" i="5" s="1"/>
  <c r="J749" i="5"/>
  <c r="I749" i="5"/>
  <c r="F749" i="5"/>
  <c r="E749" i="5"/>
  <c r="D749" i="5"/>
  <c r="H749" i="5" s="1"/>
  <c r="C749" i="5"/>
  <c r="G749" i="5" s="1"/>
  <c r="J748" i="5"/>
  <c r="I748" i="5"/>
  <c r="F748" i="5"/>
  <c r="E748" i="5"/>
  <c r="D748" i="5"/>
  <c r="H748" i="5" s="1"/>
  <c r="C748" i="5"/>
  <c r="G748" i="5" s="1"/>
  <c r="K748" i="5" s="1"/>
  <c r="J747" i="5"/>
  <c r="I747" i="5"/>
  <c r="F747" i="5"/>
  <c r="E747" i="5"/>
  <c r="D747" i="5"/>
  <c r="H747" i="5" s="1"/>
  <c r="C747" i="5"/>
  <c r="G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J744" i="5"/>
  <c r="I744" i="5"/>
  <c r="F744" i="5"/>
  <c r="E744" i="5"/>
  <c r="D744" i="5"/>
  <c r="H744" i="5" s="1"/>
  <c r="C744" i="5"/>
  <c r="G744" i="5" s="1"/>
  <c r="K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K742" i="5" s="1"/>
  <c r="J741" i="5"/>
  <c r="I741" i="5"/>
  <c r="H741" i="5"/>
  <c r="F741" i="5"/>
  <c r="E741" i="5"/>
  <c r="D741" i="5"/>
  <c r="C741" i="5"/>
  <c r="G741" i="5" s="1"/>
  <c r="K741" i="5" s="1"/>
  <c r="J740" i="5"/>
  <c r="I740" i="5"/>
  <c r="F740" i="5"/>
  <c r="E740" i="5"/>
  <c r="D740" i="5"/>
  <c r="H740" i="5" s="1"/>
  <c r="C740" i="5"/>
  <c r="G740" i="5" s="1"/>
  <c r="J739" i="5"/>
  <c r="B752" i="5" s="1"/>
  <c r="I739" i="5"/>
  <c r="F739" i="5"/>
  <c r="E739" i="5"/>
  <c r="D739" i="5"/>
  <c r="H739" i="5" s="1"/>
  <c r="C739" i="5"/>
  <c r="G739" i="5" s="1"/>
  <c r="K739" i="5" s="1"/>
  <c r="M731" i="5"/>
  <c r="G731" i="5"/>
  <c r="F731" i="5"/>
  <c r="E731" i="5"/>
  <c r="D731" i="5"/>
  <c r="C731" i="5"/>
  <c r="I731" i="5" s="1"/>
  <c r="L731" i="5" s="1"/>
  <c r="N731" i="5" s="1"/>
  <c r="H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89" i="5"/>
  <c r="B685" i="5"/>
  <c r="B682" i="5"/>
  <c r="B673" i="5"/>
  <c r="J661" i="5"/>
  <c r="I661" i="5"/>
  <c r="H661" i="5"/>
  <c r="F661" i="5"/>
  <c r="E661" i="5"/>
  <c r="D661" i="5"/>
  <c r="C661" i="5"/>
  <c r="G661" i="5" s="1"/>
  <c r="K661" i="5" s="1"/>
  <c r="J660" i="5"/>
  <c r="I660" i="5"/>
  <c r="F660" i="5"/>
  <c r="E660" i="5"/>
  <c r="D660" i="5"/>
  <c r="H660" i="5" s="1"/>
  <c r="C660" i="5"/>
  <c r="G660" i="5" s="1"/>
  <c r="M652" i="5"/>
  <c r="G652" i="5"/>
  <c r="F652" i="5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G636" i="5"/>
  <c r="F636" i="5"/>
  <c r="E636" i="5"/>
  <c r="D636" i="5"/>
  <c r="C636" i="5"/>
  <c r="B620" i="5"/>
  <c r="B619" i="5"/>
  <c r="B618" i="5"/>
  <c r="G610" i="5"/>
  <c r="B606" i="5"/>
  <c r="B607" i="5" s="1"/>
  <c r="B603" i="5"/>
  <c r="B610" i="5" s="1"/>
  <c r="B612" i="5" s="1"/>
  <c r="B613" i="5" s="1"/>
  <c r="J583" i="5"/>
  <c r="I583" i="5"/>
  <c r="F583" i="5"/>
  <c r="E583" i="5"/>
  <c r="D583" i="5"/>
  <c r="H583" i="5" s="1"/>
  <c r="C583" i="5"/>
  <c r="G583" i="5" s="1"/>
  <c r="K583" i="5" s="1"/>
  <c r="K582" i="5"/>
  <c r="J582" i="5"/>
  <c r="I582" i="5"/>
  <c r="F582" i="5"/>
  <c r="E582" i="5"/>
  <c r="D582" i="5"/>
  <c r="H582" i="5" s="1"/>
  <c r="C582" i="5"/>
  <c r="G582" i="5" s="1"/>
  <c r="J581" i="5"/>
  <c r="I581" i="5"/>
  <c r="F581" i="5"/>
  <c r="E581" i="5"/>
  <c r="D581" i="5"/>
  <c r="H581" i="5" s="1"/>
  <c r="C581" i="5"/>
  <c r="G581" i="5" s="1"/>
  <c r="G573" i="5"/>
  <c r="F573" i="5"/>
  <c r="M573" i="5" s="1"/>
  <c r="E573" i="5"/>
  <c r="D573" i="5"/>
  <c r="C573" i="5"/>
  <c r="I573" i="5" s="1"/>
  <c r="L573" i="5" s="1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G557" i="5"/>
  <c r="F557" i="5"/>
  <c r="E557" i="5"/>
  <c r="D557" i="5"/>
  <c r="C557" i="5"/>
  <c r="B541" i="5"/>
  <c r="B540" i="5" s="1"/>
  <c r="B539" i="5"/>
  <c r="B527" i="5"/>
  <c r="B528" i="5" s="1"/>
  <c r="B524" i="5"/>
  <c r="B531" i="5" s="1"/>
  <c r="G531" i="5" s="1"/>
  <c r="K504" i="5"/>
  <c r="J504" i="5"/>
  <c r="I504" i="5"/>
  <c r="F504" i="5"/>
  <c r="E504" i="5"/>
  <c r="D504" i="5"/>
  <c r="H504" i="5" s="1"/>
  <c r="C504" i="5"/>
  <c r="G504" i="5" s="1"/>
  <c r="J503" i="5"/>
  <c r="I503" i="5"/>
  <c r="F503" i="5"/>
  <c r="E503" i="5"/>
  <c r="D503" i="5"/>
  <c r="H503" i="5" s="1"/>
  <c r="C503" i="5"/>
  <c r="G503" i="5" s="1"/>
  <c r="J502" i="5"/>
  <c r="I502" i="5"/>
  <c r="F502" i="5"/>
  <c r="E502" i="5"/>
  <c r="D502" i="5"/>
  <c r="H502" i="5" s="1"/>
  <c r="C502" i="5"/>
  <c r="G502" i="5" s="1"/>
  <c r="K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1" i="5"/>
  <c r="B463" i="5" s="1"/>
  <c r="B462" i="5" s="1"/>
  <c r="B453" i="5"/>
  <c r="G453" i="5" s="1"/>
  <c r="B450" i="5"/>
  <c r="B449" i="5"/>
  <c r="B446" i="5"/>
  <c r="J428" i="5"/>
  <c r="I428" i="5"/>
  <c r="H428" i="5"/>
  <c r="F428" i="5"/>
  <c r="E428" i="5"/>
  <c r="D428" i="5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K426" i="5" s="1"/>
  <c r="J425" i="5"/>
  <c r="I425" i="5"/>
  <c r="F425" i="5"/>
  <c r="E425" i="5"/>
  <c r="D425" i="5"/>
  <c r="H425" i="5" s="1"/>
  <c r="C425" i="5"/>
  <c r="G425" i="5" s="1"/>
  <c r="K425" i="5" s="1"/>
  <c r="J424" i="5"/>
  <c r="I424" i="5"/>
  <c r="F424" i="5"/>
  <c r="E424" i="5"/>
  <c r="D424" i="5"/>
  <c r="H424" i="5" s="1"/>
  <c r="C424" i="5"/>
  <c r="G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5" i="5"/>
  <c r="B371" i="5"/>
  <c r="B372" i="5" s="1"/>
  <c r="B368" i="5"/>
  <c r="J350" i="5"/>
  <c r="I350" i="5"/>
  <c r="F350" i="5"/>
  <c r="E350" i="5"/>
  <c r="D350" i="5"/>
  <c r="H350" i="5" s="1"/>
  <c r="C350" i="5"/>
  <c r="G350" i="5" s="1"/>
  <c r="K350" i="5" s="1"/>
  <c r="J349" i="5"/>
  <c r="I349" i="5"/>
  <c r="F349" i="5"/>
  <c r="E349" i="5"/>
  <c r="D349" i="5"/>
  <c r="H349" i="5" s="1"/>
  <c r="C349" i="5"/>
  <c r="G349" i="5" s="1"/>
  <c r="J348" i="5"/>
  <c r="I348" i="5"/>
  <c r="F348" i="5"/>
  <c r="E348" i="5"/>
  <c r="D348" i="5"/>
  <c r="H348" i="5" s="1"/>
  <c r="C348" i="5"/>
  <c r="G348" i="5" s="1"/>
  <c r="K348" i="5" s="1"/>
  <c r="J347" i="5"/>
  <c r="I347" i="5"/>
  <c r="F347" i="5"/>
  <c r="E347" i="5"/>
  <c r="D347" i="5"/>
  <c r="H347" i="5" s="1"/>
  <c r="C347" i="5"/>
  <c r="G347" i="5" s="1"/>
  <c r="J346" i="5"/>
  <c r="I346" i="5"/>
  <c r="F346" i="5"/>
  <c r="E346" i="5"/>
  <c r="D346" i="5"/>
  <c r="H346" i="5" s="1"/>
  <c r="C346" i="5"/>
  <c r="G346" i="5" s="1"/>
  <c r="K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G296" i="5" s="1"/>
  <c r="B292" i="5"/>
  <c r="B289" i="5"/>
  <c r="J270" i="5"/>
  <c r="I270" i="5"/>
  <c r="F270" i="5"/>
  <c r="E270" i="5"/>
  <c r="D270" i="5"/>
  <c r="H270" i="5" s="1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H190" i="5"/>
  <c r="F190" i="5"/>
  <c r="E190" i="5"/>
  <c r="D190" i="5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M180" i="5"/>
  <c r="N180" i="5" s="1"/>
  <c r="H180" i="5" s="1"/>
  <c r="G180" i="5"/>
  <c r="F180" i="5"/>
  <c r="E180" i="5"/>
  <c r="D180" i="5"/>
  <c r="C180" i="5"/>
  <c r="I180" i="5" s="1"/>
  <c r="L180" i="5" s="1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B139" i="5" s="1"/>
  <c r="B140" i="5" s="1"/>
  <c r="J112" i="5"/>
  <c r="I112" i="5"/>
  <c r="F112" i="5"/>
  <c r="E112" i="5"/>
  <c r="D112" i="5"/>
  <c r="H112" i="5" s="1"/>
  <c r="C112" i="5"/>
  <c r="G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H109" i="5"/>
  <c r="F109" i="5"/>
  <c r="E109" i="5"/>
  <c r="D109" i="5"/>
  <c r="C109" i="5"/>
  <c r="G109" i="5" s="1"/>
  <c r="K109" i="5" s="1"/>
  <c r="J108" i="5"/>
  <c r="I108" i="5"/>
  <c r="F108" i="5"/>
  <c r="E108" i="5"/>
  <c r="D108" i="5"/>
  <c r="H108" i="5" s="1"/>
  <c r="C108" i="5"/>
  <c r="G108" i="5" s="1"/>
  <c r="M100" i="5"/>
  <c r="G100" i="5"/>
  <c r="F100" i="5"/>
  <c r="E100" i="5"/>
  <c r="D100" i="5"/>
  <c r="C100" i="5"/>
  <c r="I100" i="5" s="1"/>
  <c r="L100" i="5" s="1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8" i="5" s="1"/>
  <c r="B51" i="5"/>
  <c r="D28" i="5"/>
  <c r="C28" i="5"/>
  <c r="B21" i="5"/>
  <c r="D19" i="5"/>
  <c r="C19" i="5"/>
  <c r="B19" i="5"/>
  <c r="F19" i="5" s="1"/>
  <c r="D18" i="5"/>
  <c r="C18" i="5"/>
  <c r="B18" i="5"/>
  <c r="F18" i="5" s="1"/>
  <c r="D17" i="5"/>
  <c r="C17" i="5"/>
  <c r="B17" i="5"/>
  <c r="E17" i="5" s="1"/>
  <c r="D16" i="5"/>
  <c r="C16" i="5"/>
  <c r="B16" i="5"/>
  <c r="D15" i="5"/>
  <c r="C15" i="5"/>
  <c r="B15" i="5"/>
  <c r="D14" i="5"/>
  <c r="C14" i="5"/>
  <c r="B14" i="5"/>
  <c r="D13" i="5"/>
  <c r="C13" i="5"/>
  <c r="B13" i="5"/>
  <c r="V12" i="5"/>
  <c r="D12" i="5"/>
  <c r="C12" i="5"/>
  <c r="B12" i="5"/>
  <c r="F12" i="5" s="1"/>
  <c r="V11" i="5"/>
  <c r="V10" i="5"/>
  <c r="V9" i="5"/>
  <c r="V8" i="5"/>
  <c r="V7" i="5"/>
  <c r="B778" i="4"/>
  <c r="B777" i="4"/>
  <c r="B776" i="4"/>
  <c r="G768" i="4"/>
  <c r="B764" i="4"/>
  <c r="B761" i="4"/>
  <c r="B768" i="4" s="1"/>
  <c r="B770" i="4" s="1"/>
  <c r="B771" i="4" s="1"/>
  <c r="J750" i="4"/>
  <c r="I750" i="4"/>
  <c r="F750" i="4"/>
  <c r="E750" i="4"/>
  <c r="D750" i="4"/>
  <c r="H750" i="4" s="1"/>
  <c r="C750" i="4"/>
  <c r="G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F745" i="4"/>
  <c r="E745" i="4"/>
  <c r="D745" i="4"/>
  <c r="H745" i="4" s="1"/>
  <c r="C745" i="4"/>
  <c r="G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J742" i="4"/>
  <c r="I742" i="4"/>
  <c r="F742" i="4"/>
  <c r="E742" i="4"/>
  <c r="D742" i="4"/>
  <c r="H742" i="4" s="1"/>
  <c r="C742" i="4"/>
  <c r="G742" i="4" s="1"/>
  <c r="J741" i="4"/>
  <c r="I741" i="4"/>
  <c r="F741" i="4"/>
  <c r="E741" i="4"/>
  <c r="D741" i="4"/>
  <c r="H741" i="4" s="1"/>
  <c r="C741" i="4"/>
  <c r="G741" i="4" s="1"/>
  <c r="J740" i="4"/>
  <c r="I740" i="4"/>
  <c r="F740" i="4"/>
  <c r="E740" i="4"/>
  <c r="D740" i="4"/>
  <c r="H740" i="4" s="1"/>
  <c r="C740" i="4"/>
  <c r="G740" i="4" s="1"/>
  <c r="K740" i="4" s="1"/>
  <c r="J739" i="4"/>
  <c r="I739" i="4"/>
  <c r="H739" i="4"/>
  <c r="F739" i="4"/>
  <c r="E739" i="4"/>
  <c r="D739" i="4"/>
  <c r="C739" i="4"/>
  <c r="G739" i="4" s="1"/>
  <c r="K739" i="4" s="1"/>
  <c r="B752" i="4" s="1"/>
  <c r="B782" i="4" s="1"/>
  <c r="L731" i="4"/>
  <c r="G731" i="4"/>
  <c r="F731" i="4"/>
  <c r="M731" i="4" s="1"/>
  <c r="E731" i="4"/>
  <c r="D731" i="4"/>
  <c r="C731" i="4"/>
  <c r="I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9" i="4"/>
  <c r="B698" i="4" s="1"/>
  <c r="B697" i="4"/>
  <c r="B685" i="4"/>
  <c r="B682" i="4"/>
  <c r="B689" i="4" s="1"/>
  <c r="G689" i="4" s="1"/>
  <c r="J661" i="4"/>
  <c r="I661" i="4"/>
  <c r="F661" i="4"/>
  <c r="E661" i="4"/>
  <c r="D661" i="4"/>
  <c r="H661" i="4" s="1"/>
  <c r="C661" i="4"/>
  <c r="G661" i="4" s="1"/>
  <c r="K661" i="4" s="1"/>
  <c r="J660" i="4"/>
  <c r="I660" i="4"/>
  <c r="F660" i="4"/>
  <c r="E660" i="4"/>
  <c r="D660" i="4"/>
  <c r="H660" i="4" s="1"/>
  <c r="C660" i="4"/>
  <c r="G660" i="4" s="1"/>
  <c r="K660" i="4" s="1"/>
  <c r="I652" i="4"/>
  <c r="L652" i="4" s="1"/>
  <c r="G652" i="4"/>
  <c r="F652" i="4"/>
  <c r="M652" i="4" s="1"/>
  <c r="E652" i="4"/>
  <c r="D652" i="4"/>
  <c r="C652" i="4"/>
  <c r="H637" i="4"/>
  <c r="G637" i="4"/>
  <c r="F637" i="4"/>
  <c r="E637" i="4"/>
  <c r="D637" i="4"/>
  <c r="C637" i="4"/>
  <c r="H636" i="4"/>
  <c r="B673" i="4" s="1"/>
  <c r="G636" i="4"/>
  <c r="F636" i="4"/>
  <c r="E636" i="4"/>
  <c r="D636" i="4"/>
  <c r="C636" i="4"/>
  <c r="B618" i="4"/>
  <c r="B620" i="4" s="1"/>
  <c r="B619" i="4" s="1"/>
  <c r="B610" i="4"/>
  <c r="G610" i="4" s="1"/>
  <c r="B607" i="4"/>
  <c r="B606" i="4"/>
  <c r="B603" i="4"/>
  <c r="J583" i="4"/>
  <c r="I583" i="4"/>
  <c r="H583" i="4"/>
  <c r="F583" i="4"/>
  <c r="E583" i="4"/>
  <c r="D583" i="4"/>
  <c r="C583" i="4"/>
  <c r="G583" i="4" s="1"/>
  <c r="K583" i="4" s="1"/>
  <c r="J582" i="4"/>
  <c r="I582" i="4"/>
  <c r="F582" i="4"/>
  <c r="E582" i="4"/>
  <c r="D582" i="4"/>
  <c r="H582" i="4" s="1"/>
  <c r="C582" i="4"/>
  <c r="G582" i="4" s="1"/>
  <c r="J581" i="4"/>
  <c r="B594" i="4" s="1"/>
  <c r="I581" i="4"/>
  <c r="F581" i="4"/>
  <c r="E581" i="4"/>
  <c r="D581" i="4"/>
  <c r="H581" i="4" s="1"/>
  <c r="C581" i="4"/>
  <c r="G581" i="4" s="1"/>
  <c r="K581" i="4" s="1"/>
  <c r="M573" i="4"/>
  <c r="I573" i="4"/>
  <c r="L573" i="4" s="1"/>
  <c r="N573" i="4" s="1"/>
  <c r="H573" i="4" s="1"/>
  <c r="G573" i="4"/>
  <c r="F573" i="4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G557" i="4"/>
  <c r="F557" i="4"/>
  <c r="E557" i="4"/>
  <c r="D557" i="4"/>
  <c r="C557" i="4"/>
  <c r="B539" i="4"/>
  <c r="B541" i="4" s="1"/>
  <c r="B540" i="4" s="1"/>
  <c r="B531" i="4"/>
  <c r="B528" i="4"/>
  <c r="B527" i="4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E479" i="4"/>
  <c r="D479" i="4"/>
  <c r="C479" i="4"/>
  <c r="F478" i="4"/>
  <c r="D478" i="4"/>
  <c r="C478" i="4"/>
  <c r="B463" i="4"/>
  <c r="B462" i="4"/>
  <c r="B461" i="4"/>
  <c r="B449" i="4"/>
  <c r="B450" i="4" s="1"/>
  <c r="B446" i="4"/>
  <c r="B453" i="4" s="1"/>
  <c r="B455" i="4" s="1"/>
  <c r="B456" i="4" s="1"/>
  <c r="J428" i="4"/>
  <c r="I428" i="4"/>
  <c r="F428" i="4"/>
  <c r="E428" i="4"/>
  <c r="D428" i="4"/>
  <c r="H428" i="4" s="1"/>
  <c r="C428" i="4"/>
  <c r="G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5" i="4"/>
  <c r="B384" i="4" s="1"/>
  <c r="B383" i="4"/>
  <c r="B377" i="4"/>
  <c r="B378" i="4" s="1"/>
  <c r="B371" i="4"/>
  <c r="B372" i="4" s="1"/>
  <c r="B368" i="4"/>
  <c r="B375" i="4" s="1"/>
  <c r="G375" i="4" s="1"/>
  <c r="J350" i="4"/>
  <c r="I350" i="4"/>
  <c r="F350" i="4"/>
  <c r="E350" i="4"/>
  <c r="D350" i="4"/>
  <c r="H350" i="4" s="1"/>
  <c r="C350" i="4"/>
  <c r="G350" i="4" s="1"/>
  <c r="K350" i="4" s="1"/>
  <c r="J349" i="4"/>
  <c r="I349" i="4"/>
  <c r="H349" i="4"/>
  <c r="F349" i="4"/>
  <c r="E349" i="4"/>
  <c r="D349" i="4"/>
  <c r="C349" i="4"/>
  <c r="G349" i="4" s="1"/>
  <c r="K349" i="4" s="1"/>
  <c r="J348" i="4"/>
  <c r="I348" i="4"/>
  <c r="F348" i="4"/>
  <c r="E348" i="4"/>
  <c r="D348" i="4"/>
  <c r="H348" i="4" s="1"/>
  <c r="C348" i="4"/>
  <c r="G348" i="4" s="1"/>
  <c r="J347" i="4"/>
  <c r="I347" i="4"/>
  <c r="F347" i="4"/>
  <c r="E347" i="4"/>
  <c r="D347" i="4"/>
  <c r="H347" i="4" s="1"/>
  <c r="C347" i="4"/>
  <c r="G347" i="4" s="1"/>
  <c r="K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6" i="4"/>
  <c r="B305" i="4"/>
  <c r="B304" i="4"/>
  <c r="B292" i="4"/>
  <c r="B289" i="4"/>
  <c r="B296" i="4" s="1"/>
  <c r="B298" i="4" s="1"/>
  <c r="B299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K268" i="4" s="1"/>
  <c r="J267" i="4"/>
  <c r="I267" i="4"/>
  <c r="H267" i="4"/>
  <c r="F267" i="4"/>
  <c r="E267" i="4"/>
  <c r="D267" i="4"/>
  <c r="C267" i="4"/>
  <c r="G267" i="4" s="1"/>
  <c r="K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7" i="4"/>
  <c r="B226" i="4" s="1"/>
  <c r="B225" i="4"/>
  <c r="B213" i="4"/>
  <c r="B210" i="4"/>
  <c r="B217" i="4" s="1"/>
  <c r="J190" i="4"/>
  <c r="I190" i="4"/>
  <c r="F190" i="4"/>
  <c r="E190" i="4"/>
  <c r="D190" i="4"/>
  <c r="H190" i="4" s="1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G180" i="4"/>
  <c r="F180" i="4"/>
  <c r="M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7" i="4"/>
  <c r="B133" i="4"/>
  <c r="B130" i="4"/>
  <c r="J112" i="4"/>
  <c r="I112" i="4"/>
  <c r="F112" i="4"/>
  <c r="E112" i="4"/>
  <c r="D112" i="4"/>
  <c r="H112" i="4" s="1"/>
  <c r="C112" i="4"/>
  <c r="G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E28" i="4"/>
  <c r="D28" i="4"/>
  <c r="C28" i="4"/>
  <c r="F21" i="4"/>
  <c r="C21" i="4"/>
  <c r="B21" i="4"/>
  <c r="E19" i="4"/>
  <c r="B19" i="4"/>
  <c r="E18" i="4"/>
  <c r="B18" i="4"/>
  <c r="E17" i="4"/>
  <c r="D17" i="4"/>
  <c r="C17" i="4"/>
  <c r="B17" i="4"/>
  <c r="F17" i="4" s="1"/>
  <c r="E16" i="4"/>
  <c r="D16" i="4"/>
  <c r="C16" i="4"/>
  <c r="B16" i="4"/>
  <c r="F16" i="4" s="1"/>
  <c r="D15" i="4"/>
  <c r="C15" i="4"/>
  <c r="B15" i="4"/>
  <c r="F15" i="4" s="1"/>
  <c r="E14" i="4"/>
  <c r="D14" i="4"/>
  <c r="C14" i="4"/>
  <c r="B14" i="4"/>
  <c r="F14" i="4" s="1"/>
  <c r="D13" i="4"/>
  <c r="C13" i="4"/>
  <c r="B13" i="4"/>
  <c r="F13" i="4" s="1"/>
  <c r="V12" i="4"/>
  <c r="D12" i="4"/>
  <c r="B12" i="4"/>
  <c r="V11" i="4"/>
  <c r="V10" i="4"/>
  <c r="V9" i="4"/>
  <c r="V8" i="4"/>
  <c r="V7" i="4"/>
  <c r="B26" i="3"/>
  <c r="B25" i="3"/>
  <c r="B24" i="3"/>
  <c r="B23" i="3"/>
  <c r="B22" i="3"/>
  <c r="B21" i="3"/>
  <c r="B20" i="3"/>
  <c r="AF49" i="2"/>
  <c r="AD49" i="2"/>
  <c r="AD46" i="2"/>
  <c r="AC46" i="2"/>
  <c r="AD45" i="2"/>
  <c r="AC45" i="2"/>
  <c r="AD44" i="2"/>
  <c r="AC44" i="2"/>
  <c r="AD43" i="2"/>
  <c r="AC43" i="2"/>
  <c r="AD42" i="2"/>
  <c r="AC42" i="2"/>
  <c r="AF40" i="2"/>
  <c r="Z40" i="2"/>
  <c r="B36" i="2"/>
  <c r="AF35" i="2"/>
  <c r="T21" i="2" s="1"/>
  <c r="AD35" i="2"/>
  <c r="AD32" i="2"/>
  <c r="AC32" i="2"/>
  <c r="AD31" i="2"/>
  <c r="AC31" i="2"/>
  <c r="AD30" i="2"/>
  <c r="AD27" i="2" s="1"/>
  <c r="R26" i="2" s="1"/>
  <c r="S26" i="2" s="1"/>
  <c r="AC30" i="2"/>
  <c r="AD29" i="2"/>
  <c r="AF27" i="2" s="1"/>
  <c r="T26" i="2" s="1"/>
  <c r="AC29" i="2"/>
  <c r="N28" i="2"/>
  <c r="Z27" i="2"/>
  <c r="P26" i="2" s="1"/>
  <c r="N27" i="2"/>
  <c r="N26" i="2"/>
  <c r="E401" i="4" s="1"/>
  <c r="AD25" i="2"/>
  <c r="AC25" i="2"/>
  <c r="Z21" i="2" s="1"/>
  <c r="N25" i="2"/>
  <c r="AD24" i="2"/>
  <c r="AF21" i="2" s="1"/>
  <c r="T28" i="2" s="1"/>
  <c r="AC24" i="2"/>
  <c r="R24" i="2"/>
  <c r="S24" i="2" s="1"/>
  <c r="Q24" i="2"/>
  <c r="P24" i="2"/>
  <c r="N24" i="2"/>
  <c r="B24" i="2"/>
  <c r="B33" i="3" s="1"/>
  <c r="AD23" i="2"/>
  <c r="AC23" i="2"/>
  <c r="T23" i="2"/>
  <c r="S23" i="2"/>
  <c r="R23" i="2"/>
  <c r="P23" i="2"/>
  <c r="G324" i="4" s="1"/>
  <c r="T22" i="2"/>
  <c r="R22" i="2"/>
  <c r="S22" i="2" s="1"/>
  <c r="Q22" i="2"/>
  <c r="P22" i="2"/>
  <c r="AD21" i="2"/>
  <c r="R28" i="2" s="1"/>
  <c r="S28" i="2" s="1"/>
  <c r="R21" i="2"/>
  <c r="S21" i="2" s="1"/>
  <c r="Q21" i="2"/>
  <c r="P21" i="2"/>
  <c r="N20" i="2"/>
  <c r="AD19" i="2"/>
  <c r="AC19" i="2"/>
  <c r="B19" i="2"/>
  <c r="AD18" i="2"/>
  <c r="AD14" i="2" s="1"/>
  <c r="AC18" i="2"/>
  <c r="Z14" i="2" s="1"/>
  <c r="N18" i="2"/>
  <c r="B18" i="2"/>
  <c r="G37" i="2" s="1"/>
  <c r="B37" i="2" s="1"/>
  <c r="AD17" i="2"/>
  <c r="AC17" i="2"/>
  <c r="R16" i="2"/>
  <c r="S16" i="2" s="1"/>
  <c r="Q16" i="2"/>
  <c r="P16" i="2"/>
  <c r="N16" i="2"/>
  <c r="T14" i="2"/>
  <c r="P14" i="2"/>
  <c r="N14" i="2"/>
  <c r="E86" i="4" s="1"/>
  <c r="T13" i="2"/>
  <c r="S13" i="2"/>
  <c r="R13" i="2"/>
  <c r="P13" i="2"/>
  <c r="G85" i="4" s="1"/>
  <c r="H13" i="2"/>
  <c r="T12" i="2"/>
  <c r="S12" i="2"/>
  <c r="R12" i="2"/>
  <c r="P12" i="2"/>
  <c r="H12" i="2"/>
  <c r="AD11" i="2"/>
  <c r="AC11" i="2"/>
  <c r="T11" i="2"/>
  <c r="S11" i="2"/>
  <c r="R11" i="2"/>
  <c r="P11" i="2"/>
  <c r="G17" i="4" s="1"/>
  <c r="H11" i="2"/>
  <c r="AD10" i="2"/>
  <c r="AC10" i="2"/>
  <c r="T10" i="2"/>
  <c r="R10" i="2"/>
  <c r="S10" i="2" s="1"/>
  <c r="Q10" i="2"/>
  <c r="H16" i="4" s="1"/>
  <c r="P10" i="2"/>
  <c r="G16" i="4" s="1"/>
  <c r="H10" i="2"/>
  <c r="AD9" i="2"/>
  <c r="AD5" i="2" s="1"/>
  <c r="R15" i="2" s="1"/>
  <c r="S15" i="2" s="1"/>
  <c r="AC9" i="2"/>
  <c r="Z5" i="2" s="1"/>
  <c r="N9" i="2"/>
  <c r="H9" i="2"/>
  <c r="B9" i="2"/>
  <c r="G36" i="2" s="1"/>
  <c r="AD8" i="2"/>
  <c r="N8" i="2"/>
  <c r="R8" i="2" s="1"/>
  <c r="S8" i="2" s="1"/>
  <c r="H8" i="2"/>
  <c r="B8" i="2"/>
  <c r="G35" i="2" s="1"/>
  <c r="B54" i="4" s="1"/>
  <c r="AD7" i="2"/>
  <c r="AC7" i="2"/>
  <c r="N7" i="2"/>
  <c r="E13" i="4" s="1"/>
  <c r="H7" i="2"/>
  <c r="B7" i="2"/>
  <c r="B38" i="3" s="1"/>
  <c r="AO6" i="2"/>
  <c r="N6" i="2"/>
  <c r="AF5" i="2"/>
  <c r="T15" i="2" s="1"/>
  <c r="B5" i="2"/>
  <c r="AF49" i="1"/>
  <c r="AD49" i="1"/>
  <c r="AD46" i="1"/>
  <c r="AC46" i="1"/>
  <c r="AD45" i="1"/>
  <c r="AC45" i="1"/>
  <c r="AD44" i="1"/>
  <c r="AC44" i="1"/>
  <c r="AD43" i="1"/>
  <c r="AC43" i="1"/>
  <c r="AD42" i="1"/>
  <c r="AD40" i="1" s="1"/>
  <c r="AC42" i="1"/>
  <c r="Z40" i="1" s="1"/>
  <c r="P14" i="1" s="1"/>
  <c r="AF40" i="1"/>
  <c r="N39" i="1"/>
  <c r="G37" i="1"/>
  <c r="B37" i="1" s="1"/>
  <c r="AF35" i="1"/>
  <c r="T21" i="1" s="1"/>
  <c r="AD35" i="1"/>
  <c r="AD32" i="1"/>
  <c r="AC32" i="1"/>
  <c r="AD31" i="1"/>
  <c r="AD27" i="1" s="1"/>
  <c r="AC31" i="1"/>
  <c r="AD30" i="1"/>
  <c r="AC30" i="1"/>
  <c r="Z27" i="1" s="1"/>
  <c r="P26" i="1" s="1"/>
  <c r="AD29" i="1"/>
  <c r="AC29" i="1"/>
  <c r="AF27" i="1"/>
  <c r="N26" i="1"/>
  <c r="AD25" i="1"/>
  <c r="AC25" i="1"/>
  <c r="Z21" i="1" s="1"/>
  <c r="AD24" i="1"/>
  <c r="AC24" i="1"/>
  <c r="R24" i="1"/>
  <c r="S24" i="1" s="1"/>
  <c r="Q24" i="1"/>
  <c r="P24" i="1"/>
  <c r="N24" i="1"/>
  <c r="T24" i="1" s="1"/>
  <c r="B24" i="1"/>
  <c r="B25" i="1" s="1"/>
  <c r="AD23" i="1"/>
  <c r="AF21" i="1" s="1"/>
  <c r="T28" i="1" s="1"/>
  <c r="AC23" i="1"/>
  <c r="T23" i="1"/>
  <c r="S23" i="1"/>
  <c r="R23" i="1"/>
  <c r="P23" i="1"/>
  <c r="Q23" i="1" s="1"/>
  <c r="F23" i="1"/>
  <c r="T22" i="1"/>
  <c r="R22" i="1"/>
  <c r="S22" i="1" s="1"/>
  <c r="Q22" i="1"/>
  <c r="P22" i="1"/>
  <c r="AD21" i="1"/>
  <c r="R28" i="1" s="1"/>
  <c r="S28" i="1" s="1"/>
  <c r="R21" i="1"/>
  <c r="S21" i="1" s="1"/>
  <c r="Q21" i="1"/>
  <c r="P21" i="1"/>
  <c r="T20" i="1"/>
  <c r="B20" i="1"/>
  <c r="AD19" i="1"/>
  <c r="AC19" i="1"/>
  <c r="T19" i="1"/>
  <c r="F19" i="1"/>
  <c r="AD18" i="1"/>
  <c r="AC18" i="1"/>
  <c r="T18" i="1"/>
  <c r="AD17" i="1"/>
  <c r="AC17" i="1"/>
  <c r="T17" i="1"/>
  <c r="F17" i="1"/>
  <c r="P16" i="1"/>
  <c r="N16" i="1"/>
  <c r="T16" i="1" s="1"/>
  <c r="N15" i="1"/>
  <c r="R15" i="1" s="1"/>
  <c r="S15" i="1" s="1"/>
  <c r="AF14" i="1"/>
  <c r="AD14" i="1"/>
  <c r="R20" i="1" s="1"/>
  <c r="S20" i="1" s="1"/>
  <c r="Z14" i="1"/>
  <c r="P6" i="1" s="1"/>
  <c r="N14" i="1"/>
  <c r="T14" i="1" s="1"/>
  <c r="P42" i="1" s="1"/>
  <c r="H14" i="1"/>
  <c r="F14" i="1"/>
  <c r="T13" i="1"/>
  <c r="R13" i="1"/>
  <c r="S13" i="1" s="1"/>
  <c r="Q13" i="1"/>
  <c r="H19" i="5" s="1"/>
  <c r="P13" i="1"/>
  <c r="G19" i="5" s="1"/>
  <c r="N13" i="1"/>
  <c r="E19" i="5" s="1"/>
  <c r="H13" i="1"/>
  <c r="F13" i="1"/>
  <c r="T12" i="1"/>
  <c r="R12" i="1"/>
  <c r="S12" i="1" s="1"/>
  <c r="Q12" i="1"/>
  <c r="H18" i="5" s="1"/>
  <c r="P12" i="1"/>
  <c r="G18" i="5" s="1"/>
  <c r="N12" i="1"/>
  <c r="E18" i="5" s="1"/>
  <c r="AD11" i="1"/>
  <c r="AC11" i="1"/>
  <c r="T11" i="1"/>
  <c r="R11" i="1"/>
  <c r="S11" i="1" s="1"/>
  <c r="Q11" i="1"/>
  <c r="H17" i="5" s="1"/>
  <c r="P11" i="1"/>
  <c r="G17" i="5" s="1"/>
  <c r="H11" i="1"/>
  <c r="F11" i="1"/>
  <c r="AD10" i="1"/>
  <c r="AC10" i="1"/>
  <c r="P10" i="1"/>
  <c r="Q10" i="1" s="1"/>
  <c r="N10" i="1"/>
  <c r="T10" i="1" s="1"/>
  <c r="F10" i="1"/>
  <c r="AD9" i="1"/>
  <c r="AC9" i="1"/>
  <c r="Z5" i="1" s="1"/>
  <c r="P9" i="1"/>
  <c r="G15" i="5" s="1"/>
  <c r="B9" i="1"/>
  <c r="F25" i="1" s="1"/>
  <c r="AD8" i="1"/>
  <c r="AD5" i="1" s="1"/>
  <c r="R25" i="1" s="1"/>
  <c r="S25" i="1" s="1"/>
  <c r="B8" i="1"/>
  <c r="G35" i="1" s="1"/>
  <c r="AD7" i="1"/>
  <c r="AC7" i="1"/>
  <c r="N7" i="1"/>
  <c r="T7" i="1" s="1"/>
  <c r="F7" i="1"/>
  <c r="N6" i="1"/>
  <c r="E12" i="5" s="1"/>
  <c r="AF5" i="1"/>
  <c r="T25" i="1" s="1"/>
  <c r="G5" i="1"/>
  <c r="F22" i="1" s="1"/>
  <c r="O39" i="6" l="1"/>
  <c r="B38" i="6"/>
  <c r="B7" i="10"/>
  <c r="B34" i="6"/>
  <c r="AA21" i="6"/>
  <c r="Q28" i="6" s="1"/>
  <c r="I109" i="7" s="1"/>
  <c r="C20" i="10"/>
  <c r="C21" i="10" s="1"/>
  <c r="C52" i="10" s="1"/>
  <c r="B33" i="10"/>
  <c r="AE13" i="6"/>
  <c r="AE21" i="6"/>
  <c r="AA5" i="6"/>
  <c r="Q25" i="6" s="1"/>
  <c r="G17" i="7"/>
  <c r="AG13" i="6"/>
  <c r="AA13" i="6"/>
  <c r="Q6" i="6" s="1"/>
  <c r="AG5" i="6"/>
  <c r="U25" i="6" s="1"/>
  <c r="O6" i="6"/>
  <c r="E12" i="7" s="1"/>
  <c r="O20" i="6"/>
  <c r="E87" i="7" s="1"/>
  <c r="O9" i="6"/>
  <c r="E15" i="7" s="1"/>
  <c r="O19" i="6"/>
  <c r="O8" i="6"/>
  <c r="E14" i="7" s="1"/>
  <c r="O18" i="6"/>
  <c r="O7" i="6"/>
  <c r="O17" i="6"/>
  <c r="AG21" i="6"/>
  <c r="AA27" i="6"/>
  <c r="Q26" i="6" s="1"/>
  <c r="I108" i="7" s="1"/>
  <c r="C33" i="10"/>
  <c r="B20" i="10"/>
  <c r="B22" i="10" s="1"/>
  <c r="C19" i="7"/>
  <c r="D15" i="7"/>
  <c r="D16" i="7"/>
  <c r="D19" i="7"/>
  <c r="B51" i="10"/>
  <c r="B38" i="10"/>
  <c r="F108" i="7"/>
  <c r="G18" i="7"/>
  <c r="F18" i="6"/>
  <c r="C12" i="7"/>
  <c r="C14" i="7"/>
  <c r="D13" i="7"/>
  <c r="D17" i="7"/>
  <c r="E92" i="7"/>
  <c r="C18" i="7"/>
  <c r="D12" i="7"/>
  <c r="D18" i="7"/>
  <c r="AG27" i="6"/>
  <c r="U26" i="6" s="1"/>
  <c r="AE27" i="6"/>
  <c r="S26" i="6" s="1"/>
  <c r="R16" i="6"/>
  <c r="H22" i="7" s="1"/>
  <c r="AA40" i="6"/>
  <c r="Q14" i="6" s="1"/>
  <c r="F28" i="7" s="1"/>
  <c r="M28" i="7" s="1"/>
  <c r="K108" i="7"/>
  <c r="R26" i="1"/>
  <c r="R14" i="1"/>
  <c r="S14" i="1" s="1"/>
  <c r="S16" i="6"/>
  <c r="T16" i="6" s="1"/>
  <c r="R16" i="1"/>
  <c r="S16" i="1" s="1"/>
  <c r="Q26" i="1"/>
  <c r="Q16" i="1"/>
  <c r="T26" i="1"/>
  <c r="U16" i="6"/>
  <c r="R6" i="1"/>
  <c r="S6" i="1" s="1"/>
  <c r="K33" i="7"/>
  <c r="K109" i="7"/>
  <c r="R17" i="2"/>
  <c r="S17" i="2" s="1"/>
  <c r="R19" i="2"/>
  <c r="S19" i="2" s="1"/>
  <c r="R9" i="2"/>
  <c r="S9" i="2" s="1"/>
  <c r="R6" i="2"/>
  <c r="S6" i="2" s="1"/>
  <c r="R18" i="2"/>
  <c r="S18" i="2" s="1"/>
  <c r="P28" i="1"/>
  <c r="Q28" i="1" s="1"/>
  <c r="P27" i="1"/>
  <c r="G217" i="7"/>
  <c r="G217" i="5"/>
  <c r="G12" i="5"/>
  <c r="Q6" i="1"/>
  <c r="S26" i="1"/>
  <c r="Q14" i="1"/>
  <c r="G28" i="5" s="1"/>
  <c r="F28" i="5"/>
  <c r="M28" i="5" s="1"/>
  <c r="P15" i="2"/>
  <c r="P25" i="2"/>
  <c r="B595" i="4"/>
  <c r="B625" i="4" s="1"/>
  <c r="W14" i="4" s="1"/>
  <c r="B624" i="4"/>
  <c r="B54" i="5"/>
  <c r="B35" i="1"/>
  <c r="P15" i="1"/>
  <c r="Q15" i="1" s="1"/>
  <c r="H21" i="5" s="1"/>
  <c r="P25" i="1"/>
  <c r="Q25" i="1" s="1"/>
  <c r="H16" i="5"/>
  <c r="N36" i="1"/>
  <c r="N42" i="1"/>
  <c r="P18" i="2"/>
  <c r="P9" i="2"/>
  <c r="P6" i="2"/>
  <c r="Q6" i="2" s="1"/>
  <c r="P17" i="2"/>
  <c r="P7" i="2"/>
  <c r="P20" i="2"/>
  <c r="P8" i="2"/>
  <c r="P19" i="2"/>
  <c r="P27" i="2"/>
  <c r="P28" i="2"/>
  <c r="G401" i="7"/>
  <c r="G401" i="5"/>
  <c r="G401" i="4"/>
  <c r="Q26" i="2"/>
  <c r="T15" i="1"/>
  <c r="P18" i="1"/>
  <c r="Q18" i="1" s="1"/>
  <c r="D10" i="3"/>
  <c r="B58" i="4"/>
  <c r="R7" i="1"/>
  <c r="S7" i="1" s="1"/>
  <c r="P8" i="1"/>
  <c r="N9" i="1"/>
  <c r="E15" i="5" s="1"/>
  <c r="R10" i="1"/>
  <c r="S10" i="1" s="1"/>
  <c r="F18" i="1"/>
  <c r="AN6" i="2"/>
  <c r="R7" i="2"/>
  <c r="S7" i="2" s="1"/>
  <c r="AF14" i="2"/>
  <c r="T6" i="2" s="1"/>
  <c r="H165" i="7"/>
  <c r="H165" i="5"/>
  <c r="E246" i="7"/>
  <c r="E246" i="5"/>
  <c r="E246" i="4"/>
  <c r="H322" i="7"/>
  <c r="H322" i="5"/>
  <c r="H322" i="4"/>
  <c r="G323" i="7"/>
  <c r="G323" i="4"/>
  <c r="H325" i="7"/>
  <c r="H325" i="5"/>
  <c r="H325" i="4"/>
  <c r="E400" i="7"/>
  <c r="E400" i="5"/>
  <c r="E400" i="4"/>
  <c r="T25" i="2"/>
  <c r="B27" i="2"/>
  <c r="D7" i="3"/>
  <c r="B36" i="3"/>
  <c r="G12" i="4"/>
  <c r="C12" i="4"/>
  <c r="H12" i="4"/>
  <c r="E15" i="4"/>
  <c r="G18" i="4"/>
  <c r="C18" i="4"/>
  <c r="D18" i="4"/>
  <c r="G19" i="4"/>
  <c r="C19" i="4"/>
  <c r="D19" i="4"/>
  <c r="K110" i="4"/>
  <c r="K112" i="4"/>
  <c r="H165" i="4"/>
  <c r="N180" i="4"/>
  <c r="H180" i="4" s="1"/>
  <c r="G217" i="4"/>
  <c r="K269" i="4"/>
  <c r="K424" i="4"/>
  <c r="K426" i="4"/>
  <c r="K741" i="4"/>
  <c r="K743" i="4"/>
  <c r="K750" i="4"/>
  <c r="E21" i="5"/>
  <c r="B60" i="5"/>
  <c r="G85" i="5"/>
  <c r="K111" i="5"/>
  <c r="K189" i="5"/>
  <c r="AE40" i="6"/>
  <c r="AG40" i="6"/>
  <c r="H13" i="6"/>
  <c r="H12" i="6"/>
  <c r="H10" i="6"/>
  <c r="H8" i="6"/>
  <c r="H9" i="6"/>
  <c r="H7" i="6"/>
  <c r="H6" i="6"/>
  <c r="H11" i="6"/>
  <c r="P17" i="1"/>
  <c r="Q17" i="1" s="1"/>
  <c r="P19" i="1"/>
  <c r="Q19" i="1" s="1"/>
  <c r="P20" i="1"/>
  <c r="Q20" i="1" s="1"/>
  <c r="B37" i="3"/>
  <c r="B703" i="4"/>
  <c r="B674" i="4"/>
  <c r="B704" i="4" s="1"/>
  <c r="W15" i="4" s="1"/>
  <c r="B674" i="5"/>
  <c r="B704" i="5" s="1"/>
  <c r="W15" i="5" s="1"/>
  <c r="B703" i="5"/>
  <c r="B674" i="7"/>
  <c r="B704" i="7" s="1"/>
  <c r="B703" i="7"/>
  <c r="B753" i="7"/>
  <c r="B783" i="7" s="1"/>
  <c r="B782" i="7"/>
  <c r="B34" i="3"/>
  <c r="B55" i="4"/>
  <c r="G86" i="5"/>
  <c r="F28" i="4"/>
  <c r="M28" i="4" s="1"/>
  <c r="N28" i="4" s="1"/>
  <c r="H28" i="4" s="1"/>
  <c r="G86" i="4"/>
  <c r="H323" i="7"/>
  <c r="H323" i="5"/>
  <c r="H323" i="4"/>
  <c r="P7" i="1"/>
  <c r="F8" i="1"/>
  <c r="F12" i="1"/>
  <c r="F21" i="1"/>
  <c r="G36" i="1"/>
  <c r="B36" i="1" s="1"/>
  <c r="T7" i="2"/>
  <c r="Q11" i="2"/>
  <c r="H17" i="4" s="1"/>
  <c r="G84" i="5"/>
  <c r="G84" i="4"/>
  <c r="Q13" i="2"/>
  <c r="Q14" i="2"/>
  <c r="E165" i="7"/>
  <c r="D15" i="3"/>
  <c r="E165" i="4"/>
  <c r="E244" i="7"/>
  <c r="E244" i="5"/>
  <c r="E244" i="4"/>
  <c r="G324" i="7"/>
  <c r="G324" i="5"/>
  <c r="E325" i="7"/>
  <c r="E325" i="5"/>
  <c r="B25" i="2"/>
  <c r="B35" i="2"/>
  <c r="G58" i="5" s="1"/>
  <c r="D4" i="3"/>
  <c r="D14" i="3"/>
  <c r="B39" i="3"/>
  <c r="E12" i="4"/>
  <c r="F18" i="4"/>
  <c r="F19" i="4"/>
  <c r="N100" i="4"/>
  <c r="H100" i="4" s="1"/>
  <c r="B139" i="4"/>
  <c r="B140" i="4" s="1"/>
  <c r="G137" i="4"/>
  <c r="B219" i="4"/>
  <c r="B220" i="4" s="1"/>
  <c r="B691" i="4"/>
  <c r="B692" i="4" s="1"/>
  <c r="N731" i="4"/>
  <c r="H731" i="4" s="1"/>
  <c r="K742" i="4"/>
  <c r="K749" i="4"/>
  <c r="B753" i="4"/>
  <c r="B783" i="4" s="1"/>
  <c r="W16" i="4" s="1"/>
  <c r="G16" i="5"/>
  <c r="N100" i="5"/>
  <c r="H100" i="5" s="1"/>
  <c r="K112" i="5"/>
  <c r="E165" i="5"/>
  <c r="K188" i="5"/>
  <c r="E402" i="7"/>
  <c r="E402" i="5"/>
  <c r="T27" i="2"/>
  <c r="E402" i="4"/>
  <c r="T6" i="1"/>
  <c r="N8" i="1"/>
  <c r="E14" i="5" s="1"/>
  <c r="F9" i="1"/>
  <c r="I28" i="5"/>
  <c r="L28" i="5" s="1"/>
  <c r="E28" i="5"/>
  <c r="R17" i="1"/>
  <c r="S17" i="1" s="1"/>
  <c r="R18" i="1"/>
  <c r="S18" i="1" s="1"/>
  <c r="R19" i="1"/>
  <c r="S19" i="1" s="1"/>
  <c r="Q12" i="2"/>
  <c r="H14" i="2"/>
  <c r="R14" i="2"/>
  <c r="S14" i="2" s="1"/>
  <c r="G165" i="7"/>
  <c r="G165" i="5"/>
  <c r="G165" i="4"/>
  <c r="T16" i="2"/>
  <c r="T18" i="2"/>
  <c r="B20" i="2"/>
  <c r="R20" i="2"/>
  <c r="S20" i="2" s="1"/>
  <c r="G322" i="7"/>
  <c r="G322" i="5"/>
  <c r="Q23" i="2"/>
  <c r="G325" i="7"/>
  <c r="G325" i="4"/>
  <c r="T24" i="2"/>
  <c r="F25" i="2"/>
  <c r="R25" i="2"/>
  <c r="S25" i="2" s="1"/>
  <c r="R27" i="2"/>
  <c r="S27" i="2" s="1"/>
  <c r="AD40" i="2"/>
  <c r="D5" i="3"/>
  <c r="F12" i="4"/>
  <c r="D21" i="4"/>
  <c r="E21" i="4"/>
  <c r="K188" i="4"/>
  <c r="G296" i="4"/>
  <c r="G322" i="4"/>
  <c r="E325" i="4"/>
  <c r="K348" i="4"/>
  <c r="K428" i="4"/>
  <c r="G453" i="4"/>
  <c r="K503" i="4"/>
  <c r="B533" i="4"/>
  <c r="B534" i="4" s="1"/>
  <c r="G531" i="4"/>
  <c r="K582" i="4"/>
  <c r="N652" i="4"/>
  <c r="H652" i="4" s="1"/>
  <c r="K745" i="4"/>
  <c r="K747" i="4"/>
  <c r="E13" i="5"/>
  <c r="E16" i="5"/>
  <c r="G21" i="5"/>
  <c r="E86" i="5"/>
  <c r="K108" i="5"/>
  <c r="G137" i="5"/>
  <c r="G323" i="5"/>
  <c r="G325" i="5"/>
  <c r="B612" i="4"/>
  <c r="B613" i="4" s="1"/>
  <c r="F13" i="5"/>
  <c r="F14" i="5"/>
  <c r="F15" i="5"/>
  <c r="F16" i="5"/>
  <c r="F17" i="5"/>
  <c r="D21" i="5"/>
  <c r="K267" i="5"/>
  <c r="K269" i="5"/>
  <c r="K347" i="5"/>
  <c r="K427" i="5"/>
  <c r="B533" i="5"/>
  <c r="B534" i="5" s="1"/>
  <c r="B624" i="5"/>
  <c r="B595" i="5"/>
  <c r="B625" i="5" s="1"/>
  <c r="W14" i="5" s="1"/>
  <c r="N573" i="5"/>
  <c r="H573" i="5" s="1"/>
  <c r="K660" i="5"/>
  <c r="B691" i="5"/>
  <c r="B692" i="5" s="1"/>
  <c r="G689" i="5"/>
  <c r="K743" i="5"/>
  <c r="K745" i="5"/>
  <c r="F21" i="5"/>
  <c r="B377" i="5"/>
  <c r="B378" i="5" s="1"/>
  <c r="G375" i="5"/>
  <c r="B753" i="5"/>
  <c r="B783" i="5" s="1"/>
  <c r="W16" i="5" s="1"/>
  <c r="G768" i="5"/>
  <c r="B770" i="5"/>
  <c r="B771" i="5" s="1"/>
  <c r="E401" i="7"/>
  <c r="E401" i="5"/>
  <c r="E479" i="7"/>
  <c r="E478" i="7"/>
  <c r="E479" i="5"/>
  <c r="E478" i="4"/>
  <c r="C21" i="5"/>
  <c r="K349" i="5"/>
  <c r="K424" i="5"/>
  <c r="E478" i="5"/>
  <c r="K503" i="5"/>
  <c r="K581" i="5"/>
  <c r="N652" i="5"/>
  <c r="H652" i="5" s="1"/>
  <c r="K740" i="5"/>
  <c r="K747" i="5"/>
  <c r="K749" i="5"/>
  <c r="B782" i="5"/>
  <c r="B66" i="7"/>
  <c r="B68" i="7" s="1"/>
  <c r="B67" i="7" s="1"/>
  <c r="G34" i="6"/>
  <c r="B54" i="7" s="1"/>
  <c r="O14" i="6"/>
  <c r="BY24" i="6" s="1"/>
  <c r="B8" i="6"/>
  <c r="C7" i="10" s="1"/>
  <c r="F17" i="6"/>
  <c r="B24" i="6"/>
  <c r="K34" i="7"/>
  <c r="B298" i="5"/>
  <c r="B299" i="5" s="1"/>
  <c r="B455" i="5"/>
  <c r="B456" i="5" s="1"/>
  <c r="AE5" i="6"/>
  <c r="T15" i="6" s="1"/>
  <c r="G90" i="7"/>
  <c r="F16" i="6"/>
  <c r="G16" i="7"/>
  <c r="F13" i="7"/>
  <c r="F14" i="7"/>
  <c r="F15" i="7"/>
  <c r="F16" i="7"/>
  <c r="F17" i="7"/>
  <c r="G19" i="7"/>
  <c r="D21" i="7"/>
  <c r="K189" i="7"/>
  <c r="K268" i="7"/>
  <c r="K270" i="7"/>
  <c r="K503" i="7"/>
  <c r="K661" i="7"/>
  <c r="K739" i="7"/>
  <c r="K741" i="7"/>
  <c r="K743" i="7"/>
  <c r="K745" i="7"/>
  <c r="K747" i="7"/>
  <c r="K749" i="7"/>
  <c r="F21" i="7"/>
  <c r="F33" i="7"/>
  <c r="B691" i="7"/>
  <c r="B692" i="7" s="1"/>
  <c r="G689" i="7"/>
  <c r="C21" i="7"/>
  <c r="N180" i="7"/>
  <c r="H180" i="7" s="1"/>
  <c r="K347" i="7"/>
  <c r="K349" i="7"/>
  <c r="B377" i="7"/>
  <c r="B378" i="7" s="1"/>
  <c r="G375" i="7"/>
  <c r="K425" i="7"/>
  <c r="K427" i="7"/>
  <c r="B624" i="7"/>
  <c r="B595" i="7"/>
  <c r="B625" i="7" s="1"/>
  <c r="N573" i="7"/>
  <c r="H573" i="7" s="1"/>
  <c r="K582" i="7"/>
  <c r="B612" i="7"/>
  <c r="B613" i="7" s="1"/>
  <c r="G610" i="7"/>
  <c r="B298" i="7"/>
  <c r="B299" i="7" s="1"/>
  <c r="B455" i="7"/>
  <c r="B456" i="7" s="1"/>
  <c r="B770" i="7"/>
  <c r="B771" i="7" s="1"/>
  <c r="U15" i="6" l="1"/>
  <c r="BG7" i="6"/>
  <c r="BK20" i="6" s="1"/>
  <c r="DM8" i="6"/>
  <c r="C22" i="10"/>
  <c r="Q15" i="6"/>
  <c r="R15" i="6" s="1"/>
  <c r="H21" i="7" s="1"/>
  <c r="Q27" i="6"/>
  <c r="I34" i="7" s="1"/>
  <c r="B6" i="9"/>
  <c r="U6" i="6"/>
  <c r="S7" i="6"/>
  <c r="T7" i="6" s="1"/>
  <c r="B21" i="10"/>
  <c r="B52" i="10" s="1"/>
  <c r="Q7" i="6"/>
  <c r="R7" i="6" s="1"/>
  <c r="H13" i="7" s="1"/>
  <c r="U18" i="6"/>
  <c r="U20" i="6"/>
  <c r="G12" i="7"/>
  <c r="R6" i="6"/>
  <c r="H12" i="7" s="1"/>
  <c r="Q20" i="6"/>
  <c r="R20" i="6" s="1"/>
  <c r="H87" i="7" s="1"/>
  <c r="Q19" i="6"/>
  <c r="R19" i="6" s="1"/>
  <c r="H86" i="7" s="1"/>
  <c r="DM36" i="6"/>
  <c r="Q9" i="6"/>
  <c r="G15" i="7" s="1"/>
  <c r="Q17" i="6"/>
  <c r="G84" i="7" s="1"/>
  <c r="Q8" i="6"/>
  <c r="G14" i="7" s="1"/>
  <c r="S20" i="6"/>
  <c r="T20" i="6" s="1"/>
  <c r="Q18" i="6"/>
  <c r="R18" i="6" s="1"/>
  <c r="H85" i="7" s="1"/>
  <c r="S17" i="6"/>
  <c r="T17" i="6" s="1"/>
  <c r="U7" i="6"/>
  <c r="E13" i="7"/>
  <c r="U17" i="6"/>
  <c r="BT19" i="6"/>
  <c r="BY20" i="6"/>
  <c r="BY21" i="6"/>
  <c r="DM18" i="6"/>
  <c r="DM22" i="6"/>
  <c r="S6" i="6"/>
  <c r="T6" i="6" s="1"/>
  <c r="E84" i="7"/>
  <c r="I33" i="7"/>
  <c r="B25" i="9"/>
  <c r="BT20" i="6"/>
  <c r="DM19" i="6"/>
  <c r="DM23" i="6"/>
  <c r="R26" i="6"/>
  <c r="J33" i="7" s="1"/>
  <c r="S18" i="6"/>
  <c r="T18" i="6" s="1"/>
  <c r="E85" i="7"/>
  <c r="D33" i="9"/>
  <c r="D20" i="9"/>
  <c r="DM43" i="6"/>
  <c r="DM44" i="6"/>
  <c r="C51" i="10"/>
  <c r="C38" i="10"/>
  <c r="S25" i="6"/>
  <c r="T25" i="6" s="1"/>
  <c r="Q9" i="1"/>
  <c r="H15" i="5" s="1"/>
  <c r="B51" i="7"/>
  <c r="O28" i="6"/>
  <c r="H86" i="5"/>
  <c r="G28" i="4"/>
  <c r="H86" i="4"/>
  <c r="Q7" i="1"/>
  <c r="H13" i="5" s="1"/>
  <c r="G13" i="5"/>
  <c r="O10" i="6"/>
  <c r="G4" i="6"/>
  <c r="O21" i="6"/>
  <c r="O37" i="6"/>
  <c r="N37" i="1"/>
  <c r="B61" i="5"/>
  <c r="B60" i="4"/>
  <c r="B61" i="4" s="1"/>
  <c r="G58" i="4"/>
  <c r="G402" i="7"/>
  <c r="G402" i="5"/>
  <c r="G402" i="4"/>
  <c r="Q27" i="2"/>
  <c r="G13" i="4"/>
  <c r="Q7" i="2"/>
  <c r="H13" i="4" s="1"/>
  <c r="G244" i="7"/>
  <c r="G244" i="5"/>
  <c r="G244" i="4"/>
  <c r="Q18" i="2"/>
  <c r="G400" i="7"/>
  <c r="G400" i="5"/>
  <c r="G400" i="4"/>
  <c r="Q25" i="2"/>
  <c r="B32" i="9"/>
  <c r="D32" i="9" s="1"/>
  <c r="F24" i="6"/>
  <c r="G35" i="6"/>
  <c r="B133" i="7" s="1"/>
  <c r="B145" i="7" s="1"/>
  <c r="B147" i="7" s="1"/>
  <c r="B146" i="7" s="1"/>
  <c r="F14" i="2"/>
  <c r="R8" i="1"/>
  <c r="T8" i="1"/>
  <c r="H85" i="4"/>
  <c r="H85" i="5"/>
  <c r="O11" i="6"/>
  <c r="O23" i="6"/>
  <c r="D6" i="3"/>
  <c r="B35" i="3"/>
  <c r="F19" i="2"/>
  <c r="F18" i="2"/>
  <c r="R9" i="1"/>
  <c r="S9" i="1" s="1"/>
  <c r="T9" i="1"/>
  <c r="G245" i="7"/>
  <c r="G245" i="5"/>
  <c r="G245" i="4"/>
  <c r="Q19" i="2"/>
  <c r="G243" i="7"/>
  <c r="G243" i="4"/>
  <c r="Q17" i="2"/>
  <c r="G243" i="5"/>
  <c r="G164" i="7"/>
  <c r="G164" i="4"/>
  <c r="G164" i="5"/>
  <c r="G21" i="4"/>
  <c r="Q15" i="2"/>
  <c r="T9" i="2"/>
  <c r="U9" i="6"/>
  <c r="S9" i="6"/>
  <c r="T9" i="6" s="1"/>
  <c r="U8" i="6"/>
  <c r="S8" i="6"/>
  <c r="B13" i="9"/>
  <c r="D13" i="9" s="1"/>
  <c r="S19" i="6"/>
  <c r="T19" i="6" s="1"/>
  <c r="E86" i="7"/>
  <c r="U19" i="6"/>
  <c r="U14" i="6"/>
  <c r="I28" i="7"/>
  <c r="E28" i="7"/>
  <c r="S14" i="6"/>
  <c r="R14" i="6"/>
  <c r="H324" i="7"/>
  <c r="B359" i="7" s="1"/>
  <c r="H324" i="5"/>
  <c r="B359" i="5" s="1"/>
  <c r="H324" i="4"/>
  <c r="H84" i="5"/>
  <c r="B121" i="5" s="1"/>
  <c r="H84" i="4"/>
  <c r="B121" i="4" s="1"/>
  <c r="P40" i="1"/>
  <c r="G5" i="2"/>
  <c r="G92" i="7"/>
  <c r="R25" i="6"/>
  <c r="O13" i="6"/>
  <c r="O24" i="6"/>
  <c r="G14" i="5"/>
  <c r="Q8" i="1"/>
  <c r="H14" i="5" s="1"/>
  <c r="N27" i="1"/>
  <c r="G14" i="4"/>
  <c r="Q8" i="2"/>
  <c r="H14" i="4" s="1"/>
  <c r="F17" i="2"/>
  <c r="B12" i="9"/>
  <c r="D12" i="9" s="1"/>
  <c r="B20" i="9"/>
  <c r="T26" i="6"/>
  <c r="O27" i="6"/>
  <c r="B35" i="6"/>
  <c r="O22" i="6"/>
  <c r="O12" i="6"/>
  <c r="H19" i="4"/>
  <c r="H18" i="4"/>
  <c r="B359" i="4"/>
  <c r="T20" i="2"/>
  <c r="T8" i="2"/>
  <c r="T17" i="2"/>
  <c r="T19" i="2"/>
  <c r="H401" i="7"/>
  <c r="H401" i="5"/>
  <c r="H401" i="4"/>
  <c r="G478" i="7"/>
  <c r="G479" i="7"/>
  <c r="G478" i="5"/>
  <c r="G479" i="4"/>
  <c r="G479" i="5"/>
  <c r="G478" i="4"/>
  <c r="Q28" i="2"/>
  <c r="G246" i="7"/>
  <c r="G246" i="5"/>
  <c r="G246" i="4"/>
  <c r="Q20" i="2"/>
  <c r="G15" i="4"/>
  <c r="Q9" i="2"/>
  <c r="H15" i="4" s="1"/>
  <c r="N28" i="5"/>
  <c r="H28" i="5" s="1"/>
  <c r="H12" i="5"/>
  <c r="F13" i="6" l="1"/>
  <c r="R32" i="6"/>
  <c r="R9" i="6"/>
  <c r="H15" i="7" s="1"/>
  <c r="BG27" i="6"/>
  <c r="BK21" i="6" s="1"/>
  <c r="BK24" i="6" s="1"/>
  <c r="DM29" i="6"/>
  <c r="DM49" i="6"/>
  <c r="DM47" i="6"/>
  <c r="BG24" i="6"/>
  <c r="BK5" i="6" s="1"/>
  <c r="DM39" i="6"/>
  <c r="BK15" i="6"/>
  <c r="DM37" i="6"/>
  <c r="BG15" i="6"/>
  <c r="DM11" i="6"/>
  <c r="G21" i="7"/>
  <c r="G87" i="7"/>
  <c r="G13" i="7"/>
  <c r="G85" i="7"/>
  <c r="R17" i="6"/>
  <c r="B23" i="9" s="1"/>
  <c r="U28" i="6"/>
  <c r="DM31" i="6" s="1"/>
  <c r="F109" i="7"/>
  <c r="DM30" i="6"/>
  <c r="S28" i="6"/>
  <c r="T28" i="6" s="1"/>
  <c r="BG4" i="6"/>
  <c r="BK4" i="6" s="1"/>
  <c r="G86" i="7"/>
  <c r="R8" i="6"/>
  <c r="H14" i="7" s="1"/>
  <c r="D30" i="9"/>
  <c r="D35" i="9" s="1"/>
  <c r="J108" i="7"/>
  <c r="BG12" i="6"/>
  <c r="BG14" i="6"/>
  <c r="DM3" i="6"/>
  <c r="BY22" i="6"/>
  <c r="BY23" i="6"/>
  <c r="BY19" i="6"/>
  <c r="BT21" i="6"/>
  <c r="B19" i="9"/>
  <c r="R27" i="6"/>
  <c r="J34" i="7" s="1"/>
  <c r="DM4" i="6"/>
  <c r="DM5" i="6"/>
  <c r="DM41" i="6"/>
  <c r="DM27" i="6"/>
  <c r="DM25" i="6"/>
  <c r="DM42" i="6"/>
  <c r="R28" i="6"/>
  <c r="J109" i="7" s="1"/>
  <c r="DM26" i="6"/>
  <c r="B33" i="9"/>
  <c r="F11" i="6"/>
  <c r="F9" i="6"/>
  <c r="B130" i="7"/>
  <c r="F7" i="6"/>
  <c r="F6" i="6"/>
  <c r="F12" i="6"/>
  <c r="F8" i="6"/>
  <c r="D11" i="9"/>
  <c r="D16" i="9" s="1"/>
  <c r="B42" i="5"/>
  <c r="B72" i="5" s="1"/>
  <c r="B30" i="9"/>
  <c r="B35" i="9" s="1"/>
  <c r="Q40" i="6"/>
  <c r="B389" i="5"/>
  <c r="B360" i="5"/>
  <c r="B390" i="5" s="1"/>
  <c r="W11" i="5" s="1"/>
  <c r="B360" i="7"/>
  <c r="B390" i="7" s="1"/>
  <c r="B389" i="7"/>
  <c r="H246" i="7"/>
  <c r="H246" i="5"/>
  <c r="H246" i="4"/>
  <c r="H479" i="7"/>
  <c r="H478" i="7"/>
  <c r="H479" i="5"/>
  <c r="H478" i="5"/>
  <c r="B515" i="5" s="1"/>
  <c r="H478" i="4"/>
  <c r="B515" i="4" s="1"/>
  <c r="H479" i="4"/>
  <c r="E89" i="7"/>
  <c r="U22" i="6"/>
  <c r="R22" i="6"/>
  <c r="H89" i="7" s="1"/>
  <c r="S22" i="6"/>
  <c r="T22" i="6" s="1"/>
  <c r="D21" i="3"/>
  <c r="B41" i="3"/>
  <c r="T27" i="1"/>
  <c r="P41" i="1" s="1"/>
  <c r="R27" i="1"/>
  <c r="U24" i="6"/>
  <c r="R24" i="6"/>
  <c r="H91" i="7" s="1"/>
  <c r="E91" i="7"/>
  <c r="S24" i="6"/>
  <c r="T24" i="6" s="1"/>
  <c r="D14" i="9"/>
  <c r="Q42" i="6"/>
  <c r="T8" i="6"/>
  <c r="B11" i="9"/>
  <c r="O40" i="6"/>
  <c r="H164" i="7"/>
  <c r="B201" i="7" s="1"/>
  <c r="H164" i="4"/>
  <c r="B201" i="4" s="1"/>
  <c r="H164" i="5"/>
  <c r="B201" i="5" s="1"/>
  <c r="H21" i="4"/>
  <c r="B42" i="4" s="1"/>
  <c r="D22" i="3"/>
  <c r="B42" i="3"/>
  <c r="H402" i="7"/>
  <c r="H402" i="5"/>
  <c r="H402" i="4"/>
  <c r="F34" i="7"/>
  <c r="U27" i="6"/>
  <c r="S27" i="6"/>
  <c r="Q31" i="2"/>
  <c r="B40" i="3"/>
  <c r="F22" i="2"/>
  <c r="F23" i="2"/>
  <c r="F21" i="2"/>
  <c r="F10" i="2"/>
  <c r="F8" i="2"/>
  <c r="D20" i="3"/>
  <c r="F12" i="2"/>
  <c r="F7" i="2"/>
  <c r="F11" i="2"/>
  <c r="F9" i="2"/>
  <c r="F13" i="2"/>
  <c r="B14" i="9"/>
  <c r="O42" i="6"/>
  <c r="T14" i="6"/>
  <c r="H245" i="7"/>
  <c r="H245" i="5"/>
  <c r="H245" i="4"/>
  <c r="D23" i="3"/>
  <c r="B43" i="3"/>
  <c r="E90" i="7"/>
  <c r="S23" i="6"/>
  <c r="T23" i="6" s="1"/>
  <c r="U23" i="6"/>
  <c r="R23" i="6"/>
  <c r="H90" i="7" s="1"/>
  <c r="F20" i="6"/>
  <c r="F22" i="6"/>
  <c r="F21" i="6"/>
  <c r="B360" i="4"/>
  <c r="B390" i="4" s="1"/>
  <c r="W11" i="4" s="1"/>
  <c r="B389" i="4"/>
  <c r="E18" i="7"/>
  <c r="R12" i="6"/>
  <c r="H18" i="7" s="1"/>
  <c r="S12" i="6"/>
  <c r="T12" i="6" s="1"/>
  <c r="U12" i="6"/>
  <c r="B31" i="9"/>
  <c r="D31" i="9" s="1"/>
  <c r="B58" i="7"/>
  <c r="B60" i="7" s="1"/>
  <c r="E19" i="7"/>
  <c r="U13" i="6"/>
  <c r="S13" i="6"/>
  <c r="T13" i="6" s="1"/>
  <c r="R13" i="6"/>
  <c r="H19" i="7" s="1"/>
  <c r="H243" i="7"/>
  <c r="B280" i="7" s="1"/>
  <c r="H243" i="5"/>
  <c r="H243" i="4"/>
  <c r="H400" i="7"/>
  <c r="B437" i="7" s="1"/>
  <c r="H400" i="5"/>
  <c r="B437" i="5" s="1"/>
  <c r="H400" i="4"/>
  <c r="B437" i="4" s="1"/>
  <c r="H244" i="7"/>
  <c r="H244" i="4"/>
  <c r="H244" i="5"/>
  <c r="F10" i="6"/>
  <c r="U10" i="6"/>
  <c r="S10" i="6"/>
  <c r="T10" i="6" s="1"/>
  <c r="R10" i="6"/>
  <c r="E16" i="7"/>
  <c r="B151" i="5"/>
  <c r="B122" i="5"/>
  <c r="B152" i="5" s="1"/>
  <c r="W8" i="5" s="1"/>
  <c r="B7" i="9"/>
  <c r="G28" i="7"/>
  <c r="N35" i="1"/>
  <c r="Q27" i="1"/>
  <c r="Q31" i="1" s="1"/>
  <c r="H92" i="7"/>
  <c r="B26" i="9"/>
  <c r="B122" i="4"/>
  <c r="B152" i="4" s="1"/>
  <c r="W8" i="4" s="1"/>
  <c r="B151" i="4"/>
  <c r="J28" i="7"/>
  <c r="L28" i="7" s="1"/>
  <c r="N28" i="7" s="1"/>
  <c r="H28" i="7" s="1"/>
  <c r="B27" i="6"/>
  <c r="U11" i="6"/>
  <c r="S11" i="6"/>
  <c r="T11" i="6" s="1"/>
  <c r="R11" i="6"/>
  <c r="H17" i="7" s="1"/>
  <c r="E17" i="7"/>
  <c r="S8" i="1"/>
  <c r="N40" i="1"/>
  <c r="S21" i="6"/>
  <c r="T21" i="6" s="1"/>
  <c r="E88" i="7"/>
  <c r="R21" i="6"/>
  <c r="U21" i="6"/>
  <c r="BK32" i="6" l="1"/>
  <c r="AO22" i="11"/>
  <c r="AO22" i="12"/>
  <c r="BG11" i="6"/>
  <c r="BK17" i="6" s="1"/>
  <c r="DM16" i="6"/>
  <c r="DM6" i="6"/>
  <c r="BG5" i="6"/>
  <c r="BK9" i="6" s="1"/>
  <c r="DM9" i="6"/>
  <c r="BG9" i="6"/>
  <c r="BK14" i="6" s="1"/>
  <c r="BK35" i="6" s="1"/>
  <c r="DM20" i="6"/>
  <c r="BG26" i="6"/>
  <c r="BG28" i="6" s="1"/>
  <c r="H84" i="7"/>
  <c r="B4" i="9"/>
  <c r="O35" i="6"/>
  <c r="BK18" i="6"/>
  <c r="D36" i="9"/>
  <c r="B137" i="7"/>
  <c r="DM33" i="6"/>
  <c r="DM32" i="6"/>
  <c r="DM34" i="6"/>
  <c r="DM45" i="6"/>
  <c r="AP54" i="6"/>
  <c r="B61" i="7"/>
  <c r="DM15" i="6"/>
  <c r="Q41" i="6"/>
  <c r="AP55" i="6"/>
  <c r="DM46" i="6"/>
  <c r="DM13" i="6"/>
  <c r="DM14" i="6"/>
  <c r="R31" i="6"/>
  <c r="D17" i="9"/>
  <c r="B43" i="5"/>
  <c r="B73" i="5" s="1"/>
  <c r="W7" i="5" s="1"/>
  <c r="W21" i="5" s="1"/>
  <c r="B43" i="4"/>
  <c r="B73" i="4" s="1"/>
  <c r="W7" i="4" s="1"/>
  <c r="W18" i="4" s="1"/>
  <c r="V31" i="4" s="1"/>
  <c r="B72" i="4"/>
  <c r="I24" i="9"/>
  <c r="H88" i="7"/>
  <c r="B281" i="7"/>
  <c r="B311" i="7" s="1"/>
  <c r="B310" i="7"/>
  <c r="B545" i="4"/>
  <c r="B516" i="4"/>
  <c r="B546" i="4" s="1"/>
  <c r="W13" i="4" s="1"/>
  <c r="B438" i="7"/>
  <c r="B468" i="7" s="1"/>
  <c r="B467" i="7"/>
  <c r="G58" i="7"/>
  <c r="D25" i="3"/>
  <c r="B45" i="3"/>
  <c r="B231" i="5"/>
  <c r="B202" i="5"/>
  <c r="B232" i="5" s="1"/>
  <c r="W9" i="5" s="1"/>
  <c r="B16" i="9"/>
  <c r="B17" i="9"/>
  <c r="S27" i="1"/>
  <c r="N41" i="1"/>
  <c r="B516" i="5"/>
  <c r="B546" i="5" s="1"/>
  <c r="W13" i="5" s="1"/>
  <c r="B545" i="5"/>
  <c r="I5" i="9"/>
  <c r="O36" i="6"/>
  <c r="H16" i="7"/>
  <c r="B42" i="7" s="1"/>
  <c r="C65" i="16" s="1"/>
  <c r="B280" i="4"/>
  <c r="D24" i="3"/>
  <c r="B44" i="3"/>
  <c r="T27" i="6"/>
  <c r="O41" i="6"/>
  <c r="B231" i="4"/>
  <c r="B202" i="4"/>
  <c r="B232" i="4" s="1"/>
  <c r="W9" i="4" s="1"/>
  <c r="B36" i="9"/>
  <c r="B438" i="5"/>
  <c r="B468" i="5" s="1"/>
  <c r="W12" i="5" s="1"/>
  <c r="B467" i="5"/>
  <c r="B467" i="4"/>
  <c r="B438" i="4"/>
  <c r="B468" i="4" s="1"/>
  <c r="W12" i="4" s="1"/>
  <c r="B280" i="5"/>
  <c r="D26" i="3"/>
  <c r="B46" i="3"/>
  <c r="B202" i="7"/>
  <c r="B232" i="7" s="1"/>
  <c r="B231" i="7"/>
  <c r="B515" i="7"/>
  <c r="DL21" i="11" l="1"/>
  <c r="BF6" i="11"/>
  <c r="DL21" i="12"/>
  <c r="BF6" i="12"/>
  <c r="DM48" i="6"/>
  <c r="BG10" i="6"/>
  <c r="BK11" i="6" s="1"/>
  <c r="DM10" i="6"/>
  <c r="B121" i="7"/>
  <c r="B122" i="7" s="1"/>
  <c r="BG6" i="6"/>
  <c r="BG19" i="6" s="1"/>
  <c r="DM21" i="6"/>
  <c r="BK10" i="6"/>
  <c r="BK34" i="6" s="1"/>
  <c r="BK12" i="6"/>
  <c r="AP56" i="6"/>
  <c r="AP57" i="6"/>
  <c r="W18" i="5"/>
  <c r="V31" i="5" s="1"/>
  <c r="B43" i="7"/>
  <c r="B72" i="7"/>
  <c r="B516" i="7"/>
  <c r="B546" i="7" s="1"/>
  <c r="B545" i="7"/>
  <c r="B281" i="5"/>
  <c r="B311" i="5" s="1"/>
  <c r="W10" i="5" s="1"/>
  <c r="B310" i="5"/>
  <c r="G137" i="7"/>
  <c r="B310" i="4"/>
  <c r="B281" i="4"/>
  <c r="B311" i="4" s="1"/>
  <c r="W10" i="4" s="1"/>
  <c r="F5" i="9"/>
  <c r="B5" i="9" s="1"/>
  <c r="B8" i="9" s="1"/>
  <c r="BJ6" i="12" l="1"/>
  <c r="BF19" i="12"/>
  <c r="BG25" i="6"/>
  <c r="BK7" i="6" s="1"/>
  <c r="AO39" i="11"/>
  <c r="AO39" i="12"/>
  <c r="BJ6" i="11"/>
  <c r="BF19" i="11"/>
  <c r="BG17" i="6"/>
  <c r="BG18" i="6" s="1"/>
  <c r="BK6" i="6"/>
  <c r="BK23" i="6"/>
  <c r="BK25" i="6" s="1"/>
  <c r="B151" i="7"/>
  <c r="B73" i="7"/>
  <c r="W7" i="7" s="1"/>
  <c r="B4" i="10" s="1"/>
  <c r="F24" i="9"/>
  <c r="B24" i="9" s="1"/>
  <c r="B27" i="9" s="1"/>
  <c r="B140" i="7"/>
  <c r="B152" i="7" s="1"/>
  <c r="W8" i="7" s="1"/>
  <c r="C4" i="10" s="1"/>
  <c r="C5" i="10" s="1"/>
  <c r="C8" i="10" s="1"/>
  <c r="DM38" i="6" l="1"/>
  <c r="BF25" i="11"/>
  <c r="DL38" i="11"/>
  <c r="DL38" i="12"/>
  <c r="BF25" i="12"/>
  <c r="BK33" i="6"/>
  <c r="BK36" i="6" s="1"/>
  <c r="BG29" i="6"/>
  <c r="C12" i="10"/>
  <c r="C13" i="10" s="1"/>
  <c r="C14" i="10" s="1"/>
  <c r="C24" i="10"/>
  <c r="C39" i="10"/>
  <c r="C31" i="10"/>
  <c r="Z7" i="7"/>
  <c r="W21" i="7"/>
  <c r="Z8" i="7"/>
  <c r="W18" i="7"/>
  <c r="V31" i="7" s="1"/>
  <c r="BJ7" i="12" l="1"/>
  <c r="BJ33" i="12" s="1"/>
  <c r="BJ36" i="12" s="1"/>
  <c r="BF29" i="12"/>
  <c r="BF29" i="11"/>
  <c r="BJ7" i="11"/>
  <c r="BJ33" i="11" s="1"/>
  <c r="BJ36" i="11" s="1"/>
  <c r="C55" i="10"/>
  <c r="C56" i="10" s="1"/>
  <c r="C40" i="10"/>
  <c r="C41" i="10" s="1"/>
  <c r="Q15" i="10"/>
  <c r="B5" i="10"/>
  <c r="B8" i="10" s="1"/>
  <c r="B39" i="10" l="1"/>
  <c r="B31" i="10"/>
  <c r="B24" i="10"/>
  <c r="B12" i="10"/>
  <c r="B13" i="10" s="1"/>
  <c r="B14" i="10" s="1"/>
  <c r="B55" i="10" l="1"/>
  <c r="B56" i="10" s="1"/>
  <c r="B40" i="10"/>
  <c r="B41" i="10" s="1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4.xml><?xml version="1.0" encoding="utf-8"?>
<comments xmlns="http://schemas.openxmlformats.org/spreadsheetml/2006/main">
  <authors>
    <author>Glenn Reynders</author>
    <author/>
  </authors>
  <commentList>
    <comment ref="AQ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W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5.xml><?xml version="1.0" encoding="utf-8"?>
<comments xmlns="http://schemas.openxmlformats.org/spreadsheetml/2006/main">
  <authors>
    <author>Glenn Reynders</author>
    <author/>
  </authors>
  <commentList>
    <comment ref="AQ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W2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37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Z51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5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6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7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sharedStrings.xml><?xml version="1.0" encoding="utf-8"?>
<sst xmlns="http://schemas.openxmlformats.org/spreadsheetml/2006/main" count="18774" uniqueCount="619">
  <si>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</si>
  <si>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</si>
  <si>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</si>
  <si>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</si>
  <si>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</si>
  <si>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</si>
  <si>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</si>
  <si>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</si>
  <si>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</si>
  <si>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</si>
  <si>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</si>
  <si>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</si>
  <si>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</si>
  <si>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</si>
  <si>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</si>
  <si>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</si>
  <si>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</si>
  <si>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</si>
  <si>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</si>
  <si>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</si>
  <si>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</si>
  <si>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</si>
  <si>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</si>
  <si>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</si>
  <si>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</si>
  <si>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</si>
  <si>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</si>
  <si>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</si>
  <si>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</si>
  <si>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</si>
  <si>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</si>
  <si>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</si>
  <si>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</si>
  <si>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</si>
  <si>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</si>
  <si>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</si>
  <si>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</si>
  <si>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</si>
  <si>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</si>
  <si>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</si>
  <si>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</si>
  <si>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</si>
  <si>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</si>
  <si>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</si>
  <si>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</si>
  <si>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</si>
  <si>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</si>
  <si>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</si>
  <si>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</si>
  <si>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</si>
  <si>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</si>
  <si>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</si>
  <si>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</si>
  <si>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</si>
  <si>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</si>
  <si>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</si>
  <si>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</si>
  <si>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</si>
  <si>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</si>
  <si>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</si>
  <si>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</si>
  <si>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</si>
  <si>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</si>
  <si>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</si>
  <si>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</si>
  <si>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</si>
  <si>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</si>
  <si>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</si>
  <si>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</si>
  <si>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</si>
  <si>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</si>
  <si>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</si>
  <si>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</si>
  <si>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</si>
  <si>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</si>
  <si>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</si>
  <si>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</si>
  <si>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</si>
  <si>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</si>
  <si>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</si>
  <si>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</si>
  <si>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</si>
  <si>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</si>
  <si>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</si>
  <si>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</si>
  <si>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</si>
  <si>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</si>
  <si>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</si>
  <si>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</si>
  <si>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</si>
  <si>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</si>
  <si>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</si>
  <si>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</si>
  <si>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</si>
  <si>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</si>
  <si>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</si>
  <si>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</si>
  <si>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</si>
  <si>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</si>
  <si>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</si>
  <si>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</si>
  <si>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</si>
  <si>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</si>
  <si>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</si>
  <si>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</si>
  <si>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</si>
  <si>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</si>
  <si>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</si>
  <si>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</si>
  <si>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</si>
  <si>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</si>
  <si>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</si>
  <si>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</si>
  <si>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</si>
  <si>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</si>
  <si>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</si>
  <si>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</si>
  <si>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</si>
  <si>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</si>
  <si>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</si>
  <si>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</si>
  <si>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</si>
  <si>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</si>
  <si>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</si>
  <si>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</si>
  <si>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</si>
  <si>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</si>
  <si>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</si>
  <si>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</si>
  <si>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</si>
  <si>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</si>
  <si>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</si>
  <si>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</si>
  <si>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</si>
  <si>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</si>
  <si>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</si>
  <si>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</si>
  <si>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</si>
  <si>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</si>
  <si>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</si>
  <si>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</si>
  <si>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</si>
  <si>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</si>
  <si>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</si>
  <si>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</si>
  <si>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</si>
  <si>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</si>
  <si>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</si>
  <si>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</si>
  <si>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</si>
  <si>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</si>
  <si>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</si>
  <si>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</si>
  <si>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</si>
  <si>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</si>
  <si>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</si>
  <si>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</si>
  <si>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</si>
  <si>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</si>
  <si>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</si>
  <si>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</si>
  <si>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</si>
  <si>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</si>
  <si>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</si>
  <si>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</si>
  <si>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</si>
  <si>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</si>
  <si>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</si>
  <si>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</si>
  <si>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</si>
  <si>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</si>
  <si>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</si>
  <si>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</si>
  <si>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</si>
  <si>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</si>
  <si>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</si>
  <si>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</si>
  <si>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</si>
  <si>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</si>
  <si>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</si>
  <si>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</si>
  <si>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</si>
  <si>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</si>
  <si>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</si>
  <si>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</si>
  <si>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</si>
  <si>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</si>
  <si>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</si>
  <si>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</si>
  <si>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</si>
  <si>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</si>
  <si>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</si>
  <si>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</si>
  <si>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</si>
  <si>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</si>
  <si>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</si>
  <si>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</si>
  <si>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</si>
  <si>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</si>
  <si>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</si>
  <si>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</si>
  <si>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</si>
  <si>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</si>
  <si>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</si>
  <si>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</si>
  <si>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</si>
  <si>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</si>
  <si>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</si>
  <si>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</si>
  <si>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</si>
  <si>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</si>
  <si>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</si>
  <si>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</si>
  <si>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</si>
  <si>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</si>
  <si>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</si>
  <si>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</si>
  <si>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</si>
  <si>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</si>
  <si>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</si>
  <si>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</si>
  <si>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</si>
  <si>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</si>
  <si>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</si>
  <si>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</si>
  <si>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</si>
  <si>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</si>
  <si>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</si>
  <si>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</si>
  <si>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</si>
  <si>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</si>
  <si>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</si>
  <si>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</si>
  <si>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</si>
  <si>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</si>
  <si>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</si>
  <si>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</si>
  <si>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</si>
  <si>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</si>
  <si>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</si>
  <si>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</si>
  <si>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</si>
  <si>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</si>
  <si>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</si>
  <si>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</si>
  <si>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</si>
  <si>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</si>
  <si>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</si>
  <si>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</si>
  <si>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</si>
  <si>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</si>
  <si>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</si>
  <si>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</si>
  <si>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</si>
  <si>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</si>
  <si>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</si>
  <si>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</si>
  <si>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</si>
  <si>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</si>
  <si>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</si>
  <si>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</si>
  <si>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</si>
  <si>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</si>
  <si>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</si>
  <si>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</si>
  <si>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</si>
  <si>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</si>
  <si>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glasswool</t>
  </si>
  <si>
    <t>BrickMe</t>
  </si>
  <si>
    <t>Insulation</t>
  </si>
  <si>
    <t>BrickMi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</si>
  <si>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</si>
  <si>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</si>
  <si>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</si>
  <si>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</si>
  <si>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</si>
  <si>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</si>
  <si>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</si>
  <si>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</si>
  <si>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</si>
  <si>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</si>
  <si>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</si>
  <si>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</si>
  <si>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</si>
  <si>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</si>
  <si>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</si>
  <si>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</si>
  <si>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</si>
  <si>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</si>
  <si>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</si>
  <si>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</si>
  <si>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</si>
  <si>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</si>
  <si>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</si>
  <si>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</si>
  <si>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</si>
  <si>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</si>
  <si>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</si>
  <si>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</si>
  <si>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</si>
  <si>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</si>
  <si>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</si>
  <si>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n50</t>
  </si>
  <si>
    <t>d</t>
  </si>
  <si>
    <t>Dimensionering vloerverwarming</t>
  </si>
  <si>
    <t>(prEN15377-2:2008)</t>
  </si>
  <si>
    <t>(TV 181 - vereenvoudigde methode)</t>
  </si>
  <si>
    <t>Kamer</t>
  </si>
  <si>
    <t>Q_nom [W]</t>
  </si>
  <si>
    <t>Tabel 10b annex D EN12831</t>
  </si>
  <si>
    <t>Q_nom_FH [W]</t>
  </si>
  <si>
    <t>Q_nom_Rad [W]</t>
  </si>
  <si>
    <t>A_F [m²]</t>
  </si>
  <si>
    <t>2K ; 1.5 h</t>
  </si>
  <si>
    <t>f_RH</t>
  </si>
  <si>
    <t>q_s,des [W/m²]</t>
  </si>
  <si>
    <t>T_s,max [°C]</t>
  </si>
  <si>
    <t>T_i,des [°C]</t>
  </si>
  <si>
    <t>q_g [W/m²]</t>
  </si>
  <si>
    <t>Possible?</t>
  </si>
  <si>
    <t>q_max</t>
  </si>
  <si>
    <t>T_s,n [°C]</t>
  </si>
  <si>
    <t>Watertemperatuur</t>
  </si>
  <si>
    <t>T_v [°C]</t>
  </si>
  <si>
    <t>qsm</t>
  </si>
  <si>
    <t>T_r[°C]</t>
  </si>
  <si>
    <t>tabel p40 TV181</t>
  </si>
  <si>
    <t>T_w[°C]</t>
  </si>
  <si>
    <t>tabel p40 TV182</t>
  </si>
  <si>
    <t>s_max [m]</t>
  </si>
  <si>
    <t>tabel p40 TV183</t>
  </si>
  <si>
    <t>S_tb [m]</t>
  </si>
  <si>
    <t>R_tb [m²K/W]</t>
  </si>
  <si>
    <t>lambda_b [W/mK]</t>
  </si>
  <si>
    <t>Rtb&lt;0.2</t>
  </si>
  <si>
    <t>(T_w-T_s)</t>
  </si>
  <si>
    <t>ksmin</t>
  </si>
  <si>
    <t>ks</t>
  </si>
  <si>
    <t>tabel1e p36</t>
  </si>
  <si>
    <t>T</t>
  </si>
  <si>
    <t>tabel1e p37</t>
  </si>
  <si>
    <t>da</t>
  </si>
  <si>
    <t>tabel1e p38</t>
  </si>
  <si>
    <t>s_r</t>
  </si>
  <si>
    <t>tabel1e p39</t>
  </si>
  <si>
    <t>control T</t>
  </si>
  <si>
    <t>q_s</t>
  </si>
  <si>
    <t>q_s&gt;=q_s,d ?</t>
  </si>
  <si>
    <t>T_onder [°C]</t>
  </si>
  <si>
    <t>(T_w-T_onder)</t>
  </si>
  <si>
    <t>k_i [W/m²K]</t>
  </si>
  <si>
    <t>geschat!!</t>
  </si>
  <si>
    <t>q_i [W/m²]</t>
  </si>
  <si>
    <t>L_r [m]</t>
  </si>
  <si>
    <t>Q [W]</t>
  </si>
  <si>
    <t>D[l/s]</t>
  </si>
  <si>
    <t>v [m/s]</t>
  </si>
  <si>
    <t>Samenvatting parameters model</t>
  </si>
  <si>
    <t>kamer</t>
  </si>
  <si>
    <t>1</t>
  </si>
  <si>
    <t>2</t>
  </si>
  <si>
    <t>T=</t>
  </si>
  <si>
    <t>d_a</t>
  </si>
  <si>
    <t>S_1</t>
  </si>
  <si>
    <t>S_2</t>
  </si>
  <si>
    <t>A_floor</t>
  </si>
  <si>
    <t>lambda_b</t>
  </si>
  <si>
    <t>c_b</t>
  </si>
  <si>
    <t>rho_b</t>
  </si>
  <si>
    <t>flowspeed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</si>
  <si>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</si>
  <si>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</si>
  <si>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</si>
  <si>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</si>
  <si>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</si>
  <si>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</si>
  <si>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</si>
  <si>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</si>
  <si>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</si>
  <si>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</si>
  <si>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Day</t>
  </si>
  <si>
    <t>Night</t>
  </si>
  <si>
    <t>external dimensions!</t>
  </si>
  <si>
    <t>opgelet: dikte = 0.06 cm screed!!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</si>
  <si>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</si>
  <si>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</si>
  <si>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</si>
  <si>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</si>
  <si>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</si>
  <si>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</si>
  <si>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</si>
  <si>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</si>
  <si>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</si>
  <si>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</si>
  <si>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</si>
  <si>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</si>
  <si>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</si>
  <si>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</si>
  <si>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</si>
  <si>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</si>
  <si>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</si>
  <si>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</si>
  <si>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</si>
  <si>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</si>
  <si>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</si>
  <si>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</si>
  <si>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</si>
  <si>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</si>
  <si>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</si>
  <si>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</si>
  <si>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</si>
  <si>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</si>
  <si>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</si>
  <si>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</si>
  <si>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</si>
  <si>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</si>
  <si>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</si>
  <si>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</si>
  <si>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f3N</t>
  </si>
  <si>
    <t>hwN</t>
  </si>
  <si>
    <t>hwiN</t>
  </si>
  <si>
    <t>infN</t>
  </si>
  <si>
    <t>UwN</t>
  </si>
  <si>
    <t>abs5D</t>
  </si>
  <si>
    <t>abs5N</t>
  </si>
  <si>
    <t>CfiD </t>
  </si>
  <si>
    <t>CfiN</t>
  </si>
  <si>
    <t>f5D </t>
  </si>
  <si>
    <t>f5N </t>
  </si>
  <si>
    <t>UfDN</t>
  </si>
  <si>
    <t>Ufi</t>
  </si>
  <si>
    <t>UfND</t>
  </si>
  <si>
    <t>Check absD</t>
  </si>
  <si>
    <t>Check fi</t>
  </si>
  <si>
    <t>=</t>
  </si>
  <si>
    <t xml:space="preserve"> </t>
  </si>
  <si>
    <t>Physpar</t>
  </si>
  <si>
    <t>DAYZONE 5B</t>
  </si>
  <si>
    <t>7B,7C,8A</t>
  </si>
  <si>
    <t>UA_D</t>
  </si>
  <si>
    <t>UA_N</t>
  </si>
  <si>
    <t>vent_D</t>
  </si>
  <si>
    <t>vent_N</t>
  </si>
  <si>
    <t>Cw_D</t>
  </si>
  <si>
    <t>Cw_N</t>
  </si>
  <si>
    <t>Cwi_D</t>
  </si>
  <si>
    <t>Cwi_N</t>
  </si>
  <si>
    <t>hwi_D</t>
  </si>
  <si>
    <t>hwi_N</t>
  </si>
  <si>
    <t>Ctot</t>
  </si>
  <si>
    <t>LossTotal</t>
  </si>
  <si>
    <t>Cair_D</t>
  </si>
  <si>
    <t>Cair_N</t>
  </si>
  <si>
    <t>Nightzone</t>
  </si>
  <si>
    <t>ctot</t>
  </si>
  <si>
    <t>Ufl=</t>
  </si>
  <si>
    <t>Uar=</t>
  </si>
  <si>
    <t>losstotal</t>
  </si>
  <si>
    <t>FITTED</t>
  </si>
  <si>
    <t>hr_wewi</t>
  </si>
  <si>
    <t>hr_wefi</t>
  </si>
  <si>
    <t>hr_wefl</t>
  </si>
  <si>
    <t>hr_wifi</t>
  </si>
  <si>
    <t>hr_wifl</t>
  </si>
  <si>
    <t>hr_flfi</t>
  </si>
  <si>
    <t>Ti0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</si>
  <si>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</si>
  <si>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</si>
  <si>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</si>
  <si>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</si>
  <si>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</si>
  <si>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</si>
  <si>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</si>
  <si>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</si>
  <si>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</si>
  <si>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</si>
  <si>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</si>
  <si>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</si>
  <si>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</si>
  <si>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</si>
  <si>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</si>
  <si>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</si>
  <si>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</si>
  <si>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</si>
  <si>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</si>
  <si>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</si>
  <si>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</si>
  <si>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</si>
  <si>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</si>
  <si>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</si>
  <si>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</si>
  <si>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</si>
  <si>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</si>
  <si>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</si>
  <si>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</si>
  <si>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</si>
  <si>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</si>
  <si>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[1]</t>
  </si>
  <si>
    <t>DayZone_5state_B</t>
  </si>
  <si>
    <t>Coefficients:</t>
  </si>
  <si>
    <t>Estimate</t>
  </si>
  <si>
    <t>Std.</t>
  </si>
  <si>
    <t>Error</t>
  </si>
  <si>
    <t>t</t>
  </si>
  <si>
    <t>value</t>
  </si>
  <si>
    <t>&lt;2e-16</t>
  </si>
  <si>
    <t>##</t>
  </si>
  <si>
    <t>NightZone_4state_B</t>
  </si>
  <si>
    <t>Pr(&gt;|t|)</t>
  </si>
  <si>
    <t>&lt;</t>
  </si>
  <si>
    <t>***</t>
  </si>
  <si>
    <t>*</t>
  </si>
  <si>
    <t>MultiZoneWall_2state_B</t>
  </si>
  <si>
    <t>TfiD0</t>
  </si>
  <si>
    <t>TfiN0</t>
  </si>
  <si>
    <t>CfiD</t>
  </si>
  <si>
    <t>**</t>
  </si>
  <si>
    <t>e66</t>
  </si>
  <si>
    <t>f5D</t>
  </si>
  <si>
    <t>f5N</t>
  </si>
  <si>
    <t>p99</t>
  </si>
  <si>
    <t>MultiZone_8state_A</t>
  </si>
  <si>
    <t>TiD0</t>
  </si>
  <si>
    <t>TwD0</t>
  </si>
  <si>
    <t>TwiD0</t>
  </si>
  <si>
    <t>TiN0</t>
  </si>
  <si>
    <t>TwN0</t>
  </si>
  <si>
    <t>TwiN0</t>
  </si>
  <si>
    <t>e77</t>
  </si>
  <si>
    <t>e88</t>
  </si>
  <si>
    <t>p66</t>
  </si>
  <si>
    <t>p77</t>
  </si>
  <si>
    <t>p88</t>
  </si>
  <si>
    <t>FITTED PRBS</t>
  </si>
  <si>
    <t>RC</t>
  </si>
  <si>
    <t>GBPRBS</t>
  </si>
  <si>
    <t>GBINUSE</t>
  </si>
  <si>
    <t>SOLNEWS INUSE</t>
  </si>
  <si>
    <t>## Coefficients:</t>
  </si>
  <si>
    <t>## Estimate Std. Error t value Pr(&gt;|t|)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</si>
  <si>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</si>
  <si>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</si>
  <si>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</si>
  <si>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</si>
  <si>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</si>
  <si>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</si>
  <si>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</si>
  <si>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</si>
  <si>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</si>
  <si>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</si>
  <si>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</si>
  <si>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</si>
  <si>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</si>
  <si>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</si>
  <si>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</si>
  <si>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</si>
  <si>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</si>
  <si>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.</t>
  </si>
  <si>
    <t>NightZone_4state_E</t>
  </si>
  <si>
    <t>---</t>
  </si>
  <si>
    <t>Signif.</t>
  </si>
  <si>
    <t>codes:</t>
  </si>
  <si>
    <t>'***'</t>
  </si>
  <si>
    <t>'**'</t>
  </si>
  <si>
    <t>'</t>
  </si>
  <si>
    <t>## [1] "MultiZoneWall_2state_B"</t>
  </si>
  <si>
    <t>## TfiD0 2.90e+02 1.45e-01 1995.82 &lt; 2e-16 ***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</si>
  <si>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</si>
  <si>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</si>
  <si>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</si>
  <si>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</si>
  <si>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</si>
  <si>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</si>
  <si>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</si>
  <si>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</si>
  <si>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</si>
  <si>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</si>
  <si>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</si>
  <si>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</si>
  <si>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</si>
  <si>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</si>
  <si>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</si>
  <si>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</si>
  <si>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</si>
  <si>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</si>
  <si>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</si>
  <si>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</si>
  <si>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</si>
  <si>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</si>
  <si>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</si>
  <si>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</si>
  <si>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</si>
  <si>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</si>
  <si>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</si>
  <si>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</si>
  <si>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</si>
  <si>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</si>
  <si>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</si>
  <si>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</si>
  <si>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</si>
  <si>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</si>
  <si>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</si>
  <si>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</si>
  <si>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</si>
  <si>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</si>
  <si>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</si>
  <si>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</si>
  <si>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fframe</t>
  </si>
  <si>
    <t>UF</t>
  </si>
  <si>
    <t>plaster</t>
  </si>
  <si>
    <t>SolNESW THEO</t>
  </si>
  <si>
    <t>PARAMETERS ADR EFF</t>
  </si>
  <si>
    <t>CTOT</t>
  </si>
  <si>
    <t>dBrickInner</t>
  </si>
  <si>
    <t>dInnerWall</t>
  </si>
  <si>
    <t>fracOversize</t>
  </si>
  <si>
    <t>HLC</t>
  </si>
  <si>
    <t>HLC/CTOT</t>
  </si>
  <si>
    <t>intWallratio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</si>
</sst>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4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8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u/>
      <sz val="11"/>
      <color rgb="FF7F7F7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</patternFill>
    </fill>
  </fills>
  <borders count="37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9" fontId="25" fillId="0" borderId="0"/>
    <xf numFmtId="0" fontId="19" fillId="0" borderId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8" fillId="17" borderId="0" applyNumberFormat="0" applyBorder="0" applyAlignment="0" applyProtection="0"/>
    <xf numFmtId="0" fontId="29" fillId="18" borderId="0" applyNumberFormat="0" applyBorder="0" applyAlignment="0" applyProtection="0"/>
    <xf numFmtId="0" fontId="31" fillId="19" borderId="23" applyNumberFormat="0" applyAlignment="0" applyProtection="0"/>
    <xf numFmtId="0" fontId="32" fillId="20" borderId="23" applyNumberFormat="0" applyAlignment="0" applyProtection="0"/>
    <xf numFmtId="0" fontId="33" fillId="21" borderId="24" applyNumberFormat="0" applyAlignment="0" applyProtection="0"/>
    <xf numFmtId="0" fontId="35" fillId="0" borderId="0" applyNumberFormat="0" applyFill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5" fillId="0" borderId="0"/>
    <xf numFmtId="0" fontId="5" fillId="22" borderId="25" applyNumberFormat="0" applyFont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30" fillId="29" borderId="0" applyNumberFormat="0" applyBorder="0" applyAlignment="0" applyProtection="0"/>
    <xf numFmtId="0" fontId="36" fillId="34" borderId="0" applyNumberFormat="0" applyBorder="0" applyAlignment="0" applyProtection="0"/>
  </cellStyleXfs>
  <cellXfs count="333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7" fillId="10" borderId="0" xfId="2" applyFont="1" applyFill="1" applyBorder="1" applyAlignment="1" applyProtection="1">
      <alignment horizontal="center"/>
    </xf>
    <xf numFmtId="0" fontId="8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5" fillId="3" borderId="6" xfId="2" applyFont="1" applyFill="1" applyBorder="1" applyAlignment="1" applyProtection="1"/>
    <xf numFmtId="2" fontId="25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8" fillId="0" borderId="0" xfId="2" applyNumberFormat="1" applyFont="1" applyFill="1" applyBorder="1" applyAlignment="1" applyProtection="1">
      <alignment horizontal="center"/>
    </xf>
    <xf numFmtId="0" fontId="8" fillId="0" borderId="0" xfId="2" applyFont="1" applyFill="1" applyBorder="1" applyAlignment="1" applyProtection="1"/>
    <xf numFmtId="0" fontId="8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5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5" fillId="3" borderId="4" xfId="2" applyNumberFormat="1" applyFont="1" applyFill="1" applyBorder="1" applyAlignment="1" applyProtection="1">
      <alignment horizontal="center"/>
    </xf>
    <xf numFmtId="0" fontId="25" fillId="3" borderId="8" xfId="2" applyFont="1" applyFill="1" applyBorder="1" applyAlignment="1" applyProtection="1"/>
    <xf numFmtId="0" fontId="9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8" fillId="0" borderId="0" xfId="2" applyNumberFormat="1" applyFont="1" applyFill="1" applyBorder="1" applyAlignment="1" applyProtection="1"/>
    <xf numFmtId="2" fontId="8" fillId="10" borderId="0" xfId="2" applyNumberFormat="1" applyFont="1" applyFill="1" applyBorder="1" applyAlignment="1" applyProtection="1"/>
    <xf numFmtId="0" fontId="0" fillId="0" borderId="7" xfId="0" applyBorder="1"/>
    <xf numFmtId="0" fontId="10" fillId="0" borderId="4" xfId="0" applyFont="1" applyBorder="1"/>
    <xf numFmtId="0" fontId="10" fillId="0" borderId="8" xfId="0" applyFont="1" applyBorder="1"/>
    <xf numFmtId="1" fontId="25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5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7" fillId="4" borderId="0" xfId="2" applyFont="1" applyFill="1" applyBorder="1" applyAlignment="1" applyProtection="1"/>
    <xf numFmtId="2" fontId="7" fillId="4" borderId="0" xfId="2" applyNumberFormat="1" applyFont="1" applyFill="1" applyBorder="1" applyAlignment="1" applyProtection="1"/>
    <xf numFmtId="0" fontId="0" fillId="0" borderId="10" xfId="0" applyBorder="1"/>
    <xf numFmtId="0" fontId="7" fillId="2" borderId="0" xfId="2" applyFont="1" applyFill="1" applyBorder="1" applyAlignment="1" applyProtection="1">
      <alignment horizontal="center"/>
    </xf>
    <xf numFmtId="0" fontId="25" fillId="5" borderId="0" xfId="2" applyFont="1" applyFill="1" applyBorder="1" applyAlignment="1" applyProtection="1">
      <alignment horizontal="center"/>
    </xf>
    <xf numFmtId="1" fontId="25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5" fillId="5" borderId="0" xfId="2" applyNumberFormat="1" applyFont="1" applyFill="1" applyBorder="1" applyAlignment="1" applyProtection="1">
      <alignment horizontal="center"/>
    </xf>
    <xf numFmtId="0" fontId="25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5" fillId="0" borderId="1" xfId="2" applyFont="1" applyFill="1" applyBorder="1" applyAlignment="1" applyProtection="1"/>
    <xf numFmtId="0" fontId="7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5" fillId="7" borderId="0" xfId="2" applyNumberFormat="1" applyFont="1" applyFill="1" applyBorder="1" applyAlignment="1" applyProtection="1"/>
    <xf numFmtId="9" fontId="25" fillId="7" borderId="0" xfId="2" applyNumberFormat="1" applyFont="1" applyFill="1" applyBorder="1" applyAlignment="1" applyProtection="1"/>
    <xf numFmtId="10" fontId="25" fillId="7" borderId="0" xfId="2" applyNumberFormat="1" applyFont="1" applyFill="1" applyBorder="1" applyAlignment="1" applyProtection="1"/>
    <xf numFmtId="0" fontId="7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6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7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8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16" fillId="13" borderId="14" xfId="2" applyNumberFormat="1" applyFont="1" applyFill="1" applyBorder="1" applyAlignment="1" applyProtection="1">
      <alignment horizontal="right"/>
    </xf>
    <xf numFmtId="2" fontId="20" fillId="14" borderId="14" xfId="2" applyNumberFormat="1" applyFont="1" applyFill="1" applyBorder="1" applyAlignment="1" applyProtection="1">
      <alignment horizontal="right"/>
    </xf>
    <xf numFmtId="2" fontId="21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6" fillId="13" borderId="0" xfId="2" applyNumberFormat="1" applyFont="1" applyFill="1" applyBorder="1" applyAlignment="1" applyProtection="1">
      <alignment horizontal="right"/>
    </xf>
    <xf numFmtId="2" fontId="20" fillId="14" borderId="0" xfId="2" applyNumberFormat="1" applyFont="1" applyFill="1" applyBorder="1" applyAlignment="1" applyProtection="1">
      <alignment horizontal="right"/>
    </xf>
    <xf numFmtId="2" fontId="9" fillId="0" borderId="0" xfId="0" applyNumberFormat="1" applyFont="1" applyBorder="1"/>
    <xf numFmtId="2" fontId="10" fillId="0" borderId="0" xfId="0" applyNumberFormat="1" applyFont="1" applyBorder="1"/>
    <xf numFmtId="2" fontId="16" fillId="13" borderId="15" xfId="2" applyNumberFormat="1" applyFont="1" applyFill="1" applyBorder="1" applyAlignment="1" applyProtection="1"/>
    <xf numFmtId="2" fontId="20" fillId="14" borderId="15" xfId="2" applyNumberFormat="1" applyFont="1" applyFill="1" applyBorder="1" applyAlignment="1" applyProtection="1"/>
    <xf numFmtId="2" fontId="21" fillId="15" borderId="0" xfId="0" applyNumberFormat="1" applyFont="1" applyFill="1" applyBorder="1" applyAlignment="1" applyProtection="1"/>
    <xf numFmtId="2" fontId="8" fillId="0" borderId="0" xfId="0" applyNumberFormat="1" applyFont="1" applyBorder="1" applyAlignment="1" applyProtection="1">
      <alignment horizontal="left"/>
    </xf>
    <xf numFmtId="2" fontId="8" fillId="0" borderId="0" xfId="0" applyNumberFormat="1" applyFont="1" applyBorder="1" applyAlignment="1" applyProtection="1"/>
    <xf numFmtId="2" fontId="16" fillId="13" borderId="14" xfId="2" applyNumberFormat="1" applyFont="1" applyFill="1" applyBorder="1" applyAlignment="1" applyProtection="1"/>
    <xf numFmtId="2" fontId="20" fillId="14" borderId="14" xfId="2" applyNumberFormat="1" applyFont="1" applyFill="1" applyBorder="1" applyAlignment="1" applyProtection="1"/>
    <xf numFmtId="2" fontId="16" fillId="13" borderId="16" xfId="2" applyNumberFormat="1" applyFont="1" applyFill="1" applyBorder="1" applyAlignment="1" applyProtection="1"/>
    <xf numFmtId="2" fontId="21" fillId="15" borderId="2" xfId="0" applyNumberFormat="1" applyFont="1" applyFill="1" applyBorder="1" applyAlignment="1" applyProtection="1"/>
    <xf numFmtId="2" fontId="8" fillId="11" borderId="6" xfId="0" applyNumberFormat="1" applyFont="1" applyFill="1" applyBorder="1" applyAlignment="1" applyProtection="1"/>
    <xf numFmtId="2" fontId="9" fillId="11" borderId="2" xfId="0" applyNumberFormat="1" applyFont="1" applyFill="1" applyBorder="1"/>
    <xf numFmtId="2" fontId="16" fillId="13" borderId="17" xfId="2" applyNumberFormat="1" applyFont="1" applyFill="1" applyBorder="1" applyAlignment="1" applyProtection="1"/>
    <xf numFmtId="2" fontId="22" fillId="15" borderId="0" xfId="0" applyNumberFormat="1" applyFont="1" applyFill="1" applyBorder="1" applyAlignment="1" applyProtection="1"/>
    <xf numFmtId="2" fontId="18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7" fillId="2" borderId="0" xfId="0" applyNumberFormat="1" applyFont="1" applyFill="1" applyBorder="1" applyAlignment="1" applyProtection="1"/>
    <xf numFmtId="2" fontId="0" fillId="0" borderId="2" xfId="0" applyNumberFormat="1" applyBorder="1"/>
    <xf numFmtId="2" fontId="20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6" fillId="13" borderId="13" xfId="2" applyNumberFormat="1" applyFont="1" applyFill="1" applyBorder="1" applyAlignment="1" applyProtection="1">
      <alignment horizontal="right"/>
    </xf>
    <xf numFmtId="2" fontId="16" fillId="13" borderId="16" xfId="2" applyNumberFormat="1" applyFont="1" applyFill="1" applyBorder="1" applyAlignment="1" applyProtection="1">
      <alignment horizontal="right"/>
    </xf>
    <xf numFmtId="2" fontId="20" fillId="14" borderId="19" xfId="2" applyNumberFormat="1" applyFont="1" applyFill="1" applyBorder="1" applyAlignment="1" applyProtection="1">
      <alignment horizontal="right"/>
    </xf>
    <xf numFmtId="2" fontId="16" fillId="13" borderId="20" xfId="2" applyNumberFormat="1" applyFont="1" applyFill="1" applyBorder="1" applyAlignment="1" applyProtection="1"/>
    <xf numFmtId="2" fontId="9" fillId="0" borderId="2" xfId="0" applyNumberFormat="1" applyFont="1" applyBorder="1"/>
    <xf numFmtId="2" fontId="8" fillId="11" borderId="0" xfId="0" applyNumberFormat="1" applyFont="1" applyFill="1" applyBorder="1" applyAlignment="1" applyProtection="1"/>
    <xf numFmtId="0" fontId="9" fillId="0" borderId="0" xfId="0" applyFont="1"/>
    <xf numFmtId="0" fontId="23" fillId="0" borderId="0" xfId="0" applyFont="1"/>
    <xf numFmtId="0" fontId="24" fillId="0" borderId="0" xfId="0" applyFont="1"/>
    <xf numFmtId="167" fontId="0" fillId="0" borderId="0" xfId="0" applyNumberFormat="1"/>
    <xf numFmtId="168" fontId="0" fillId="0" borderId="0" xfId="0" applyNumberFormat="1"/>
    <xf numFmtId="166" fontId="0" fillId="7" borderId="0" xfId="2" applyNumberFormat="1" applyFont="1" applyFill="1" applyBorder="1" applyAlignment="1" applyProtection="1"/>
    <xf numFmtId="0" fontId="5" fillId="0" borderId="0" xfId="13"/>
    <xf numFmtId="0" fontId="27" fillId="0" borderId="22" xfId="4"/>
    <xf numFmtId="0" fontId="37" fillId="0" borderId="22" xfId="4" applyFont="1"/>
    <xf numFmtId="0" fontId="31" fillId="19" borderId="23" xfId="7"/>
    <xf numFmtId="2" fontId="31" fillId="19" borderId="23" xfId="7" applyNumberFormat="1"/>
    <xf numFmtId="0" fontId="36" fillId="23" borderId="0" xfId="11"/>
    <xf numFmtId="0" fontId="32" fillId="20" borderId="23" xfId="8"/>
    <xf numFmtId="2" fontId="32" fillId="20" borderId="23" xfId="8" applyNumberFormat="1"/>
    <xf numFmtId="0" fontId="31" fillId="25" borderId="23" xfId="7" applyFill="1"/>
    <xf numFmtId="2" fontId="31" fillId="25" borderId="23" xfId="7" applyNumberFormat="1" applyFill="1"/>
    <xf numFmtId="2" fontId="37" fillId="25" borderId="23" xfId="7" applyNumberFormat="1" applyFont="1" applyFill="1"/>
    <xf numFmtId="0" fontId="37" fillId="19" borderId="23" xfId="7" applyFont="1"/>
    <xf numFmtId="0" fontId="36" fillId="24" borderId="0" xfId="12"/>
    <xf numFmtId="0" fontId="35" fillId="25" borderId="25" xfId="14" applyFont="1" applyFill="1"/>
    <xf numFmtId="0" fontId="35" fillId="25" borderId="25" xfId="10" applyFill="1" applyBorder="1"/>
    <xf numFmtId="0" fontId="37" fillId="20" borderId="23" xfId="8" applyFont="1"/>
    <xf numFmtId="0" fontId="32" fillId="20" borderId="26" xfId="8" applyBorder="1"/>
    <xf numFmtId="0" fontId="34" fillId="22" borderId="25" xfId="14" applyFont="1"/>
    <xf numFmtId="0" fontId="28" fillId="17" borderId="23" xfId="5" applyBorder="1"/>
    <xf numFmtId="0" fontId="33" fillId="21" borderId="24" xfId="9"/>
    <xf numFmtId="0" fontId="35" fillId="0" borderId="0" xfId="10"/>
    <xf numFmtId="0" fontId="38" fillId="19" borderId="23" xfId="7" applyFont="1"/>
    <xf numFmtId="0" fontId="30" fillId="22" borderId="25" xfId="14" applyFont="1"/>
    <xf numFmtId="0" fontId="37" fillId="22" borderId="25" xfId="14" applyFont="1"/>
    <xf numFmtId="0" fontId="37" fillId="25" borderId="23" xfId="7" applyFont="1" applyFill="1"/>
    <xf numFmtId="0" fontId="38" fillId="25" borderId="23" xfId="7" applyFont="1" applyFill="1"/>
    <xf numFmtId="0" fontId="39" fillId="0" borderId="0" xfId="10" applyFont="1"/>
    <xf numFmtId="0" fontId="40" fillId="0" borderId="0" xfId="13" applyFont="1"/>
    <xf numFmtId="0" fontId="31" fillId="22" borderId="25" xfId="14" applyFont="1"/>
    <xf numFmtId="0" fontId="36" fillId="24" borderId="25" xfId="12" applyBorder="1"/>
    <xf numFmtId="0" fontId="41" fillId="22" borderId="25" xfId="14" applyFont="1"/>
    <xf numFmtId="0" fontId="29" fillId="18" borderId="23" xfId="6" applyBorder="1"/>
    <xf numFmtId="0" fontId="31" fillId="19" borderId="0" xfId="7" applyBorder="1"/>
    <xf numFmtId="0" fontId="37" fillId="0" borderId="0" xfId="13" applyFont="1"/>
    <xf numFmtId="0" fontId="31" fillId="25" borderId="0" xfId="7" applyFill="1" applyBorder="1"/>
    <xf numFmtId="0" fontId="5" fillId="25" borderId="0" xfId="13" applyFill="1"/>
    <xf numFmtId="0" fontId="37" fillId="25" borderId="0" xfId="13" applyFont="1" applyFill="1"/>
    <xf numFmtId="0" fontId="26" fillId="0" borderId="21" xfId="3"/>
    <xf numFmtId="0" fontId="5" fillId="0" borderId="0" xfId="13" applyAlignment="1">
      <alignment horizontal="center"/>
    </xf>
    <xf numFmtId="0" fontId="41" fillId="0" borderId="0" xfId="13" applyFont="1" applyAlignment="1">
      <alignment horizontal="center"/>
    </xf>
    <xf numFmtId="0" fontId="5" fillId="0" borderId="0" xfId="13" applyBorder="1" applyAlignment="1">
      <alignment horizontal="center"/>
    </xf>
    <xf numFmtId="2" fontId="0" fillId="11" borderId="6" xfId="0" applyNumberFormat="1" applyFill="1" applyBorder="1" applyAlignment="1"/>
    <xf numFmtId="0" fontId="31" fillId="25" borderId="23" xfId="7" applyNumberFormat="1" applyFill="1"/>
    <xf numFmtId="0" fontId="31" fillId="26" borderId="23" xfId="7" applyFill="1"/>
    <xf numFmtId="0" fontId="5" fillId="26" borderId="0" xfId="13" applyFill="1"/>
    <xf numFmtId="0" fontId="4" fillId="27" borderId="0" xfId="15"/>
    <xf numFmtId="0" fontId="4" fillId="28" borderId="0" xfId="16" quotePrefix="1"/>
    <xf numFmtId="0" fontId="4" fillId="28" borderId="0" xfId="16" applyFont="1"/>
    <xf numFmtId="0" fontId="4" fillId="28" borderId="0" xfId="16"/>
    <xf numFmtId="0" fontId="4" fillId="27" borderId="0" xfId="15" applyFont="1"/>
    <xf numFmtId="11" fontId="0" fillId="0" borderId="0" xfId="0" applyNumberFormat="1"/>
    <xf numFmtId="43" fontId="4" fillId="27" borderId="0" xfId="15" applyNumberFormat="1"/>
    <xf numFmtId="165" fontId="4" fillId="27" borderId="0" xfId="15" applyNumberFormat="1"/>
    <xf numFmtId="43" fontId="3" fillId="27" borderId="0" xfId="15" applyNumberFormat="1" applyFont="1"/>
    <xf numFmtId="0" fontId="42" fillId="0" borderId="0" xfId="0" applyFont="1"/>
    <xf numFmtId="0" fontId="2" fillId="28" borderId="0" xfId="16" applyFont="1"/>
    <xf numFmtId="0" fontId="29" fillId="18" borderId="0" xfId="6"/>
    <xf numFmtId="11" fontId="29" fillId="18" borderId="0" xfId="6" applyNumberFormat="1"/>
    <xf numFmtId="0" fontId="30" fillId="29" borderId="0" xfId="17"/>
    <xf numFmtId="0" fontId="1" fillId="28" borderId="0" xfId="16" applyFont="1"/>
    <xf numFmtId="0" fontId="0" fillId="31" borderId="2" xfId="2" applyFont="1" applyFill="1" applyBorder="1" applyAlignment="1" applyProtection="1"/>
    <xf numFmtId="0" fontId="25" fillId="31" borderId="0" xfId="2" applyFont="1" applyFill="1" applyBorder="1" applyAlignment="1" applyProtection="1"/>
    <xf numFmtId="2" fontId="25" fillId="31" borderId="0" xfId="2" applyNumberFormat="1" applyFont="1" applyFill="1" applyBorder="1" applyAlignment="1" applyProtection="1"/>
    <xf numFmtId="0" fontId="0" fillId="31" borderId="11" xfId="2" applyFont="1" applyFill="1" applyBorder="1" applyAlignment="1" applyProtection="1"/>
    <xf numFmtId="0" fontId="9" fillId="32" borderId="9" xfId="0" applyFont="1" applyFill="1" applyBorder="1"/>
    <xf numFmtId="0" fontId="0" fillId="32" borderId="10" xfId="0" applyFill="1" applyBorder="1"/>
    <xf numFmtId="0" fontId="0" fillId="32" borderId="2" xfId="0" applyFill="1" applyBorder="1"/>
    <xf numFmtId="0" fontId="0" fillId="32" borderId="0" xfId="0" applyFill="1" applyBorder="1"/>
    <xf numFmtId="0" fontId="0" fillId="32" borderId="11" xfId="0" applyFill="1" applyBorder="1"/>
    <xf numFmtId="0" fontId="0" fillId="31" borderId="5" xfId="2" applyFont="1" applyFill="1" applyBorder="1" applyAlignment="1" applyProtection="1"/>
    <xf numFmtId="1" fontId="25" fillId="31" borderId="6" xfId="2" applyNumberFormat="1" applyFont="1" applyFill="1" applyBorder="1" applyAlignment="1" applyProtection="1"/>
    <xf numFmtId="0" fontId="0" fillId="31" borderId="0" xfId="2" applyFont="1" applyFill="1" applyBorder="1" applyAlignment="1" applyProtection="1"/>
    <xf numFmtId="0" fontId="0" fillId="32" borderId="2" xfId="0" applyFont="1" applyFill="1" applyBorder="1"/>
    <xf numFmtId="10" fontId="0" fillId="32" borderId="0" xfId="0" applyNumberFormat="1" applyFill="1" applyBorder="1"/>
    <xf numFmtId="2" fontId="0" fillId="32" borderId="11" xfId="0" applyNumberFormat="1" applyFill="1" applyBorder="1"/>
    <xf numFmtId="166" fontId="0" fillId="32" borderId="0" xfId="0" applyNumberFormat="1" applyFill="1" applyBorder="1"/>
    <xf numFmtId="0" fontId="0" fillId="32" borderId="11" xfId="0" applyFont="1" applyFill="1" applyBorder="1"/>
    <xf numFmtId="0" fontId="0" fillId="32" borderId="0" xfId="0" applyFont="1" applyFill="1" applyBorder="1"/>
    <xf numFmtId="2" fontId="0" fillId="32" borderId="11" xfId="0" applyNumberFormat="1" applyFont="1" applyFill="1" applyBorder="1"/>
    <xf numFmtId="0" fontId="0" fillId="31" borderId="5" xfId="2" applyFont="1" applyFill="1" applyBorder="1" applyAlignment="1" applyProtection="1">
      <alignment horizontal="right"/>
    </xf>
    <xf numFmtId="0" fontId="25" fillId="31" borderId="6" xfId="2" applyFont="1" applyFill="1" applyBorder="1" applyAlignment="1" applyProtection="1"/>
    <xf numFmtId="0" fontId="0" fillId="31" borderId="3" xfId="2" applyFont="1" applyFill="1" applyBorder="1" applyAlignment="1" applyProtection="1"/>
    <xf numFmtId="0" fontId="0" fillId="32" borderId="2" xfId="0" applyFont="1" applyFill="1" applyBorder="1" applyAlignment="1">
      <alignment horizontal="right"/>
    </xf>
    <xf numFmtId="0" fontId="0" fillId="32" borderId="9" xfId="0" applyFill="1" applyBorder="1"/>
    <xf numFmtId="2" fontId="0" fillId="32" borderId="0" xfId="0" applyNumberFormat="1" applyFont="1" applyFill="1" applyBorder="1"/>
    <xf numFmtId="9" fontId="0" fillId="32" borderId="0" xfId="1" applyFont="1" applyFill="1" applyBorder="1" applyAlignment="1" applyProtection="1"/>
    <xf numFmtId="2" fontId="0" fillId="32" borderId="0" xfId="0" applyNumberFormat="1" applyFill="1" applyBorder="1"/>
    <xf numFmtId="2" fontId="25" fillId="31" borderId="6" xfId="2" applyNumberFormat="1" applyFont="1" applyFill="1" applyBorder="1" applyAlignment="1" applyProtection="1"/>
    <xf numFmtId="0" fontId="0" fillId="32" borderId="12" xfId="0" applyFill="1" applyBorder="1"/>
    <xf numFmtId="0" fontId="0" fillId="31" borderId="9" xfId="2" applyFont="1" applyFill="1" applyBorder="1" applyAlignment="1" applyProtection="1">
      <alignment horizontal="center"/>
    </xf>
    <xf numFmtId="0" fontId="0" fillId="31" borderId="10" xfId="2" applyFont="1" applyFill="1" applyBorder="1" applyAlignment="1" applyProtection="1">
      <alignment horizontal="center"/>
    </xf>
    <xf numFmtId="0" fontId="0" fillId="31" borderId="12" xfId="2" applyFont="1" applyFill="1" applyBorder="1" applyAlignment="1" applyProtection="1">
      <alignment horizontal="center"/>
    </xf>
    <xf numFmtId="0" fontId="0" fillId="32" borderId="5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2" fontId="0" fillId="32" borderId="6" xfId="0" applyNumberFormat="1" applyFill="1" applyBorder="1" applyAlignment="1">
      <alignment horizontal="center"/>
    </xf>
    <xf numFmtId="49" fontId="0" fillId="32" borderId="3" xfId="0" applyNumberFormat="1" applyFont="1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2" fontId="0" fillId="32" borderId="0" xfId="0" applyNumberFormat="1" applyFill="1" applyBorder="1" applyAlignment="1">
      <alignment horizontal="center"/>
    </xf>
    <xf numFmtId="49" fontId="0" fillId="32" borderId="11" xfId="0" applyNumberFormat="1" applyFont="1" applyFill="1" applyBorder="1" applyAlignment="1">
      <alignment horizontal="center"/>
    </xf>
    <xf numFmtId="164" fontId="6" fillId="32" borderId="0" xfId="2" applyNumberFormat="1" applyFont="1" applyFill="1" applyBorder="1" applyAlignment="1" applyProtection="1">
      <alignment vertical="center"/>
    </xf>
    <xf numFmtId="0" fontId="0" fillId="32" borderId="9" xfId="0" applyFill="1" applyBorder="1" applyAlignment="1">
      <alignment horizontal="center"/>
    </xf>
    <xf numFmtId="0" fontId="0" fillId="32" borderId="10" xfId="0" applyFill="1" applyBorder="1" applyAlignment="1">
      <alignment horizontal="center"/>
    </xf>
    <xf numFmtId="49" fontId="0" fillId="32" borderId="12" xfId="0" applyNumberFormat="1" applyFont="1" applyFill="1" applyBorder="1"/>
    <xf numFmtId="0" fontId="0" fillId="32" borderId="0" xfId="0" applyFill="1"/>
    <xf numFmtId="0" fontId="8" fillId="32" borderId="10" xfId="2" applyFont="1" applyFill="1" applyBorder="1" applyAlignment="1" applyProtection="1"/>
    <xf numFmtId="0" fontId="0" fillId="31" borderId="7" xfId="2" applyFont="1" applyFill="1" applyBorder="1" applyAlignment="1" applyProtection="1"/>
    <xf numFmtId="0" fontId="25" fillId="31" borderId="4" xfId="2" applyFont="1" applyFill="1" applyBorder="1" applyAlignment="1" applyProtection="1"/>
    <xf numFmtId="0" fontId="0" fillId="31" borderId="4" xfId="2" applyFont="1" applyFill="1" applyBorder="1" applyAlignment="1" applyProtection="1">
      <alignment horizontal="right"/>
    </xf>
    <xf numFmtId="165" fontId="25" fillId="31" borderId="4" xfId="2" applyNumberFormat="1" applyFont="1" applyFill="1" applyBorder="1" applyAlignment="1" applyProtection="1">
      <alignment horizontal="center"/>
    </xf>
    <xf numFmtId="0" fontId="25" fillId="31" borderId="8" xfId="2" applyFont="1" applyFill="1" applyBorder="1" applyAlignment="1" applyProtection="1"/>
    <xf numFmtId="0" fontId="0" fillId="32" borderId="7" xfId="0" applyFill="1" applyBorder="1"/>
    <xf numFmtId="0" fontId="10" fillId="32" borderId="4" xfId="0" applyFont="1" applyFill="1" applyBorder="1"/>
    <xf numFmtId="0" fontId="10" fillId="32" borderId="8" xfId="0" applyFont="1" applyFill="1" applyBorder="1"/>
    <xf numFmtId="165" fontId="0" fillId="32" borderId="0" xfId="0" applyNumberFormat="1" applyFill="1" applyBorder="1"/>
    <xf numFmtId="165" fontId="0" fillId="32" borderId="10" xfId="0" applyNumberFormat="1" applyFill="1" applyBorder="1"/>
    <xf numFmtId="0" fontId="0" fillId="32" borderId="6" xfId="0" applyFill="1" applyBorder="1"/>
    <xf numFmtId="0" fontId="0" fillId="32" borderId="5" xfId="0" applyFont="1" applyFill="1" applyBorder="1"/>
    <xf numFmtId="0" fontId="0" fillId="32" borderId="6" xfId="0" applyFont="1" applyFill="1" applyBorder="1"/>
    <xf numFmtId="165" fontId="0" fillId="32" borderId="6" xfId="0" applyNumberFormat="1" applyFill="1" applyBorder="1"/>
    <xf numFmtId="0" fontId="0" fillId="32" borderId="3" xfId="0" applyFill="1" applyBorder="1"/>
    <xf numFmtId="0" fontId="0" fillId="31" borderId="4" xfId="2" applyFont="1" applyFill="1" applyBorder="1" applyAlignment="1" applyProtection="1">
      <alignment horizontal="center"/>
    </xf>
    <xf numFmtId="0" fontId="0" fillId="32" borderId="3" xfId="0" applyFont="1" applyFill="1" applyBorder="1"/>
    <xf numFmtId="0" fontId="8" fillId="32" borderId="0" xfId="2" applyFont="1" applyFill="1" applyBorder="1" applyAlignment="1" applyProtection="1"/>
    <xf numFmtId="0" fontId="0" fillId="31" borderId="30" xfId="2" applyFont="1" applyFill="1" applyBorder="1" applyAlignment="1" applyProtection="1"/>
    <xf numFmtId="0" fontId="25" fillId="31" borderId="31" xfId="2" applyFont="1" applyFill="1" applyBorder="1" applyAlignment="1" applyProtection="1"/>
    <xf numFmtId="0" fontId="0" fillId="31" borderId="31" xfId="2" applyFont="1" applyFill="1" applyBorder="1" applyAlignment="1" applyProtection="1">
      <alignment horizontal="right"/>
    </xf>
    <xf numFmtId="0" fontId="0" fillId="31" borderId="31" xfId="2" applyFont="1" applyFill="1" applyBorder="1" applyAlignment="1" applyProtection="1">
      <alignment horizontal="center"/>
    </xf>
    <xf numFmtId="0" fontId="25" fillId="31" borderId="32" xfId="2" applyFont="1" applyFill="1" applyBorder="1" applyAlignment="1" applyProtection="1"/>
    <xf numFmtId="0" fontId="0" fillId="32" borderId="33" xfId="0" applyFill="1" applyBorder="1"/>
    <xf numFmtId="0" fontId="10" fillId="32" borderId="34" xfId="0" applyFont="1" applyFill="1" applyBorder="1"/>
    <xf numFmtId="0" fontId="10" fillId="32" borderId="35" xfId="0" applyFont="1" applyFill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5" borderId="0" xfId="0" applyFill="1"/>
    <xf numFmtId="11" fontId="0" fillId="25" borderId="0" xfId="0" applyNumberFormat="1" applyFill="1"/>
    <xf numFmtId="11" fontId="30" fillId="29" borderId="0" xfId="17" applyNumberFormat="1" applyAlignment="1">
      <alignment horizontal="right"/>
    </xf>
    <xf numFmtId="11" fontId="30" fillId="29" borderId="0" xfId="17" applyNumberFormat="1"/>
    <xf numFmtId="165" fontId="30" fillId="29" borderId="0" xfId="17" applyNumberFormat="1" applyAlignment="1">
      <alignment horizontal="right"/>
    </xf>
    <xf numFmtId="2" fontId="30" fillId="29" borderId="0" xfId="17" applyNumberFormat="1" applyAlignment="1">
      <alignment horizontal="right"/>
    </xf>
    <xf numFmtId="1" fontId="30" fillId="29" borderId="0" xfId="17" applyNumberFormat="1" applyAlignment="1">
      <alignment horizontal="right"/>
    </xf>
    <xf numFmtId="0" fontId="30" fillId="29" borderId="0" xfId="17" applyAlignment="1">
      <alignment horizontal="right"/>
    </xf>
    <xf numFmtId="0" fontId="25" fillId="7" borderId="0" xfId="2" applyNumberFormat="1" applyFont="1" applyFill="1" applyBorder="1" applyAlignment="1" applyProtection="1"/>
    <xf numFmtId="2" fontId="0" fillId="11" borderId="6" xfId="0" applyNumberFormat="1" applyFill="1" applyBorder="1"/>
    <xf numFmtId="0" fontId="10" fillId="32" borderId="0" xfId="0" applyFont="1" applyFill="1" applyBorder="1"/>
    <xf numFmtId="0" fontId="10" fillId="32" borderId="11" xfId="0" applyFont="1" applyFill="1" applyBorder="1"/>
    <xf numFmtId="0" fontId="0" fillId="26" borderId="0" xfId="0" applyFill="1" applyBorder="1"/>
    <xf numFmtId="0" fontId="0" fillId="25" borderId="0" xfId="0" applyFill="1" applyBorder="1"/>
    <xf numFmtId="2" fontId="0" fillId="11" borderId="6" xfId="0" applyNumberFormat="1" applyFill="1" applyBorder="1"/>
    <xf numFmtId="2" fontId="42" fillId="30" borderId="0" xfId="0" applyNumberFormat="1" applyFont="1" applyFill="1" applyBorder="1" applyAlignment="1">
      <alignment horizontal="center"/>
    </xf>
    <xf numFmtId="11" fontId="32" fillId="20" borderId="23" xfId="8" applyNumberFormat="1" applyAlignment="1">
      <alignment horizontal="right"/>
    </xf>
    <xf numFmtId="165" fontId="32" fillId="20" borderId="23" xfId="8" applyNumberFormat="1" applyAlignment="1">
      <alignment horizontal="right"/>
    </xf>
    <xf numFmtId="2" fontId="32" fillId="20" borderId="23" xfId="8" applyNumberFormat="1" applyAlignment="1">
      <alignment horizontal="right"/>
    </xf>
    <xf numFmtId="1" fontId="32" fillId="20" borderId="23" xfId="8" applyNumberFormat="1" applyAlignment="1">
      <alignment horizontal="right"/>
    </xf>
    <xf numFmtId="11" fontId="32" fillId="20" borderId="23" xfId="8" applyNumberFormat="1"/>
    <xf numFmtId="0" fontId="32" fillId="20" borderId="23" xfId="8" applyAlignment="1">
      <alignment horizontal="right"/>
    </xf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7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0" fillId="11" borderId="4" xfId="0" applyNumberFormat="1" applyFont="1" applyFill="1" applyBorder="1"/>
    <xf numFmtId="2" fontId="0" fillId="11" borderId="8" xfId="0" applyNumberFormat="1" applyFont="1" applyFill="1" applyBorder="1"/>
    <xf numFmtId="2" fontId="0" fillId="11" borderId="0" xfId="0" applyNumberFormat="1" applyFont="1" applyFill="1" applyBorder="1"/>
    <xf numFmtId="2" fontId="42" fillId="30" borderId="27" xfId="0" applyNumberFormat="1" applyFont="1" applyFill="1" applyBorder="1" applyAlignment="1">
      <alignment horizontal="center"/>
    </xf>
    <xf numFmtId="2" fontId="42" fillId="30" borderId="28" xfId="0" applyNumberFormat="1" applyFont="1" applyFill="1" applyBorder="1" applyAlignment="1">
      <alignment horizontal="center"/>
    </xf>
    <xf numFmtId="2" fontId="42" fillId="30" borderId="29" xfId="0" applyNumberFormat="1" applyFont="1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26" fillId="0" borderId="21" xfId="3" applyAlignment="1">
      <alignment horizontal="center"/>
    </xf>
    <xf numFmtId="0" fontId="33" fillId="34" borderId="36" xfId="18" applyFont="1" applyBorder="1"/>
    <xf numFmtId="0" fontId="36" fillId="34" borderId="0" xfId="18"/>
    <xf numFmtId="0" fontId="36" fillId="34" borderId="36" xfId="18" applyBorder="1"/>
    <xf numFmtId="11" fontId="36" fillId="34" borderId="36" xfId="18" applyNumberFormat="1" applyBorder="1"/>
    <xf numFmtId="2" fontId="36" fillId="34" borderId="36" xfId="18" applyNumberFormat="1" applyBorder="1"/>
  </cellXfs>
  <cellStyles count="19">
    <cellStyle name="20% - Accent1" xfId="15" builtinId="30"/>
    <cellStyle name="40% - Accent1 2" xfId="16"/>
    <cellStyle name="Accent1" xfId="11" builtinId="29"/>
    <cellStyle name="Accent2" xfId="12" builtinId="33"/>
    <cellStyle name="Accent4" xfId="18" builtinId="41"/>
    <cellStyle name="Bad" xfId="6" builtinId="27"/>
    <cellStyle name="Calculation" xfId="8" builtinId="22"/>
    <cellStyle name="Check Cell" xfId="9" builtinId="23"/>
    <cellStyle name="Explanatory Text" xfId="10" builtinId="53"/>
    <cellStyle name="Good" xfId="5" builtinId="26"/>
    <cellStyle name="Heading 1" xfId="3" builtinId="16"/>
    <cellStyle name="Heading 3" xfId="4" builtinId="18"/>
    <cellStyle name="Input" xfId="7" builtinId="20"/>
    <cellStyle name="Neutral" xfId="17" builtinId="28"/>
    <cellStyle name="Normal" xfId="0" builtinId="0"/>
    <cellStyle name="Normal 2" xfId="13"/>
    <cellStyle name="Note 2" xfId="14"/>
    <cellStyle name="Percent" xfId="1" builtinId="5"/>
    <cellStyle name="TableStyleLight1" xfId="2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data'!$B$4:$B$7,'Tabula data'!$B$10,'Tabula data'!$B$14:$B$15,'Tabula data'!$B$20)</c:f>
              <c:numCache>
                <c:formatCode>General</c:formatCode>
                <c:ptCount val="8"/>
                <c:pt idx="0">
                  <c:v>258.39999999999998</c:v>
                </c:pt>
                <c:pt idx="1">
                  <c:v>710.5</c:v>
                </c:pt>
                <c:pt idx="2">
                  <c:v>558.1</c:v>
                </c:pt>
                <c:pt idx="3">
                  <c:v>161.6</c:v>
                </c:pt>
                <c:pt idx="4" formatCode="0.0">
                  <c:v>201</c:v>
                </c:pt>
                <c:pt idx="5">
                  <c:v>138.80000000000001</c:v>
                </c:pt>
                <c:pt idx="6">
                  <c:v>11.5</c:v>
                </c:pt>
                <c:pt idx="7">
                  <c:v>45.4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data'!$D$4:$D$7,'Tabula data'!$D$10,'Tabula data'!$D$14:$D$15,'Tabula data'!$D$20)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54240"/>
        <c:axId val="182956032"/>
      </c:barChart>
      <c:catAx>
        <c:axId val="182954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82956032"/>
        <c:crossesAt val="0"/>
        <c:auto val="1"/>
        <c:lblAlgn val="ctr"/>
        <c:lblOffset val="100"/>
        <c:noMultiLvlLbl val="1"/>
      </c:catAx>
      <c:valAx>
        <c:axId val="18295603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8295424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2zone'!$AP$9:$AP$12</c:f>
              <c:numCache>
                <c:formatCode>0.00E+00</c:formatCode>
                <c:ptCount val="4"/>
                <c:pt idx="0">
                  <c:v>2008375.4092879263</c:v>
                </c:pt>
                <c:pt idx="1">
                  <c:v>23146317.810000002</c:v>
                </c:pt>
                <c:pt idx="2">
                  <c:v>34102725.300000004</c:v>
                </c:pt>
                <c:pt idx="3">
                  <c:v>15401248.000000002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'Gebouwgegevens Tabula 2zone'!$BZ$9:$BZ$12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03488"/>
        <c:axId val="183509376"/>
      </c:barChart>
      <c:catAx>
        <c:axId val="18350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83509376"/>
        <c:crosses val="autoZero"/>
        <c:auto val="1"/>
        <c:lblAlgn val="ctr"/>
        <c:lblOffset val="100"/>
        <c:noMultiLvlLbl val="0"/>
      </c:catAx>
      <c:valAx>
        <c:axId val="1835093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350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2zone'!$AP$19:$AP$24</c:f>
              <c:numCache>
                <c:formatCode>General</c:formatCode>
                <c:ptCount val="6"/>
                <c:pt idx="0">
                  <c:v>502.91175202156336</c:v>
                </c:pt>
                <c:pt idx="1">
                  <c:v>441.63636363636368</c:v>
                </c:pt>
                <c:pt idx="2">
                  <c:v>599.93652733118972</c:v>
                </c:pt>
                <c:pt idx="3" formatCode="0.00">
                  <c:v>212.6360105263158</c:v>
                </c:pt>
                <c:pt idx="4">
                  <c:v>129.98879175602485</c:v>
                </c:pt>
                <c:pt idx="5">
                  <c:v>61.580281690140851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'Gebouwgegevens Tabula 2zone'!$BZ$19:$BZ$24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18720"/>
        <c:axId val="183520256"/>
      </c:barChart>
      <c:catAx>
        <c:axId val="18351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520256"/>
        <c:crosses val="autoZero"/>
        <c:auto val="1"/>
        <c:lblAlgn val="ctr"/>
        <c:lblOffset val="100"/>
        <c:noMultiLvlLbl val="0"/>
      </c:catAx>
      <c:valAx>
        <c:axId val="18352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518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'Gebouwgegevens Tabula 2zone'!$AP$44:$AP$45</c:f>
              <c:numCache>
                <c:formatCode>General</c:formatCode>
                <c:ptCount val="2"/>
                <c:pt idx="0">
                  <c:v>27839291.999999993</c:v>
                </c:pt>
                <c:pt idx="1">
                  <c:v>27839291.999999993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'Gebouwgegevens Tabula 2zone'!$AR$44:$AR$45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45216"/>
        <c:axId val="183555200"/>
      </c:barChart>
      <c:catAx>
        <c:axId val="1835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555200"/>
        <c:crosses val="autoZero"/>
        <c:auto val="1"/>
        <c:lblAlgn val="ctr"/>
        <c:lblOffset val="100"/>
        <c:noMultiLvlLbl val="0"/>
      </c:catAx>
      <c:valAx>
        <c:axId val="183555200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18354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'Gebouwgegevens Tabula 2zone'!$AP$48:$AP$50</c:f>
              <c:numCache>
                <c:formatCode>General</c:formatCode>
                <c:ptCount val="3"/>
                <c:pt idx="0">
                  <c:v>696.05542725173189</c:v>
                </c:pt>
                <c:pt idx="1">
                  <c:v>348.02771362586594</c:v>
                </c:pt>
                <c:pt idx="2">
                  <c:v>696.05542725173189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'Gebouwgegevens Tabula 2zone'!$AR$48:$AR$50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657984"/>
        <c:axId val="183659520"/>
      </c:barChart>
      <c:catAx>
        <c:axId val="183657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3659520"/>
        <c:crosses val="autoZero"/>
        <c:auto val="1"/>
        <c:lblAlgn val="ctr"/>
        <c:lblOffset val="100"/>
        <c:noMultiLvlLbl val="0"/>
      </c:catAx>
      <c:valAx>
        <c:axId val="18365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657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1'!$AO$9:$AO$12</c:f>
              <c:numCache>
                <c:formatCode>0.00E+00</c:formatCode>
                <c:ptCount val="4"/>
                <c:pt idx="0">
                  <c:v>2008375.4092879263</c:v>
                </c:pt>
                <c:pt idx="1">
                  <c:v>23146317.810000002</c:v>
                </c:pt>
                <c:pt idx="2">
                  <c:v>34102725.300000004</c:v>
                </c:pt>
                <c:pt idx="3">
                  <c:v>15401248.000000002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1'!$AQ$9:$AQ$12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2zone Ref 1'!$BY$9:$BY$12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299712"/>
        <c:axId val="189317888"/>
      </c:barChart>
      <c:catAx>
        <c:axId val="18929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17888"/>
        <c:crosses val="autoZero"/>
        <c:auto val="1"/>
        <c:lblAlgn val="ctr"/>
        <c:lblOffset val="100"/>
        <c:noMultiLvlLbl val="0"/>
      </c:catAx>
      <c:valAx>
        <c:axId val="18931788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929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1'!$AN$19:$AN$24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1'!$AO$19:$AO$24</c:f>
              <c:numCache>
                <c:formatCode>General</c:formatCode>
                <c:ptCount val="6"/>
                <c:pt idx="0">
                  <c:v>737.47138339920957</c:v>
                </c:pt>
                <c:pt idx="1">
                  <c:v>577.18811881188128</c:v>
                </c:pt>
                <c:pt idx="2">
                  <c:v>1199.8730546623794</c:v>
                </c:pt>
                <c:pt idx="3" formatCode="0.00">
                  <c:v>124.71601052631581</c:v>
                </c:pt>
                <c:pt idx="4">
                  <c:v>68.875324687831025</c:v>
                </c:pt>
                <c:pt idx="5">
                  <c:v>41.536159600997507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1'!$AN$19:$AN$24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1'!$AQ$19:$AQ$24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2zone Ref 1'!$BY$19:$BY$24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331328"/>
        <c:axId val="189332864"/>
      </c:barChart>
      <c:catAx>
        <c:axId val="1893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32864"/>
        <c:crosses val="autoZero"/>
        <c:auto val="1"/>
        <c:lblAlgn val="ctr"/>
        <c:lblOffset val="100"/>
        <c:noMultiLvlLbl val="0"/>
      </c:catAx>
      <c:valAx>
        <c:axId val="18933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33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1'!$AN$44:$AN$45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2zone Ref 1'!$AO$44:$AO$45</c:f>
              <c:numCache>
                <c:formatCode>General</c:formatCode>
                <c:ptCount val="2"/>
                <c:pt idx="0">
                  <c:v>27839291.999999993</c:v>
                </c:pt>
                <c:pt idx="1">
                  <c:v>27839291.999999993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1'!$AN$44:$AN$45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2zone Ref 1'!$AQ$44:$AQ$45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812736"/>
        <c:axId val="189814272"/>
      </c:barChart>
      <c:catAx>
        <c:axId val="18981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14272"/>
        <c:crosses val="autoZero"/>
        <c:auto val="1"/>
        <c:lblAlgn val="ctr"/>
        <c:lblOffset val="100"/>
        <c:noMultiLvlLbl val="0"/>
      </c:catAx>
      <c:valAx>
        <c:axId val="189814272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18981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1'!$AN$48:$AN$50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2zone Ref 1'!$AO$48:$AO$50</c:f>
              <c:numCache>
                <c:formatCode>General</c:formatCode>
                <c:ptCount val="3"/>
                <c:pt idx="0">
                  <c:v>696.05542725173189</c:v>
                </c:pt>
                <c:pt idx="1">
                  <c:v>348.02771362586594</c:v>
                </c:pt>
                <c:pt idx="2">
                  <c:v>696.05542725173189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1'!$AN$48:$AN$50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2zone Ref 1'!$AQ$48:$AQ$50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839232"/>
        <c:axId val="189840768"/>
      </c:barChart>
      <c:catAx>
        <c:axId val="189839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40768"/>
        <c:crosses val="autoZero"/>
        <c:auto val="1"/>
        <c:lblAlgn val="ctr"/>
        <c:lblOffset val="100"/>
        <c:noMultiLvlLbl val="0"/>
      </c:catAx>
      <c:valAx>
        <c:axId val="18984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39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2'!$AO$9:$AO$12</c:f>
              <c:numCache>
                <c:formatCode>0.00E+00</c:formatCode>
                <c:ptCount val="4"/>
                <c:pt idx="0">
                  <c:v>2556473.9200000004</c:v>
                </c:pt>
                <c:pt idx="1">
                  <c:v>23146317.810000002</c:v>
                </c:pt>
                <c:pt idx="2">
                  <c:v>34102725.300000004</c:v>
                </c:pt>
                <c:pt idx="3">
                  <c:v>15401248.000000002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2'!$AQ$9:$AQ$12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2zone Ref 2'!$BY$9:$BY$12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65536"/>
        <c:axId val="206867072"/>
      </c:barChart>
      <c:catAx>
        <c:axId val="20686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67072"/>
        <c:crosses val="autoZero"/>
        <c:auto val="1"/>
        <c:lblAlgn val="ctr"/>
        <c:lblOffset val="100"/>
        <c:noMultiLvlLbl val="0"/>
      </c:catAx>
      <c:valAx>
        <c:axId val="20686707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686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2'!$AN$19:$AN$24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2'!$AO$19:$AO$24</c:f>
              <c:numCache>
                <c:formatCode>General</c:formatCode>
                <c:ptCount val="6"/>
                <c:pt idx="0">
                  <c:v>737.47138339920957</c:v>
                </c:pt>
                <c:pt idx="1">
                  <c:v>577.18811881188128</c:v>
                </c:pt>
                <c:pt idx="2">
                  <c:v>1199.8730546623794</c:v>
                </c:pt>
                <c:pt idx="3" formatCode="0.00">
                  <c:v>96.114010526315809</c:v>
                </c:pt>
                <c:pt idx="4">
                  <c:v>82.595772961736841</c:v>
                </c:pt>
                <c:pt idx="5">
                  <c:v>33.245508982035929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2'!$AN$19:$AN$24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2'!$AQ$19:$AQ$24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2zone Ref 2'!$BY$19:$BY$24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97152"/>
        <c:axId val="206898688"/>
      </c:barChart>
      <c:catAx>
        <c:axId val="20689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98688"/>
        <c:crosses val="autoZero"/>
        <c:auto val="1"/>
        <c:lblAlgn val="ctr"/>
        <c:lblOffset val="100"/>
        <c:noMultiLvlLbl val="0"/>
      </c:catAx>
      <c:valAx>
        <c:axId val="20689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97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2'!$AN$44:$AN$45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2zone Ref 2'!$AO$44:$AO$45</c:f>
              <c:numCache>
                <c:formatCode>General</c:formatCode>
                <c:ptCount val="2"/>
                <c:pt idx="0">
                  <c:v>27839291.999999993</c:v>
                </c:pt>
                <c:pt idx="1">
                  <c:v>27839291.999999993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2'!$AN$44:$AN$45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2zone Ref 2'!$AQ$44:$AQ$45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11360"/>
        <c:axId val="206912896"/>
      </c:barChart>
      <c:catAx>
        <c:axId val="20691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20691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2zone Ref 2'!$AN$48:$AN$50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2zone Ref 2'!$AO$48:$AO$50</c:f>
              <c:numCache>
                <c:formatCode>General</c:formatCode>
                <c:ptCount val="3"/>
                <c:pt idx="0">
                  <c:v>696.05542725173189</c:v>
                </c:pt>
                <c:pt idx="1">
                  <c:v>348.02771362586594</c:v>
                </c:pt>
                <c:pt idx="2">
                  <c:v>696.05542725173189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2zone Ref 2'!$AN$48:$AN$50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2zone Ref 2'!$AQ$48:$AQ$50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42208"/>
        <c:axId val="206943744"/>
      </c:barChart>
      <c:catAx>
        <c:axId val="20694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43744"/>
        <c:crosses val="autoZero"/>
        <c:auto val="1"/>
        <c:lblAlgn val="ctr"/>
        <c:lblOffset val="100"/>
        <c:noMultiLvlLbl val="0"/>
      </c:catAx>
      <c:valAx>
        <c:axId val="20694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4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1'!$AP$9:$AP$12</c:f>
              <c:numCache>
                <c:formatCode>0.00E+00</c:formatCode>
                <c:ptCount val="4"/>
                <c:pt idx="0">
                  <c:v>2008375.4092879263</c:v>
                </c:pt>
                <c:pt idx="1">
                  <c:v>23146317.810000002</c:v>
                </c:pt>
                <c:pt idx="2">
                  <c:v>34102725.300000004</c:v>
                </c:pt>
                <c:pt idx="3">
                  <c:v>15401248.000000002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1'!$BZ$9:$BZ$12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234496"/>
        <c:axId val="224240384"/>
      </c:barChart>
      <c:catAx>
        <c:axId val="22423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4240384"/>
        <c:crosses val="autoZero"/>
        <c:auto val="1"/>
        <c:lblAlgn val="ctr"/>
        <c:lblOffset val="100"/>
        <c:noMultiLvlLbl val="0"/>
      </c:catAx>
      <c:valAx>
        <c:axId val="2242403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2423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1'!$AP$19:$AP$24</c:f>
              <c:numCache>
                <c:formatCode>General</c:formatCode>
                <c:ptCount val="6"/>
                <c:pt idx="0">
                  <c:v>502.91175202156336</c:v>
                </c:pt>
                <c:pt idx="1">
                  <c:v>441.63636363636368</c:v>
                </c:pt>
                <c:pt idx="2">
                  <c:v>599.93652733118972</c:v>
                </c:pt>
                <c:pt idx="3" formatCode="0.00">
                  <c:v>134.38800526315791</c:v>
                </c:pt>
                <c:pt idx="4">
                  <c:v>129.98879175602485</c:v>
                </c:pt>
                <c:pt idx="5">
                  <c:v>61.580281690140851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1'!$BZ$19:$BZ$24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773440"/>
        <c:axId val="225774976"/>
      </c:barChart>
      <c:catAx>
        <c:axId val="22577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25774976"/>
        <c:crosses val="autoZero"/>
        <c:auto val="1"/>
        <c:lblAlgn val="ctr"/>
        <c:lblOffset val="100"/>
        <c:noMultiLvlLbl val="0"/>
      </c:catAx>
      <c:valAx>
        <c:axId val="22577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77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1'!$AP$44:$AP$45</c:f>
              <c:numCache>
                <c:formatCode>General</c:formatCode>
                <c:ptCount val="2"/>
                <c:pt idx="0">
                  <c:v>27839291.999999993</c:v>
                </c:pt>
                <c:pt idx="1">
                  <c:v>27839291.999999993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1'!$AR$44:$AR$45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812480"/>
        <c:axId val="225814016"/>
      </c:barChart>
      <c:catAx>
        <c:axId val="22581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5814016"/>
        <c:crosses val="autoZero"/>
        <c:auto val="1"/>
        <c:lblAlgn val="ctr"/>
        <c:lblOffset val="100"/>
        <c:noMultiLvlLbl val="0"/>
      </c:catAx>
      <c:valAx>
        <c:axId val="225814016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22581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1'!$AP$48:$AP$50</c:f>
              <c:numCache>
                <c:formatCode>General</c:formatCode>
                <c:ptCount val="3"/>
                <c:pt idx="0">
                  <c:v>696.05542725173189</c:v>
                </c:pt>
                <c:pt idx="1">
                  <c:v>348.02771362586594</c:v>
                </c:pt>
                <c:pt idx="2">
                  <c:v>696.05542725173189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1'!$AR$48:$AR$50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830784"/>
        <c:axId val="225832320"/>
      </c:barChart>
      <c:catAx>
        <c:axId val="22583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5832320"/>
        <c:crosses val="autoZero"/>
        <c:auto val="1"/>
        <c:lblAlgn val="ctr"/>
        <c:lblOffset val="100"/>
        <c:noMultiLvlLbl val="0"/>
      </c:catAx>
      <c:valAx>
        <c:axId val="22583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83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2'!$AP$9:$AP$12</c:f>
              <c:numCache>
                <c:formatCode>0.00E+00</c:formatCode>
                <c:ptCount val="4"/>
                <c:pt idx="0">
                  <c:v>2008375.4092879263</c:v>
                </c:pt>
                <c:pt idx="1">
                  <c:v>23146317.810000002</c:v>
                </c:pt>
                <c:pt idx="2">
                  <c:v>34102725.300000004</c:v>
                </c:pt>
                <c:pt idx="3">
                  <c:v>15401248.000000002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2'!$BZ$9:$BZ$12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22560"/>
        <c:axId val="43924096"/>
      </c:barChart>
      <c:catAx>
        <c:axId val="4392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43924096"/>
        <c:crosses val="autoZero"/>
        <c:auto val="1"/>
        <c:lblAlgn val="ctr"/>
        <c:lblOffset val="100"/>
        <c:noMultiLvlLbl val="0"/>
      </c:catAx>
      <c:valAx>
        <c:axId val="439240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3922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2'!$AP$19:$AP$24</c:f>
              <c:numCache>
                <c:formatCode>General</c:formatCode>
                <c:ptCount val="6"/>
                <c:pt idx="0">
                  <c:v>502.91175202156336</c:v>
                </c:pt>
                <c:pt idx="1">
                  <c:v>441.63636363636368</c:v>
                </c:pt>
                <c:pt idx="2">
                  <c:v>599.93652733118972</c:v>
                </c:pt>
                <c:pt idx="3" formatCode="0.00">
                  <c:v>94.138005263157908</c:v>
                </c:pt>
                <c:pt idx="4">
                  <c:v>72.012115384615385</c:v>
                </c:pt>
                <c:pt idx="5">
                  <c:v>42.474316939890713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2'!$BZ$19:$BZ$24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32800"/>
        <c:axId val="189134336"/>
      </c:barChart>
      <c:catAx>
        <c:axId val="18913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134336"/>
        <c:crosses val="autoZero"/>
        <c:auto val="1"/>
        <c:lblAlgn val="ctr"/>
        <c:lblOffset val="100"/>
        <c:noMultiLvlLbl val="0"/>
      </c:catAx>
      <c:valAx>
        <c:axId val="18913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13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2'!$AP$44:$AP$45</c:f>
              <c:numCache>
                <c:formatCode>General</c:formatCode>
                <c:ptCount val="2"/>
                <c:pt idx="0">
                  <c:v>27839291.999999993</c:v>
                </c:pt>
                <c:pt idx="1">
                  <c:v>27839291.999999993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2'!$AR$44:$AR$45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47584"/>
        <c:axId val="213749120"/>
      </c:barChart>
      <c:catAx>
        <c:axId val="21374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49120"/>
        <c:crosses val="autoZero"/>
        <c:auto val="1"/>
        <c:lblAlgn val="ctr"/>
        <c:lblOffset val="100"/>
        <c:noMultiLvlLbl val="0"/>
      </c:catAx>
      <c:valAx>
        <c:axId val="213749120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213747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2'!$AP$48:$AP$50</c:f>
              <c:numCache>
                <c:formatCode>General</c:formatCode>
                <c:ptCount val="3"/>
                <c:pt idx="0">
                  <c:v>501.48419301164711</c:v>
                </c:pt>
                <c:pt idx="1">
                  <c:v>250.74209650582355</c:v>
                </c:pt>
                <c:pt idx="2">
                  <c:v>501.48419301164711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2'!$AR$48:$AR$50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936128"/>
        <c:axId val="181937664"/>
      </c:barChart>
      <c:catAx>
        <c:axId val="18193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937664"/>
        <c:crosses val="autoZero"/>
        <c:auto val="1"/>
        <c:lblAlgn val="ctr"/>
        <c:lblOffset val="100"/>
        <c:noMultiLvlLbl val="0"/>
      </c:catAx>
      <c:valAx>
        <c:axId val="18193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936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" name="CustomShape 1"/>
        <xdr:cNvSpPr/>
      </xdr:nvSpPr>
      <xdr:spPr>
        <a:xfrm>
          <a:off x="27000" y="0"/>
          <a:ext cx="143359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" name="CustomShape 1"/>
        <xdr:cNvSpPr/>
      </xdr:nvSpPr>
      <xdr:spPr>
        <a:xfrm>
          <a:off x="27000" y="0"/>
          <a:ext cx="143359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" name="CustomShape 1"/>
        <xdr:cNvSpPr/>
      </xdr:nvSpPr>
      <xdr:spPr>
        <a:xfrm>
          <a:off x="27000" y="0"/>
          <a:ext cx="143359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" name="CustomShape 1"/>
        <xdr:cNvSpPr/>
      </xdr:nvSpPr>
      <xdr:spPr>
        <a:xfrm>
          <a:off x="27000" y="0"/>
          <a:ext cx="143359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8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9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0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1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2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3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4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5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8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9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0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1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137160</xdr:rowOff>
    </xdr:to>
    <xdr:sp macro="" textlink="">
      <xdr:nvSpPr>
        <xdr:cNvPr id="133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2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49</xdr:row>
      <xdr:rowOff>137160</xdr:rowOff>
    </xdr:to>
    <xdr:sp macro="" textlink="">
      <xdr:nvSpPr>
        <xdr:cNvPr id="233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5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7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9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3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7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4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5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6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7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8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9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0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1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2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3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4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4127" name="Chart 41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4128" name="Chart 41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4129" name="Chart 41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4130" name="Chart 41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1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2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3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4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7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8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9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0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1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2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3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4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5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6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7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8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9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0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2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4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5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6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7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8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9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4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5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6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7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8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9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0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1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2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3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4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5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6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7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8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9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0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1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2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3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4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5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6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7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8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9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0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1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2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3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4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5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6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7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8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9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0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1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2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3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4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5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6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7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8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9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0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1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2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3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4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5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6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7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8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9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00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01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02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03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4" name="AutoShape 12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5" name="AutoShape 10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6" name="AutoShape 8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7" name="AutoShape 6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8" name="AutoShape 4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4309" name="AutoShape 2"/>
        <xdr:cNvSpPr>
          <a:spLocks noChangeArrowheads="1"/>
        </xdr:cNvSpPr>
      </xdr:nvSpPr>
      <xdr:spPr bwMode="auto">
        <a:xfrm>
          <a:off x="0" y="0"/>
          <a:ext cx="968502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264583</xdr:colOff>
      <xdr:row>32</xdr:row>
      <xdr:rowOff>110066</xdr:rowOff>
    </xdr:from>
    <xdr:to>
      <xdr:col>59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179917</xdr:colOff>
      <xdr:row>17</xdr:row>
      <xdr:rowOff>35984</xdr:rowOff>
    </xdr:from>
    <xdr:to>
      <xdr:col>59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603250</xdr:colOff>
      <xdr:row>58</xdr:row>
      <xdr:rowOff>88900</xdr:rowOff>
    </xdr:from>
    <xdr:to>
      <xdr:col>50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402167</xdr:colOff>
      <xdr:row>58</xdr:row>
      <xdr:rowOff>152401</xdr:rowOff>
    </xdr:from>
    <xdr:to>
      <xdr:col>42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4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5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6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7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8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9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0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1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2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3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4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46" name="AutoShape 14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47" name="AutoShape 13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48" name="AutoShape 12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49" name="AutoShape 11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50" name="AutoShape 10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0351" name="AutoShape 9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264583</xdr:colOff>
      <xdr:row>32</xdr:row>
      <xdr:rowOff>110066</xdr:rowOff>
    </xdr:from>
    <xdr:to>
      <xdr:col>59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179917</xdr:colOff>
      <xdr:row>17</xdr:row>
      <xdr:rowOff>35984</xdr:rowOff>
    </xdr:from>
    <xdr:to>
      <xdr:col>59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603250</xdr:colOff>
      <xdr:row>58</xdr:row>
      <xdr:rowOff>88900</xdr:rowOff>
    </xdr:from>
    <xdr:to>
      <xdr:col>50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402167</xdr:colOff>
      <xdr:row>58</xdr:row>
      <xdr:rowOff>152401</xdr:rowOff>
    </xdr:from>
    <xdr:to>
      <xdr:col>42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6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7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8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9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0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1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2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3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0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3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4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5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4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1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5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6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7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8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59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2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3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8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6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0" name="AutoShape 14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1" name="AutoShape 13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2" name="AutoShape 12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3" name="AutoShape 11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4" name="AutoShape 10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1375" name="AutoShape 9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4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5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6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7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8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9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0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2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3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4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5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6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7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8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9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0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1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2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3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4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5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6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7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8" name="AutoShape 1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9" name="AutoShape 10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0" name="AutoShape 8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1" name="AutoShape 6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2" name="AutoShape 4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3" name="AutoShape 2"/>
        <xdr:cNvSpPr>
          <a:spLocks noChangeArrowheads="1"/>
        </xdr:cNvSpPr>
      </xdr:nvSpPr>
      <xdr:spPr bwMode="auto">
        <a:xfrm>
          <a:off x="0" y="0"/>
          <a:ext cx="102679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7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6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5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4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3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2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4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5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6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7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8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9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0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1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2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3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4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5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6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7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8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9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0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1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56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57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58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59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0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1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2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3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4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5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6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7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8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69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0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1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8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79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0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1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2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3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4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5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6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7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8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89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0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1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2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3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4" name="AutoShape 1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5" name="AutoShape 1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6" name="AutoShape 17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497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498" name="AutoShape 21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499" name="AutoShape 20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500" name="AutoShape 19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501" name="AutoShape 18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502" name="AutoShape 17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19503" name="AutoShape 16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4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5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6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7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8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9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0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2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3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4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5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6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7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8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9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0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1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2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3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4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5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6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7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8" name="AutoShape 1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9" name="AutoShape 10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0" name="AutoShape 8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1" name="AutoShape 6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2" name="AutoShape 4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3" name="AutoShape 2"/>
        <xdr:cNvSpPr>
          <a:spLocks noChangeArrowheads="1"/>
        </xdr:cNvSpPr>
      </xdr:nvSpPr>
      <xdr:spPr bwMode="auto">
        <a:xfrm>
          <a:off x="0" y="0"/>
          <a:ext cx="8324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3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0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9" name="AutoShape 9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0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4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3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2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1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0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1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2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3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4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5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6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88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5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6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7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8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49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5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6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7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8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09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0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1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4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5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6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7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8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9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0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1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2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3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4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5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6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7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8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9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0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1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2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3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4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5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6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7" name="AutoShape 2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8" name="AutoShape 2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19" name="AutoShape 2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20" name="AutoShape 2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521" name="AutoShape 2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2" name="AutoShape 11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3" name="AutoShape 24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4" name="AutoShape 23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5" name="AutoShape 22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6" name="AutoShape 21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640080</xdr:colOff>
      <xdr:row>49</xdr:row>
      <xdr:rowOff>91440</xdr:rowOff>
    </xdr:to>
    <xdr:sp macro="" textlink="">
      <xdr:nvSpPr>
        <xdr:cNvPr id="20527" name="AutoShape 20"/>
        <xdr:cNvSpPr>
          <a:spLocks noChangeArrowheads="1"/>
        </xdr:cNvSpPr>
      </xdr:nvSpPr>
      <xdr:spPr bwMode="auto">
        <a:xfrm>
          <a:off x="0" y="0"/>
          <a:ext cx="7917180" cy="9509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45:M56" totalsRowShown="0" dataDxfId="13">
  <autoFilter ref="A45:M56"/>
  <tableColumns count="13">
    <tableColumn id="1" name="kamer" dataDxfId="12"/>
    <tableColumn id="2" name="1" dataDxfId="11"/>
    <tableColumn id="3" name="2" dataDxfId="10"/>
    <tableColumn id="4" name="Column1" dataDxfId="9"/>
    <tableColumn id="5" name="Column2" dataDxfId="8"/>
    <tableColumn id="6" name="Column3" dataDxfId="7"/>
    <tableColumn id="7" name="Column4" dataDxfId="6"/>
    <tableColumn id="8" name="Column5" dataDxfId="5"/>
    <tableColumn id="9" name="Column6" dataDxfId="4"/>
    <tableColumn id="10" name="Column7" dataDxfId="3"/>
    <tableColumn id="11" name="Column8" dataDxfId="2"/>
    <tableColumn id="12" name="Column9" dataDxfId="1"/>
    <tableColumn id="13" name="Colum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A4" zoomScale="90" zoomScaleNormal="90" workbookViewId="0">
      <selection activeCell="P12" activeCellId="1" sqref="A27:B27 P12"/>
    </sheetView>
  </sheetViews>
  <sheetFormatPr defaultRowHeight="14.4" x14ac:dyDescent="0.3"/>
  <cols>
    <col min="1" max="1" width="20.5546875"/>
    <col min="2" max="2" width="12.33203125"/>
    <col min="4" max="4" width="22.109375"/>
    <col min="6" max="6" width="7.109375"/>
    <col min="7" max="7" width="5.5546875"/>
    <col min="8" max="8" width="7.6640625"/>
    <col min="9" max="9" width="9.109375" style="1"/>
    <col min="11" max="11" width="10.44140625" style="2"/>
    <col min="12" max="12" width="8" style="2"/>
    <col min="13" max="13" width="16.88671875" style="2"/>
    <col min="14" max="14" width="12.554687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</cols>
  <sheetData>
    <row r="1" spans="1:33" ht="20.25" customHeight="1" x14ac:dyDescent="0.3">
      <c r="A1" s="315" t="s">
        <v>0</v>
      </c>
      <c r="B1" s="315"/>
      <c r="C1" s="315"/>
      <c r="D1" s="315"/>
      <c r="E1" s="315"/>
      <c r="F1" s="315"/>
      <c r="G1" s="315"/>
    </row>
    <row r="3" spans="1:33" x14ac:dyDescent="0.3">
      <c r="A3" s="312" t="s">
        <v>1</v>
      </c>
      <c r="B3" s="312"/>
      <c r="C3" s="312"/>
      <c r="D3" s="312"/>
      <c r="E3" s="312"/>
      <c r="F3" s="312"/>
      <c r="G3" s="312"/>
      <c r="H3" s="312"/>
      <c r="J3" s="312" t="s">
        <v>2</v>
      </c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4"/>
      <c r="V3" s="312" t="s">
        <v>3</v>
      </c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</row>
    <row r="4" spans="1:33" ht="15.75" customHeight="1" x14ac:dyDescent="0.3">
      <c r="Y4" s="5" t="s">
        <v>4</v>
      </c>
      <c r="Z4" s="5">
        <v>1.7</v>
      </c>
      <c r="AA4" s="5" t="s">
        <v>5</v>
      </c>
    </row>
    <row r="5" spans="1:33" ht="15" customHeight="1" x14ac:dyDescent="0.3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55.275000000000006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121.72849267372698</v>
      </c>
      <c r="R6" s="30">
        <f t="shared" ref="R6:R28" si="2">VLOOKUP(M6,$W$5:$AD$391,8,0)*N6</f>
        <v>24867117.000000004</v>
      </c>
      <c r="S6" s="30">
        <f t="shared" ref="S6:S28" si="3">R6/N6</f>
        <v>449880</v>
      </c>
      <c r="T6" s="30">
        <f t="shared" ref="T6:T28" si="4">VLOOKUP(M6,$W$5:$AF$391,10,0)*N6</f>
        <v>24867117.000000004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3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45.225000000000001</v>
      </c>
      <c r="O7" s="43" t="s">
        <v>39</v>
      </c>
      <c r="P7" s="30">
        <f t="shared" si="0"/>
        <v>2.2022341505875525</v>
      </c>
      <c r="Q7" s="30">
        <f t="shared" si="1"/>
        <v>99.596039460322061</v>
      </c>
      <c r="R7" s="30">
        <f t="shared" si="2"/>
        <v>20345823</v>
      </c>
      <c r="S7" s="30">
        <f t="shared" si="3"/>
        <v>449880</v>
      </c>
      <c r="T7" s="30">
        <f t="shared" si="4"/>
        <v>20345823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3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55.275000000000006</v>
      </c>
      <c r="O8" s="43" t="s">
        <v>45</v>
      </c>
      <c r="P8" s="30">
        <f t="shared" si="0"/>
        <v>2.2022341505875525</v>
      </c>
      <c r="Q8" s="30">
        <f t="shared" si="1"/>
        <v>121.72849267372698</v>
      </c>
      <c r="R8" s="30">
        <f t="shared" si="2"/>
        <v>24867117.000000004</v>
      </c>
      <c r="S8" s="30">
        <f t="shared" si="3"/>
        <v>449880</v>
      </c>
      <c r="T8" s="30">
        <f t="shared" si="4"/>
        <v>24867117.000000004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3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45.225000000000001</v>
      </c>
      <c r="O9" s="43" t="s">
        <v>50</v>
      </c>
      <c r="P9" s="30">
        <f t="shared" si="0"/>
        <v>2.2022341505875525</v>
      </c>
      <c r="Q9" s="30">
        <f t="shared" si="1"/>
        <v>99.596039460322061</v>
      </c>
      <c r="R9" s="30">
        <f t="shared" si="2"/>
        <v>20345823</v>
      </c>
      <c r="S9" s="30">
        <f t="shared" si="3"/>
        <v>449880</v>
      </c>
      <c r="T9" s="30">
        <f t="shared" si="4"/>
        <v>20345823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138.80000000000001</v>
      </c>
      <c r="O14" s="43"/>
      <c r="P14" s="30">
        <f t="shared" si="0"/>
        <v>2.5990099009900991</v>
      </c>
      <c r="Q14" s="30">
        <f t="shared" si="1"/>
        <v>360.74257425742576</v>
      </c>
      <c r="R14" s="30">
        <f t="shared" si="2"/>
        <v>62411142.400000006</v>
      </c>
      <c r="S14" s="30">
        <f t="shared" si="3"/>
        <v>449648</v>
      </c>
      <c r="T14" s="30">
        <f t="shared" si="4"/>
        <v>62411142.400000006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161.6</v>
      </c>
      <c r="O15" s="43"/>
      <c r="P15" s="30">
        <f t="shared" si="0"/>
        <v>1.6975498473547073</v>
      </c>
      <c r="Q15" s="30">
        <f t="shared" si="1"/>
        <v>274.32405533252069</v>
      </c>
      <c r="R15" s="30">
        <f t="shared" si="2"/>
        <v>12593488</v>
      </c>
      <c r="S15" s="30">
        <f t="shared" si="3"/>
        <v>77930</v>
      </c>
      <c r="T15" s="30">
        <f t="shared" si="4"/>
        <v>6824368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data'!B15</f>
        <v>11.5</v>
      </c>
      <c r="O16" s="43"/>
      <c r="P16" s="30">
        <f t="shared" si="0"/>
        <v>4</v>
      </c>
      <c r="Q16" s="30">
        <f t="shared" si="1"/>
        <v>46</v>
      </c>
      <c r="R16" s="30">
        <f t="shared" si="2"/>
        <v>419980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119.59999999999997</v>
      </c>
      <c r="O26" s="43"/>
      <c r="P26" s="30">
        <f t="shared" si="0"/>
        <v>2.0224719101123596</v>
      </c>
      <c r="Q26" s="30">
        <f t="shared" si="1"/>
        <v>241.88764044943815</v>
      </c>
      <c r="R26" s="30">
        <f t="shared" si="2"/>
        <v>20129875.999999993</v>
      </c>
      <c r="S26" s="30">
        <f t="shared" si="3"/>
        <v>168310</v>
      </c>
      <c r="T26" s="30">
        <f t="shared" si="4"/>
        <v>20129875.999999993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201</v>
      </c>
      <c r="O27" s="43"/>
      <c r="P27" s="30">
        <f t="shared" si="0"/>
        <v>1.9926199261992623</v>
      </c>
      <c r="Q27" s="30">
        <f t="shared" si="1"/>
        <v>400.5166051660517</v>
      </c>
      <c r="R27" s="30">
        <f t="shared" si="2"/>
        <v>30222360</v>
      </c>
      <c r="S27" s="30">
        <f t="shared" si="3"/>
        <v>150360</v>
      </c>
      <c r="T27" s="30">
        <f t="shared" si="4"/>
        <v>30222360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1972.1199394735343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312" t="s">
        <v>112</v>
      </c>
      <c r="F34" s="312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3.2*G35</f>
        <v>535.67999999999995</v>
      </c>
      <c r="C35" s="73"/>
      <c r="D35" s="73" t="s">
        <v>42</v>
      </c>
      <c r="E35" s="313">
        <v>21</v>
      </c>
      <c r="F35" s="313"/>
      <c r="G35" s="76">
        <f>VLOOKUP(D35,A7:B23,2,0)</f>
        <v>167.39999999999998</v>
      </c>
      <c r="K35"/>
      <c r="L35"/>
      <c r="M35" t="s">
        <v>114</v>
      </c>
      <c r="N35" s="3">
        <f>SUM(Q6:Q9,Q15)</f>
        <v>716.9731196006187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0</v>
      </c>
      <c r="C37" s="73"/>
      <c r="D37" s="73" t="s">
        <v>118</v>
      </c>
      <c r="E37" s="314" t="s">
        <v>119</v>
      </c>
      <c r="F37" s="314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3">
      <c r="K40"/>
      <c r="L40"/>
      <c r="M40" t="s">
        <v>124</v>
      </c>
      <c r="N40" s="3">
        <f>SUM(R6:R9,R15)/1000000</f>
        <v>103.019368</v>
      </c>
      <c r="O40" t="s">
        <v>125</v>
      </c>
      <c r="P40" s="3">
        <f>SUM(T6:T9,T15)/1000000</f>
        <v>97.250247999999999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3">
      <c r="K41"/>
      <c r="L41"/>
      <c r="M41" t="s">
        <v>126</v>
      </c>
      <c r="N41" s="3">
        <f>SUM(R26:R27)/1000000</f>
        <v>50.352235999999991</v>
      </c>
      <c r="O41" t="s">
        <v>125</v>
      </c>
      <c r="P41" s="3">
        <f>SUM(T26:T27)/1000000</f>
        <v>50.352235999999991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 t="s">
        <v>127</v>
      </c>
      <c r="N42" s="3">
        <f>R14/1000000</f>
        <v>62.411142400000003</v>
      </c>
      <c r="P42" s="3">
        <f>T14/1000000</f>
        <v>62.411142400000003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AM8" activeCellId="1" sqref="A27:B27 AM8"/>
    </sheetView>
  </sheetViews>
  <sheetFormatPr defaultRowHeight="14.4" x14ac:dyDescent="0.3"/>
  <cols>
    <col min="1" max="1" width="20.5546875"/>
    <col min="2" max="2" width="12.33203125"/>
    <col min="3" max="3" width="6.88671875"/>
    <col min="4" max="4" width="22.109375"/>
    <col min="5" max="5" width="9.88671875"/>
    <col min="6" max="6" width="7.109375"/>
    <col min="7" max="7" width="5.5546875"/>
    <col min="8" max="8" width="7.6640625"/>
    <col min="9" max="9" width="2.6640625" style="1"/>
    <col min="10" max="10" width="4.88671875"/>
    <col min="11" max="11" width="10.44140625" style="2"/>
    <col min="12" max="12" width="8" style="2"/>
    <col min="13" max="13" width="16.88671875" style="2"/>
    <col min="14" max="14" width="9.4414062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  <col min="23" max="23" width="3.5546875"/>
    <col min="24" max="24" width="18.44140625"/>
    <col min="25" max="25" width="8.5546875"/>
    <col min="26" max="26" width="15.88671875"/>
    <col min="27" max="28" width="8.5546875"/>
    <col min="29" max="29" width="9.5546875"/>
    <col min="30" max="35" width="8.5546875"/>
    <col min="36" max="37" width="8.5546875" style="80"/>
    <col min="38" max="1025" width="8.5546875"/>
  </cols>
  <sheetData>
    <row r="1" spans="1:41" ht="20.25" customHeight="1" x14ac:dyDescent="0.3">
      <c r="A1" s="315" t="s">
        <v>0</v>
      </c>
      <c r="B1" s="315"/>
      <c r="C1" s="315"/>
      <c r="D1" s="315"/>
      <c r="E1" s="315"/>
      <c r="F1" s="315"/>
      <c r="G1" s="315"/>
    </row>
    <row r="3" spans="1:41" x14ac:dyDescent="0.3">
      <c r="A3" s="312" t="s">
        <v>1</v>
      </c>
      <c r="B3" s="312"/>
      <c r="C3" s="312"/>
      <c r="D3" s="312"/>
      <c r="E3" s="312"/>
      <c r="F3" s="312"/>
      <c r="G3" s="312"/>
      <c r="H3" s="312"/>
      <c r="J3" s="312" t="s">
        <v>2</v>
      </c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4"/>
      <c r="V3" s="312" t="s">
        <v>3</v>
      </c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</row>
    <row r="4" spans="1:41" ht="15.75" customHeight="1" x14ac:dyDescent="0.3">
      <c r="Y4" s="5" t="s">
        <v>4</v>
      </c>
      <c r="Z4" s="5">
        <v>1.7</v>
      </c>
      <c r="AA4" s="5" t="s">
        <v>5</v>
      </c>
    </row>
    <row r="5" spans="1:41" ht="15" customHeight="1" x14ac:dyDescent="0.3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3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3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3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312" t="s">
        <v>112</v>
      </c>
      <c r="F34" s="312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3.5*G35</f>
        <v>207.52199999999999</v>
      </c>
      <c r="C35" s="73"/>
      <c r="D35" s="73" t="s">
        <v>42</v>
      </c>
      <c r="E35" s="313">
        <v>21</v>
      </c>
      <c r="F35" s="313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152.36799999999999</v>
      </c>
      <c r="C37" s="73"/>
      <c r="D37" s="73" t="s">
        <v>118</v>
      </c>
      <c r="E37" s="314" t="s">
        <v>119</v>
      </c>
      <c r="F37" s="314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3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3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B15" sqref="B15"/>
    </sheetView>
  </sheetViews>
  <sheetFormatPr defaultRowHeight="14.4" x14ac:dyDescent="0.3"/>
  <cols>
    <col min="1" max="1" width="30.6640625"/>
    <col min="2" max="2" width="20.44140625"/>
    <col min="3" max="3" width="8.5546875"/>
    <col min="4" max="4" width="0" hidden="1"/>
    <col min="5" max="1025" width="8.5546875"/>
  </cols>
  <sheetData>
    <row r="1" spans="1:4" ht="15" customHeight="1" x14ac:dyDescent="0.4">
      <c r="A1" s="82" t="s">
        <v>134</v>
      </c>
      <c r="B1" s="82"/>
      <c r="C1" s="82"/>
    </row>
    <row r="3" spans="1:4" ht="15" customHeight="1" x14ac:dyDescent="0.3">
      <c r="A3" s="83" t="s">
        <v>135</v>
      </c>
      <c r="B3" s="316" t="s">
        <v>4</v>
      </c>
      <c r="C3" s="316"/>
      <c r="D3" t="s">
        <v>136</v>
      </c>
    </row>
    <row r="4" spans="1:4" ht="15" customHeight="1" x14ac:dyDescent="0.3">
      <c r="A4" s="84" t="s">
        <v>137</v>
      </c>
      <c r="B4" s="84">
        <v>258.39999999999998</v>
      </c>
      <c r="C4" s="84" t="s">
        <v>9</v>
      </c>
      <c r="D4" s="85">
        <f>'Gebouwgegevens Allacker'!B24</f>
        <v>181.04399999999998</v>
      </c>
    </row>
    <row r="5" spans="1:4" ht="15" customHeight="1" x14ac:dyDescent="0.3">
      <c r="A5" s="84" t="s">
        <v>6</v>
      </c>
      <c r="B5" s="84">
        <v>710.5</v>
      </c>
      <c r="C5" s="84" t="s">
        <v>7</v>
      </c>
      <c r="D5" s="81">
        <f>'Gebouwgegevens Allacker'!B5</f>
        <v>502</v>
      </c>
    </row>
    <row r="6" spans="1:4" ht="15" customHeight="1" x14ac:dyDescent="0.3">
      <c r="A6" s="84" t="s">
        <v>138</v>
      </c>
      <c r="B6" s="84">
        <v>558.1</v>
      </c>
      <c r="C6" s="84" t="s">
        <v>9</v>
      </c>
      <c r="D6" s="3">
        <f>'Gebouwgegevens Allacker'!B27</f>
        <v>461.41751555669748</v>
      </c>
    </row>
    <row r="7" spans="1:4" ht="15" customHeight="1" x14ac:dyDescent="0.3">
      <c r="A7" s="84" t="s">
        <v>20</v>
      </c>
      <c r="B7" s="84">
        <v>161.6</v>
      </c>
      <c r="C7" s="84" t="s">
        <v>9</v>
      </c>
      <c r="D7" s="3">
        <f>'Gebouwgegevens Allacker'!N15+'Gebouwgegevens Allacker'!N25</f>
        <v>128.62751555669749</v>
      </c>
    </row>
    <row r="8" spans="1:4" ht="15" customHeight="1" x14ac:dyDescent="0.3">
      <c r="A8" s="84" t="s">
        <v>139</v>
      </c>
      <c r="B8" s="86">
        <v>183.4</v>
      </c>
      <c r="C8" s="84" t="s">
        <v>9</v>
      </c>
      <c r="D8">
        <v>0</v>
      </c>
    </row>
    <row r="9" spans="1:4" ht="15" customHeight="1" x14ac:dyDescent="0.3">
      <c r="A9" s="84" t="s">
        <v>140</v>
      </c>
      <c r="B9" s="84">
        <v>17.600000000000001</v>
      </c>
      <c r="C9" s="84" t="s">
        <v>9</v>
      </c>
      <c r="D9">
        <v>0</v>
      </c>
    </row>
    <row r="10" spans="1:4" ht="15" customHeight="1" x14ac:dyDescent="0.3">
      <c r="A10" s="84" t="s">
        <v>141</v>
      </c>
      <c r="B10" s="153">
        <f>B8+B9</f>
        <v>201</v>
      </c>
      <c r="C10" s="84"/>
      <c r="D10" s="3">
        <f>SUM('Gebouwgegevens Allacker'!N6:N9,'Gebouwgegevens Allacker'!N17:N20)</f>
        <v>206.43000000000004</v>
      </c>
    </row>
    <row r="11" spans="1:4" ht="15" customHeight="1" x14ac:dyDescent="0.3">
      <c r="A11" s="84" t="s">
        <v>142</v>
      </c>
      <c r="B11" s="84">
        <v>50.7</v>
      </c>
      <c r="C11" s="84" t="s">
        <v>9</v>
      </c>
      <c r="D11">
        <v>0</v>
      </c>
    </row>
    <row r="12" spans="1:4" ht="15" customHeight="1" x14ac:dyDescent="0.3">
      <c r="A12" s="84" t="s">
        <v>143</v>
      </c>
      <c r="B12" s="84">
        <v>88.1</v>
      </c>
      <c r="C12" s="84" t="s">
        <v>9</v>
      </c>
      <c r="D12">
        <v>0</v>
      </c>
    </row>
    <row r="13" spans="1:4" ht="15" customHeight="1" x14ac:dyDescent="0.3">
      <c r="A13" s="84" t="s">
        <v>144</v>
      </c>
      <c r="B13" s="84">
        <v>0</v>
      </c>
      <c r="C13" s="84" t="s">
        <v>9</v>
      </c>
      <c r="D13">
        <v>0</v>
      </c>
    </row>
    <row r="14" spans="1:4" ht="15" customHeight="1" x14ac:dyDescent="0.3">
      <c r="A14" s="84" t="s">
        <v>145</v>
      </c>
      <c r="B14" s="84">
        <f>B11+B12</f>
        <v>138.80000000000001</v>
      </c>
      <c r="C14" s="84"/>
      <c r="D14" s="3">
        <f>SUM('Gebouwgegevens Allacker'!N14)</f>
        <v>104.86</v>
      </c>
    </row>
    <row r="15" spans="1:4" ht="15" customHeight="1" x14ac:dyDescent="0.3">
      <c r="A15" s="84" t="s">
        <v>146</v>
      </c>
      <c r="B15" s="84">
        <v>11.5</v>
      </c>
      <c r="C15" s="84" t="s">
        <v>9</v>
      </c>
      <c r="D15" s="3">
        <f>'Gebouwgegevens Allacker'!N16</f>
        <v>7.5</v>
      </c>
    </row>
    <row r="16" spans="1:4" ht="15" customHeight="1" x14ac:dyDescent="0.3">
      <c r="A16" s="84" t="s">
        <v>147</v>
      </c>
      <c r="B16" s="84">
        <v>9.9</v>
      </c>
      <c r="C16" s="84" t="s">
        <v>9</v>
      </c>
      <c r="D16">
        <v>0</v>
      </c>
    </row>
    <row r="17" spans="1:6" ht="15" customHeight="1" x14ac:dyDescent="0.3">
      <c r="A17" s="84" t="s">
        <v>148</v>
      </c>
      <c r="B17" s="84">
        <v>11.1</v>
      </c>
      <c r="C17" s="84" t="s">
        <v>9</v>
      </c>
      <c r="D17">
        <v>0</v>
      </c>
    </row>
    <row r="18" spans="1:6" ht="15" customHeight="1" x14ac:dyDescent="0.3">
      <c r="A18" s="84" t="s">
        <v>149</v>
      </c>
      <c r="B18" s="84">
        <v>13</v>
      </c>
      <c r="C18" s="84" t="s">
        <v>9</v>
      </c>
      <c r="D18">
        <v>0</v>
      </c>
    </row>
    <row r="19" spans="1:6" ht="15" customHeight="1" x14ac:dyDescent="0.3">
      <c r="A19" s="84" t="s">
        <v>150</v>
      </c>
      <c r="B19" s="84">
        <v>11.4</v>
      </c>
      <c r="C19" s="84" t="s">
        <v>9</v>
      </c>
      <c r="D19">
        <v>0</v>
      </c>
    </row>
    <row r="20" spans="1:6" ht="15" customHeight="1" x14ac:dyDescent="0.3">
      <c r="A20" s="84" t="s">
        <v>151</v>
      </c>
      <c r="B20" s="84">
        <f>SUM(B16:B19)</f>
        <v>45.4</v>
      </c>
      <c r="C20" s="84"/>
      <c r="D20">
        <f>'Gebouwgegevens Allacker'!G5</f>
        <v>14</v>
      </c>
    </row>
    <row r="21" spans="1:6" ht="15" customHeight="1" x14ac:dyDescent="0.3">
      <c r="A21" s="84" t="s">
        <v>152</v>
      </c>
      <c r="B21" s="86">
        <f>B5/B6</f>
        <v>1.2730693424117541</v>
      </c>
      <c r="C21" s="84"/>
      <c r="D21" s="3">
        <f>'Gebouwgegevens Allacker'!F17</f>
        <v>1.0879517640207914</v>
      </c>
    </row>
    <row r="22" spans="1:6" ht="15" customHeight="1" x14ac:dyDescent="0.3">
      <c r="A22" s="84" t="s">
        <v>153</v>
      </c>
      <c r="B22" s="86">
        <f>B6/(SUM(B11:B13)*2)</f>
        <v>2.0104466858789625</v>
      </c>
      <c r="C22" s="84"/>
      <c r="D22" s="3">
        <f>'Gebouwgegevens Allacker'!F18</f>
        <v>2.5486484807930534</v>
      </c>
    </row>
    <row r="23" spans="1:6" ht="15" customHeight="1" x14ac:dyDescent="0.3">
      <c r="A23" s="84" t="s">
        <v>154</v>
      </c>
      <c r="B23" s="86">
        <f>B6/(SUM(B11:B13))</f>
        <v>4.0208933717579249</v>
      </c>
      <c r="C23" s="84"/>
      <c r="D23" s="3">
        <f>'Gebouwgegevens Allacker'!F19</f>
        <v>4.4003196219406586</v>
      </c>
    </row>
    <row r="24" spans="1:6" ht="15" customHeight="1" x14ac:dyDescent="0.3">
      <c r="A24" s="84" t="s">
        <v>155</v>
      </c>
      <c r="B24" s="86">
        <f>SUM(B16:B19)/B6</f>
        <v>8.1347428776204975E-2</v>
      </c>
      <c r="C24" s="84"/>
      <c r="D24" s="3">
        <f>'Gebouwgegevens Allacker'!F23</f>
        <v>3.034128425555992E-2</v>
      </c>
    </row>
    <row r="25" spans="1:6" ht="15" customHeight="1" x14ac:dyDescent="0.3">
      <c r="A25" s="84" t="s">
        <v>156</v>
      </c>
      <c r="B25" s="87">
        <f>SUM(B16:B19)/SUM(B11:B13)/2</f>
        <v>0.16354466858789624</v>
      </c>
      <c r="C25" s="84"/>
      <c r="D25" s="3">
        <f>'Gebouwgegevens Allacker'!F21</f>
        <v>7.732926802324297E-2</v>
      </c>
    </row>
    <row r="26" spans="1:6" ht="15" customHeight="1" x14ac:dyDescent="0.3">
      <c r="A26" s="84" t="s">
        <v>157</v>
      </c>
      <c r="B26" s="88">
        <f>SUM(B16:B19)/SUM(B11:B13)</f>
        <v>0.32708933717579247</v>
      </c>
      <c r="C26" s="84"/>
      <c r="D26" s="3">
        <f>'Gebouwgegevens Allacker'!F22</f>
        <v>0.13351134846461948</v>
      </c>
    </row>
    <row r="27" spans="1:6" s="81" customFormat="1" ht="15" customHeight="1" x14ac:dyDescent="0.3">
      <c r="A27" s="84"/>
      <c r="B27" s="298">
        <v>12</v>
      </c>
      <c r="C27" s="84"/>
      <c r="D27" s="3"/>
      <c r="E27" s="81">
        <v>6</v>
      </c>
      <c r="F27" s="81">
        <v>2.5</v>
      </c>
    </row>
    <row r="28" spans="1:6" x14ac:dyDescent="0.3">
      <c r="A28" s="84" t="s">
        <v>302</v>
      </c>
      <c r="B28">
        <f>B27/B5*B6</f>
        <v>9.426038001407461</v>
      </c>
      <c r="E28">
        <f>E27/B5*B6</f>
        <v>4.7130190007037305</v>
      </c>
      <c r="F28">
        <f>F27/B5*B6</f>
        <v>1.9637579169598873</v>
      </c>
    </row>
    <row r="32" spans="1:6" ht="15" customHeight="1" x14ac:dyDescent="0.3">
      <c r="A32" s="89" t="s">
        <v>158</v>
      </c>
      <c r="B32" s="89"/>
    </row>
    <row r="33" spans="1:2" ht="15" customHeight="1" x14ac:dyDescent="0.3">
      <c r="A33" s="90" t="s">
        <v>137</v>
      </c>
      <c r="B33" s="90">
        <f>'Tabula data'!B4/'Gebouwgegevens Allacker'!B24</f>
        <v>1.4272773469432845</v>
      </c>
    </row>
    <row r="34" spans="1:2" ht="15" customHeight="1" x14ac:dyDescent="0.3">
      <c r="A34" s="90" t="s">
        <v>6</v>
      </c>
      <c r="B34" s="90">
        <f>B5/'Gebouwgegevens Allacker'!B5</f>
        <v>1.4153386454183268</v>
      </c>
    </row>
    <row r="35" spans="1:2" ht="15" customHeight="1" x14ac:dyDescent="0.3">
      <c r="A35" s="90" t="s">
        <v>138</v>
      </c>
      <c r="B35" s="90">
        <f>B6/'Gebouwgegevens Allacker'!B27</f>
        <v>1.2095336245019994</v>
      </c>
    </row>
    <row r="36" spans="1:2" ht="15" customHeight="1" x14ac:dyDescent="0.3">
      <c r="A36" s="90" t="s">
        <v>20</v>
      </c>
      <c r="B36" s="90">
        <f>B7/('Gebouwgegevens Allacker'!N15+'Gebouwgegevens Allacker'!N25)</f>
        <v>1.2563408326795258</v>
      </c>
    </row>
    <row r="37" spans="1:2" ht="15" customHeight="1" x14ac:dyDescent="0.3">
      <c r="A37" s="90" t="s">
        <v>139</v>
      </c>
      <c r="B37" s="90">
        <f>(B8+B9)/SUM('Gebouwgegevens Allacker'!N6:N9,'Gebouwgegevens Allacker'!N17:N20)</f>
        <v>0.97369568376689419</v>
      </c>
    </row>
    <row r="38" spans="1:2" ht="15" customHeight="1" x14ac:dyDescent="0.3">
      <c r="A38" s="90" t="s">
        <v>159</v>
      </c>
      <c r="B38" s="90">
        <f>SUM(B11:B12)/'Gebouwgegevens Allacker'!B7</f>
        <v>1.3236696547777991</v>
      </c>
    </row>
    <row r="39" spans="1:2" ht="15" customHeight="1" x14ac:dyDescent="0.3">
      <c r="A39" s="90" t="s">
        <v>146</v>
      </c>
      <c r="B39" s="90">
        <f>B15/'Gebouwgegevens Allacker'!N16</f>
        <v>1.5333333333333334</v>
      </c>
    </row>
    <row r="40" spans="1:2" ht="15" customHeight="1" x14ac:dyDescent="0.3">
      <c r="A40" s="90" t="s">
        <v>160</v>
      </c>
      <c r="B40" s="90">
        <f>SUM(B16:B19)/'Gebouwgegevens Allacker'!G5</f>
        <v>3.2428571428571429</v>
      </c>
    </row>
    <row r="41" spans="1:2" ht="15" customHeight="1" x14ac:dyDescent="0.3">
      <c r="A41" s="90" t="s">
        <v>152</v>
      </c>
      <c r="B41" s="90">
        <f>B21/'Gebouwgegevens Allacker'!F17</f>
        <v>1.1701523767072315</v>
      </c>
    </row>
    <row r="42" spans="1:2" ht="15" customHeight="1" x14ac:dyDescent="0.3">
      <c r="A42" s="90" t="s">
        <v>153</v>
      </c>
      <c r="B42" s="90">
        <f>B22/'Gebouwgegevens Allacker'!F18</f>
        <v>0.7888285501237029</v>
      </c>
    </row>
    <row r="43" spans="1:2" ht="15" customHeight="1" x14ac:dyDescent="0.3">
      <c r="A43" s="90" t="s">
        <v>154</v>
      </c>
      <c r="B43" s="90">
        <f>'Tabula data'!B23/'Gebouwgegevens Allacker'!F19</f>
        <v>0.91377302496599178</v>
      </c>
    </row>
    <row r="44" spans="1:2" ht="15" customHeight="1" x14ac:dyDescent="0.3">
      <c r="A44" s="90" t="s">
        <v>155</v>
      </c>
      <c r="B44" s="90">
        <f>B24/'Gebouwgegevens Allacker'!F23</f>
        <v>2.6810806059172787</v>
      </c>
    </row>
    <row r="45" spans="1:2" ht="15" customHeight="1" x14ac:dyDescent="0.3">
      <c r="A45" s="90" t="s">
        <v>156</v>
      </c>
      <c r="B45" s="90">
        <f>B25/'Gebouwgegevens Allacker'!F21</f>
        <v>2.114912927130506</v>
      </c>
    </row>
    <row r="46" spans="1:2" ht="15" customHeight="1" x14ac:dyDescent="0.3">
      <c r="A46" s="90" t="s">
        <v>157</v>
      </c>
      <c r="B46" s="90">
        <f>B26/'Gebouwgegevens Allacker'!F22</f>
        <v>2.4498991354466857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activeCellId="1" sqref="A27:B27 A1:I1"/>
    </sheetView>
  </sheetViews>
  <sheetFormatPr defaultRowHeight="14.4" x14ac:dyDescent="0.3"/>
  <cols>
    <col min="1" max="1" width="9.109375" style="3"/>
    <col min="2" max="2" width="11.5546875" style="3"/>
    <col min="3" max="3" width="10" style="3"/>
    <col min="4" max="4" width="12.5546875" style="3"/>
    <col min="5" max="5" width="21.6640625" style="3"/>
    <col min="6" max="7" width="12" style="3"/>
    <col min="8" max="21" width="9.109375" style="3"/>
    <col min="22" max="22" width="9.33203125" style="3"/>
    <col min="23" max="23" width="12.44140625" style="3"/>
    <col min="24" max="1025" width="9.109375" style="3"/>
  </cols>
  <sheetData>
    <row r="1" spans="1:25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5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5" ht="15.75" customHeigh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5" ht="15.75" customHeigh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5" ht="18" customHeight="1" x14ac:dyDescent="0.3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12" t="s">
        <v>165</v>
      </c>
      <c r="W5" s="312"/>
      <c r="X5" s="312"/>
      <c r="Y5" s="96"/>
    </row>
    <row r="6" spans="1:25" ht="18.75" customHeigh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5" ht="16.5" customHeight="1" x14ac:dyDescent="0.3">
      <c r="A7" s="317" t="s">
        <v>168</v>
      </c>
      <c r="B7" s="317"/>
      <c r="C7" s="317"/>
      <c r="D7" s="31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21584.030838614995</v>
      </c>
      <c r="X7" s="98" t="s">
        <v>169</v>
      </c>
      <c r="Y7" s="96"/>
    </row>
    <row r="8" spans="1:25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 t="e">
        <f>B152</f>
        <v>#N/A</v>
      </c>
      <c r="X8" s="98" t="s">
        <v>169</v>
      </c>
      <c r="Y8" s="96"/>
    </row>
    <row r="9" spans="1:25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 t="e">
        <f>B232</f>
        <v>#N/A</v>
      </c>
      <c r="X9" s="98" t="s">
        <v>169</v>
      </c>
      <c r="Y9" s="96"/>
    </row>
    <row r="10" spans="1:25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 t="e">
        <f>B311</f>
        <v>#N/A</v>
      </c>
      <c r="X10" s="98" t="s">
        <v>169</v>
      </c>
      <c r="Y10" s="96"/>
    </row>
    <row r="11" spans="1:25" ht="15.75" customHeigh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 t="e">
        <f>B390</f>
        <v>#N/A</v>
      </c>
      <c r="X11" s="98" t="s">
        <v>169</v>
      </c>
      <c r="Y11" s="96"/>
    </row>
    <row r="12" spans="1:25" ht="16.5" customHeight="1" x14ac:dyDescent="0.3">
      <c r="A12" s="95"/>
      <c r="B12" s="106" t="str">
        <f>'Gebouwgegevens Allacker'!J6</f>
        <v>W1</v>
      </c>
      <c r="C12" s="107">
        <f>VLOOKUP(B12,'Gebouwgegevens Allacker'!$J$5:$Q$83,3,0)</f>
        <v>1</v>
      </c>
      <c r="D12" s="107" t="str">
        <f>VLOOKUP(B12,'Gebouwgegevens Allacker'!$J$5:$Q$83,4,0)</f>
        <v>Wall External</v>
      </c>
      <c r="E12" s="107">
        <f>VLOOKUP(B12,'Gebouwgegevens Allacker'!$J$5:$Q$83,5,0)</f>
        <v>25.449999999999996</v>
      </c>
      <c r="F12" s="107" t="str">
        <f>VLOOKUP(B12,'Gebouwgegevens Allacker'!$J$5:$Q$83,6,0)</f>
        <v>front</v>
      </c>
      <c r="G12" s="107">
        <f>VLOOKUP(B12,'Gebouwgegevens Allacker'!$J$5:$Q$83,7,0)</f>
        <v>2.2022341505875525</v>
      </c>
      <c r="H12" s="108">
        <f>VLOOKUP(B12,'Gebouwgegevens Allacker'!$J$5:$Q$83,8,0)</f>
        <v>56.0468591324532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 t="e">
        <f>B468</f>
        <v>#N/A</v>
      </c>
      <c r="X12" s="98" t="s">
        <v>169</v>
      </c>
      <c r="Y12" s="96"/>
    </row>
    <row r="13" spans="1:25" ht="16.5" customHeight="1" x14ac:dyDescent="0.3">
      <c r="A13" s="95"/>
      <c r="B13" s="106" t="str">
        <f>'Gebouwgegevens Allacker'!J7</f>
        <v>W2</v>
      </c>
      <c r="C13" s="107">
        <f>VLOOKUP(B13,'Gebouwgegevens Allacker'!$J$5:$Q$83,3,0)</f>
        <v>1</v>
      </c>
      <c r="D13" s="107" t="str">
        <f>VLOOKUP(B13,'Gebouwgegevens Allacker'!$J$5:$Q$83,4,0)</f>
        <v>Wall External</v>
      </c>
      <c r="E13" s="107">
        <f>VLOOKUP(B13,'Gebouwgegevens Allacker'!$J$5:$Q$83,5,0)</f>
        <v>85.750000000000014</v>
      </c>
      <c r="F13" s="107" t="str">
        <f>VLOOKUP(B13,'Gebouwgegevens Allacker'!$J$5:$Q$83,6,0)</f>
        <v>right</v>
      </c>
      <c r="G13" s="107">
        <f>VLOOKUP(B13,'Gebouwgegevens Allacker'!$J$5:$Q$83,7,0)</f>
        <v>2.2022341505875525</v>
      </c>
      <c r="H13" s="108">
        <f>VLOOKUP(B13,'Gebouwgegevens Allacker'!$J$5:$Q$83,8,0)</f>
        <v>188.84157841288265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 t="e">
        <f>B546</f>
        <v>#N/A</v>
      </c>
      <c r="X13" s="98" t="s">
        <v>169</v>
      </c>
      <c r="Y13" s="96"/>
    </row>
    <row r="14" spans="1:25" ht="16.5" customHeight="1" x14ac:dyDescent="0.3">
      <c r="A14" s="95"/>
      <c r="B14" s="106" t="str">
        <f>'Gebouwgegevens Allacker'!J8</f>
        <v>W3</v>
      </c>
      <c r="C14" s="107">
        <f>VLOOKUP(B14,'Gebouwgegevens Allacker'!$J$5:$Q$83,3,0)</f>
        <v>1</v>
      </c>
      <c r="D14" s="107" t="str">
        <f>VLOOKUP(B14,'Gebouwgegevens Allacker'!$J$5:$Q$83,4,0)</f>
        <v>Wall External</v>
      </c>
      <c r="E14" s="107">
        <f>VLOOKUP(B14,'Gebouwgegevens Allacker'!$J$5:$Q$83,5,0)</f>
        <v>32.449999999999996</v>
      </c>
      <c r="F14" s="107" t="str">
        <f>VLOOKUP(B14,'Gebouwgegevens Allacker'!$J$5:$Q$83,6,0)</f>
        <v>back</v>
      </c>
      <c r="G14" s="107">
        <f>VLOOKUP(B14,'Gebouwgegevens Allacker'!$J$5:$Q$83,7,0)</f>
        <v>2.2022341505875525</v>
      </c>
      <c r="H14" s="108">
        <f>VLOOKUP(B14,'Gebouwgegevens Allacker'!$J$5:$Q$83,8,0)</f>
        <v>71.462498186566066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 t="e">
        <f>B625</f>
        <v>#N/A</v>
      </c>
      <c r="X14" s="98" t="s">
        <v>169</v>
      </c>
      <c r="Y14" s="96"/>
    </row>
    <row r="15" spans="1:25" ht="16.5" customHeight="1" x14ac:dyDescent="0.3">
      <c r="A15" s="95"/>
      <c r="B15" s="106" t="str">
        <f>'Gebouwgegevens Allacker'!J9</f>
        <v>W4</v>
      </c>
      <c r="C15" s="107">
        <f>VLOOKUP(B15,'Gebouwgegevens Allacker'!$J$5:$Q$83,3,0)</f>
        <v>1</v>
      </c>
      <c r="D15" s="107" t="str">
        <f>VLOOKUP(B15,'Gebouwgegevens Allacker'!$J$5:$Q$83,4,0)</f>
        <v>Wall External</v>
      </c>
      <c r="E15" s="107">
        <f>VLOOKUP(B15,'Gebouwgegevens Allacker'!$J$5:$Q$83,5,0)</f>
        <v>34.300000000000004</v>
      </c>
      <c r="F15" s="107" t="str">
        <f>VLOOKUP(B15,'Gebouwgegevens Allacker'!$J$5:$Q$83,6,0)</f>
        <v>left</v>
      </c>
      <c r="G15" s="107">
        <f>VLOOKUP(B15,'Gebouwgegevens Allacker'!$J$5:$Q$83,7,0)</f>
        <v>2.2022341505875525</v>
      </c>
      <c r="H15" s="108">
        <f>VLOOKUP(B15,'Gebouwgegevens Allacker'!$J$5:$Q$83,8,0)</f>
        <v>75.536631365153056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 t="e">
        <f>B704</f>
        <v>#N/A</v>
      </c>
      <c r="X15" s="98" t="s">
        <v>169</v>
      </c>
      <c r="Y15" s="96"/>
    </row>
    <row r="16" spans="1:25" ht="16.5" customHeight="1" x14ac:dyDescent="0.3">
      <c r="A16" s="95"/>
      <c r="B16" s="106" t="str">
        <f>'Gebouwgegevens Allacker'!J10</f>
        <v>W5</v>
      </c>
      <c r="C16" s="107">
        <f>VLOOKUP(B16,'Gebouwgegevens Allacker'!$J$5:$Q$83,3,0)</f>
        <v>1</v>
      </c>
      <c r="D16" s="107" t="str">
        <f>VLOOKUP(B16,'Gebouwgegevens Allacker'!$J$5:$Q$83,4,0)</f>
        <v>Window</v>
      </c>
      <c r="E16" s="107">
        <f>VLOOKUP(B16,'Gebouwgegevens Allacker'!$J$5:$Q$83,5,0)</f>
        <v>7</v>
      </c>
      <c r="F16" s="107" t="str">
        <f>VLOOKUP(B16,'Gebouwgegevens Allacker'!$J$5:$Q$83,6,0)</f>
        <v>front</v>
      </c>
      <c r="G16" s="107">
        <f>VLOOKUP(B16,'Gebouwgegevens Allacker'!$J$5:$Q$83,7,0)</f>
        <v>5</v>
      </c>
      <c r="H16" s="108">
        <f>VLOOKUP(B16,'Gebouwgegevens Allacker'!$J$5:$Q$83,8,0)</f>
        <v>35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 t="e">
        <f>B783</f>
        <v>#N/A</v>
      </c>
      <c r="X16" s="98" t="s">
        <v>169</v>
      </c>
      <c r="Y16" s="96"/>
    </row>
    <row r="17" spans="1:25" ht="16.5" customHeight="1" x14ac:dyDescent="0.3">
      <c r="A17" s="95"/>
      <c r="B17" s="106" t="str">
        <f>'Gebouwgegevens Allacker'!J11</f>
        <v>W6</v>
      </c>
      <c r="C17" s="107">
        <f>VLOOKUP(B17,'Gebouwgegevens Allacker'!$J$5:$Q$83,3,0)</f>
        <v>1</v>
      </c>
      <c r="D17" s="107" t="str">
        <f>VLOOKUP(B17,'Gebouwgegevens Allacker'!$J$5:$Q$83,4,0)</f>
        <v>Window</v>
      </c>
      <c r="E17" s="107">
        <f>VLOOKUP(B17,'Gebouwgegevens Allacker'!$J$5:$Q$83,5,0)</f>
        <v>0</v>
      </c>
      <c r="F17" s="107" t="str">
        <f>VLOOKUP(B17,'Gebouwgegevens Allacker'!$J$5:$Q$83,6,0)</f>
        <v>right</v>
      </c>
      <c r="G17" s="107">
        <f>VLOOKUP(B17,'Gebouwgegevens Allacker'!$J$5:$Q$83,7,0)</f>
        <v>5</v>
      </c>
      <c r="H17" s="108">
        <f>VLOOKUP(B17,'Gebouwgegevens Allacker'!$J$5:$Q$83,8,0)</f>
        <v>0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3">
      <c r="A18" s="95"/>
      <c r="B18" s="106" t="str">
        <f>'Gebouwgegevens Allacker'!J12</f>
        <v>W7</v>
      </c>
      <c r="C18" s="107">
        <f>VLOOKUP(B18,'Gebouwgegevens Allacker'!$J$5:$Q$83,3,0)</f>
        <v>1</v>
      </c>
      <c r="D18" s="107" t="str">
        <f>VLOOKUP(B18,'Gebouwgegevens Allacker'!$J$5:$Q$83,4,0)</f>
        <v>Window</v>
      </c>
      <c r="E18" s="107">
        <f>VLOOKUP(B18,'Gebouwgegevens Allacker'!$J$5:$Q$83,5,0)</f>
        <v>5</v>
      </c>
      <c r="F18" s="107" t="str">
        <f>VLOOKUP(B18,'Gebouwgegevens Allacker'!$J$5:$Q$83,6,0)</f>
        <v>back</v>
      </c>
      <c r="G18" s="107">
        <f>VLOOKUP(B18,'Gebouwgegevens Allacker'!$J$5:$Q$83,7,0)</f>
        <v>5</v>
      </c>
      <c r="H18" s="108">
        <f>VLOOKUP(B18,'Gebouwgegevens Allacker'!$J$5:$Q$83,8,0)</f>
        <v>25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 t="e">
        <f>SUM(W7:W16)</f>
        <v>#N/A</v>
      </c>
      <c r="X18" s="75" t="s">
        <v>169</v>
      </c>
      <c r="Y18" s="96"/>
    </row>
    <row r="19" spans="1:25" ht="16.5" customHeight="1" x14ac:dyDescent="0.3">
      <c r="A19" s="95"/>
      <c r="B19" s="106" t="str">
        <f>'Gebouwgegevens Allacker'!J13</f>
        <v>W8</v>
      </c>
      <c r="C19" s="107">
        <f>VLOOKUP(B19,'Gebouwgegevens Allacker'!$J$5:$Q$83,3,0)</f>
        <v>1</v>
      </c>
      <c r="D19" s="107" t="str">
        <f>VLOOKUP(B19,'Gebouwgegevens Allacker'!$J$5:$Q$83,4,0)</f>
        <v>Window</v>
      </c>
      <c r="E19" s="107">
        <f>VLOOKUP(B19,'Gebouwgegevens Allacker'!$J$5:$Q$83,5,0)</f>
        <v>0</v>
      </c>
      <c r="F19" s="107" t="str">
        <f>VLOOKUP(B19,'Gebouwgegevens Allacker'!$J$5:$Q$83,6,0)</f>
        <v>left</v>
      </c>
      <c r="G19" s="107">
        <f>VLOOKUP(B19,'Gebouwgegevens Allacker'!$J$5:$Q$83,7,0)</f>
        <v>5</v>
      </c>
      <c r="H19" s="108">
        <f>VLOOKUP(B19,'Gebouwgegevens Allacker'!$J$5:$Q$83,8,0)</f>
        <v>0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3">
      <c r="A21" s="95"/>
      <c r="B21" s="106" t="str">
        <f>'Gebouwgegevens Allacker'!J15</f>
        <v>W10</v>
      </c>
      <c r="C21" s="107">
        <f>VLOOKUP(B21,'Gebouwgegevens Allacker'!$J$5:$Q$83,3,0)</f>
        <v>1</v>
      </c>
      <c r="D21" s="107" t="str">
        <f>VLOOKUP(B21,'Gebouwgegevens Allacker'!$J$5:$Q$83,4,0)</f>
        <v>Roof</v>
      </c>
      <c r="E21" s="107">
        <f>VLOOKUP(B21,'Gebouwgegevens Allacker'!$J$5:$Q$83,5,0)</f>
        <v>29</v>
      </c>
      <c r="F21" s="107">
        <f>VLOOKUP(B21,'Gebouwgegevens Allacker'!$J$5:$Q$83,6,0)</f>
        <v>0</v>
      </c>
      <c r="G21" s="107">
        <f>VLOOKUP(B21,'Gebouwgegevens Allacker'!$J$5:$Q$83,7,0)</f>
        <v>1.6975498473547073</v>
      </c>
      <c r="H21" s="108">
        <f>VLOOKUP(B21,'Gebouwgegevens Allacker'!$J$5:$Q$83,8,0)</f>
        <v>49.228945573286509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/>
      <c r="W21" s="98"/>
      <c r="X21" s="98"/>
      <c r="Y21" s="98"/>
    </row>
    <row r="22" spans="1:25" ht="16.5" customHeight="1" x14ac:dyDescent="0.3">
      <c r="A22" s="95"/>
      <c r="B22" s="106"/>
      <c r="C22" s="107"/>
      <c r="D22" s="107"/>
      <c r="E22" s="107"/>
      <c r="F22" s="107"/>
      <c r="G22" s="107"/>
      <c r="H22" s="108"/>
      <c r="I22" s="108"/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3">
      <c r="A28" s="95"/>
      <c r="B28" s="116" t="s">
        <v>61</v>
      </c>
      <c r="C28" s="117">
        <f>VLOOKUP(B28,'Gebouwgegevens Allacker'!$J$5:$Q$83,3,0)</f>
        <v>1</v>
      </c>
      <c r="D28" s="117" t="str">
        <f>VLOOKUP(B28,'Gebouwgegevens Allacker'!$J$5:$Q$83,4,0)</f>
        <v>Floor</v>
      </c>
      <c r="E28" s="117">
        <f>VLOOKUP(B28,'Gebouwgegevens Allacker'!$J$5:$Q$83,5,0)</f>
        <v>104.86</v>
      </c>
      <c r="F28" s="117">
        <f>VLOOKUP(B28,'Gebouwgegevens Allacker'!$J$5:$Q$83,7,0)</f>
        <v>2.5990099009900991</v>
      </c>
      <c r="G28" s="118">
        <f>VLOOKUP(B28,'Gebouwgegevens Allacker'!$J$5:$Q$83,8,0)</f>
        <v>272.53217821782181</v>
      </c>
      <c r="H28" s="118">
        <f>N28/F28</f>
        <v>0.21722245983746219</v>
      </c>
      <c r="I28" s="117">
        <v>132</v>
      </c>
      <c r="J28" s="116">
        <v>42</v>
      </c>
      <c r="K28" s="116">
        <v>0.33</v>
      </c>
      <c r="L28" s="119">
        <f>I28/(0.5*J28)</f>
        <v>6.2857142857142856</v>
      </c>
      <c r="M28" s="119">
        <f>K28+2*(1/F28)</f>
        <v>1.0995238095238096</v>
      </c>
      <c r="N28" s="120">
        <f>IF(M28&lt;L28,2*2/(PI()*L28+M28)*LN(PI()*L28/M28+1),2/(0.457*L28+M28))</f>
        <v>0.56456332383498842</v>
      </c>
      <c r="O28" s="98"/>
      <c r="P28" s="96"/>
    </row>
    <row r="29" spans="1:25" ht="15.75" customHeight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 t="e">
        <f>1.1*W18</f>
        <v>#N/A</v>
      </c>
    </row>
    <row r="32" spans="1:25" ht="15.75" customHeigh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3">
      <c r="A33" s="95"/>
      <c r="B33" s="121"/>
      <c r="C33" s="122"/>
      <c r="D33" s="122"/>
      <c r="E33" s="122"/>
      <c r="F33" s="122"/>
      <c r="G33" s="122">
        <v>20</v>
      </c>
      <c r="H33" s="122"/>
      <c r="I33" s="122"/>
      <c r="J33" s="118"/>
      <c r="K33" s="118"/>
      <c r="L33" s="98"/>
      <c r="M33" s="98"/>
      <c r="N33" s="98"/>
      <c r="O33" s="98"/>
      <c r="P33" s="96"/>
    </row>
    <row r="34" spans="1:16" ht="16.5" customHeight="1" x14ac:dyDescent="0.3">
      <c r="A34" s="95"/>
      <c r="B34" s="121"/>
      <c r="C34" s="122"/>
      <c r="D34" s="122"/>
      <c r="E34" s="122"/>
      <c r="F34" s="122"/>
      <c r="G34" s="122"/>
      <c r="H34" s="122"/>
      <c r="I34" s="122"/>
      <c r="J34" s="118"/>
      <c r="K34" s="118"/>
      <c r="L34" s="98"/>
      <c r="M34" s="98"/>
      <c r="N34" s="98"/>
      <c r="O34" s="98"/>
      <c r="P34" s="96"/>
    </row>
    <row r="35" spans="1:16" ht="16.5" customHeigh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SUMPRODUCT(H12:H21,I12:I21)+SUMPRODUCT(G28,H28)+SUMPRODUCT(J33:J38,K33:K38)</f>
        <v>560.31662280767841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15688.865438614996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3">
      <c r="A45" s="317" t="s">
        <v>194</v>
      </c>
      <c r="B45" s="317"/>
      <c r="C45" s="317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3">
      <c r="A48" s="127" t="s">
        <v>196</v>
      </c>
      <c r="B48" s="121">
        <v>0.6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3">
      <c r="A51" s="124" t="s">
        <v>202</v>
      </c>
      <c r="B51" s="118">
        <f>B48/20*741</f>
        <v>22.23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'Gebouwgegevens Allacker'!G35</f>
        <v>59.291999999999994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f>0.5*'Gebouwgegevens Allacker'!B5*(1-F55)</f>
        <v>40.160000000000011</v>
      </c>
      <c r="C55" s="118" t="s">
        <v>203</v>
      </c>
      <c r="D55" s="98"/>
      <c r="E55" s="98" t="s">
        <v>206</v>
      </c>
      <c r="F55" s="98">
        <f>0.84</f>
        <v>0.84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62.390000000000015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0.30064282341149379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21.212600000000005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Allacker'!E35-$B$4)</f>
        <v>615.1654000000002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3">
      <c r="A65" s="127" t="s">
        <v>211</v>
      </c>
      <c r="B65" s="121">
        <v>20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3">
      <c r="A66" s="127" t="s">
        <v>113</v>
      </c>
      <c r="B66" s="121">
        <v>264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3">
      <c r="A67" s="124" t="s">
        <v>213</v>
      </c>
      <c r="B67" s="118">
        <f>B68/('Gebouwgegevens Allacker'!E35-'Verwarming Allacker'!$B$4)</f>
        <v>182.06896551724137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5280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3">
      <c r="A72" s="124" t="s">
        <v>215</v>
      </c>
      <c r="B72" s="118">
        <f>SUM(B42,B60,B67)</f>
        <v>763.59818832491976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21584.030838614995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3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3">
      <c r="A79" s="317" t="s">
        <v>168</v>
      </c>
      <c r="B79" s="317"/>
      <c r="C79" s="317"/>
      <c r="D79" s="31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3">
      <c r="A84" s="95"/>
      <c r="B84" s="106" t="s">
        <v>59</v>
      </c>
      <c r="C84" s="107">
        <f>VLOOKUP(B84,'Gebouwgegevens Allacker'!$J$5:$Q$83,3,0)</f>
        <v>1</v>
      </c>
      <c r="D84" s="107" t="str">
        <f>VLOOKUP(B84,'Gebouwgegevens Allacker'!$J$5:$Q$83,4,0)</f>
        <v>Window</v>
      </c>
      <c r="E84" s="107">
        <f>VLOOKUP(B84,'Gebouwgegevens Allacker'!$J$5:$Q$83,5,0)</f>
        <v>5</v>
      </c>
      <c r="F84" s="107" t="str">
        <f>VLOOKUP(B84,'Gebouwgegevens Allacker'!$J$5:$Q$83,6,0)</f>
        <v>back</v>
      </c>
      <c r="G84" s="107">
        <f>VLOOKUP(B84,'Gebouwgegevens Allacker'!$J$5:$Q$83,7,0)</f>
        <v>5</v>
      </c>
      <c r="H84" s="108">
        <f>VLOOKUP(B84,'Gebouwgegevens Allacker'!$J$5:$Q$83,8,0)</f>
        <v>25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3">
      <c r="A85" s="95"/>
      <c r="B85" s="106" t="s">
        <v>60</v>
      </c>
      <c r="C85" s="107">
        <f>VLOOKUP(B85,'Gebouwgegevens Allacker'!$J$5:$Q$83,3,0)</f>
        <v>1</v>
      </c>
      <c r="D85" s="107" t="str">
        <f>VLOOKUP(B85,'Gebouwgegevens Allacker'!$J$5:$Q$83,4,0)</f>
        <v>Window</v>
      </c>
      <c r="E85" s="107">
        <f>VLOOKUP(B85,'Gebouwgegevens Allacker'!$J$5:$Q$83,5,0)</f>
        <v>0</v>
      </c>
      <c r="F85" s="107" t="str">
        <f>VLOOKUP(B85,'Gebouwgegevens Allacker'!$J$5:$Q$83,6,0)</f>
        <v>left</v>
      </c>
      <c r="G85" s="107">
        <f>VLOOKUP(B85,'Gebouwgegevens Allacker'!$J$5:$Q$83,7,0)</f>
        <v>5</v>
      </c>
      <c r="H85" s="108">
        <f>VLOOKUP(B85,'Gebouwgegevens Allacker'!$J$5:$Q$83,8,0)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3">
      <c r="A86" s="95"/>
      <c r="B86" s="106" t="s">
        <v>61</v>
      </c>
      <c r="C86" s="107">
        <f>VLOOKUP(B86,'Gebouwgegevens Allacker'!$J$5:$Q$83,3,0)</f>
        <v>1</v>
      </c>
      <c r="D86" s="107" t="str">
        <f>VLOOKUP(B86,'Gebouwgegevens Allacker'!$J$5:$Q$83,4,0)</f>
        <v>Floor</v>
      </c>
      <c r="E86" s="107">
        <f>VLOOKUP(B86,'Gebouwgegevens Allacker'!$J$5:$Q$83,5,0)</f>
        <v>104.86</v>
      </c>
      <c r="F86" s="107">
        <f>VLOOKUP(B86,'Gebouwgegevens Allacker'!$J$5:$Q$83,6,0)</f>
        <v>0</v>
      </c>
      <c r="G86" s="107">
        <f>VLOOKUP(B86,'Gebouwgegevens Allacker'!$J$5:$Q$83,7,0)</f>
        <v>2.5990099009900991</v>
      </c>
      <c r="H86" s="108">
        <f>VLOOKUP(B86,'Gebouwgegevens Allacker'!$J$5:$Q$83,8,0)</f>
        <v>272.53217821782181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3">
      <c r="A87" s="95"/>
      <c r="B87" s="106"/>
      <c r="C87" s="107"/>
      <c r="D87" s="107"/>
      <c r="E87" s="107"/>
      <c r="F87" s="107"/>
      <c r="G87" s="107"/>
      <c r="H87" s="108"/>
      <c r="I87" s="108"/>
      <c r="J87" s="98"/>
      <c r="K87" s="98"/>
      <c r="L87" s="98"/>
      <c r="M87" s="98"/>
      <c r="N87" s="98"/>
      <c r="O87" s="98"/>
      <c r="P87" s="96"/>
    </row>
    <row r="88" spans="1:16" ht="16.5" customHeight="1" x14ac:dyDescent="0.3">
      <c r="A88" s="95"/>
      <c r="B88" s="106"/>
      <c r="C88" s="107"/>
      <c r="D88" s="107"/>
      <c r="E88" s="107"/>
      <c r="F88" s="107"/>
      <c r="G88" s="107"/>
      <c r="H88" s="108"/>
      <c r="I88" s="108"/>
      <c r="J88" s="98"/>
      <c r="K88" s="98"/>
      <c r="L88" s="98"/>
      <c r="M88" s="98"/>
      <c r="N88" s="98"/>
      <c r="O88" s="98"/>
      <c r="P88" s="96"/>
    </row>
    <row r="89" spans="1:16" ht="16.5" customHeight="1" x14ac:dyDescent="0.3">
      <c r="A89" s="95"/>
      <c r="B89" s="106"/>
      <c r="C89" s="107"/>
      <c r="D89" s="107"/>
      <c r="E89" s="107"/>
      <c r="F89" s="107"/>
      <c r="G89" s="107"/>
      <c r="H89" s="108"/>
      <c r="I89" s="108"/>
      <c r="J89" s="98"/>
      <c r="K89" s="98"/>
      <c r="L89" s="98"/>
      <c r="M89" s="98"/>
      <c r="N89" s="98"/>
      <c r="O89" s="98"/>
      <c r="P89" s="96"/>
    </row>
    <row r="90" spans="1:16" ht="16.5" customHeight="1" x14ac:dyDescent="0.3">
      <c r="A90" s="95"/>
      <c r="B90" s="106"/>
      <c r="C90" s="107"/>
      <c r="D90" s="107"/>
      <c r="E90" s="107"/>
      <c r="F90" s="107"/>
      <c r="G90" s="107"/>
      <c r="H90" s="108"/>
      <c r="I90" s="108"/>
      <c r="J90" s="98"/>
      <c r="K90" s="98"/>
      <c r="L90" s="98"/>
      <c r="M90" s="98"/>
      <c r="N90" s="98"/>
      <c r="O90" s="98"/>
      <c r="P90" s="96"/>
    </row>
    <row r="91" spans="1:16" ht="16.5" customHeight="1" x14ac:dyDescent="0.3">
      <c r="A91" s="95"/>
      <c r="B91" s="106"/>
      <c r="C91" s="107"/>
      <c r="D91" s="107"/>
      <c r="E91" s="107"/>
      <c r="F91" s="107"/>
      <c r="G91" s="107"/>
      <c r="H91" s="108"/>
      <c r="I91" s="108"/>
      <c r="J91" s="98"/>
      <c r="K91" s="98"/>
      <c r="L91" s="98"/>
      <c r="M91" s="98"/>
      <c r="N91" s="98"/>
      <c r="O91" s="98"/>
      <c r="P91" s="96"/>
    </row>
    <row r="92" spans="1:16" ht="16.5" customHeight="1" x14ac:dyDescent="0.3">
      <c r="A92" s="95"/>
      <c r="B92" s="106"/>
      <c r="C92" s="107"/>
      <c r="D92" s="107"/>
      <c r="E92" s="107"/>
      <c r="F92" s="107"/>
      <c r="G92" s="107"/>
      <c r="H92" s="108"/>
      <c r="I92" s="108"/>
      <c r="J92" s="98"/>
      <c r="K92" s="98"/>
      <c r="L92" s="98"/>
      <c r="M92" s="98"/>
      <c r="N92" s="98"/>
      <c r="O92" s="98"/>
      <c r="P92" s="96"/>
    </row>
    <row r="93" spans="1:16" ht="16.5" customHeigh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3">
      <c r="A100" s="95"/>
      <c r="B100" s="116" t="s">
        <v>216</v>
      </c>
      <c r="C100" s="117" t="e">
        <f>VLOOKUP(B100,'Gebouwgegevens Allacker'!$J$5:$Q$83,3,0)</f>
        <v>#N/A</v>
      </c>
      <c r="D100" s="117" t="e">
        <f>VLOOKUP(B100,'Gebouwgegevens Allacker'!$J$5:$Q$83,4,0)</f>
        <v>#N/A</v>
      </c>
      <c r="E100" s="117" t="e">
        <f>VLOOKUP(B100,'Gebouwgegevens Allacker'!$J$5:$Q$83,5,0)</f>
        <v>#N/A</v>
      </c>
      <c r="F100" s="117" t="e">
        <f>VLOOKUP(B100,'Gebouwgegevens Allacker'!$J$5:$Q$83,7,0)</f>
        <v>#N/A</v>
      </c>
      <c r="G100" s="118" t="e">
        <f>VLOOKUP(B100,'Gebouwgegevens Allacker'!$J$5:$Q$83,8,0)</f>
        <v>#N/A</v>
      </c>
      <c r="H100" s="118" t="e">
        <f>N100/F100</f>
        <v>#N/A</v>
      </c>
      <c r="I100" s="117" t="e">
        <f>VLOOKUP(C100,'Gebouwgegevens Allacker'!$A$35:$F$46,6,0)</f>
        <v>#N/A</v>
      </c>
      <c r="J100" s="116">
        <v>6.91</v>
      </c>
      <c r="K100" s="116">
        <v>0.33</v>
      </c>
      <c r="L100" s="119" t="e">
        <f>I100/(0.5*J100)</f>
        <v>#N/A</v>
      </c>
      <c r="M100" s="119" t="e">
        <f>K100+2*(1/F100)</f>
        <v>#N/A</v>
      </c>
      <c r="N100" s="120" t="e">
        <f>IF(M100&lt;L100,2*2/(PI()*L100+M100)*LN(PI()*L100/M100+1),2/(0.457*L100+M100))</f>
        <v>#N/A</v>
      </c>
      <c r="O100" s="98"/>
      <c r="P100" s="96"/>
    </row>
    <row r="101" spans="1:16" ht="18.75" customHeigh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3">
      <c r="A108" s="95"/>
      <c r="B108" s="121" t="s">
        <v>217</v>
      </c>
      <c r="C108" s="122" t="e">
        <f>IF(VLOOKUP(B108,'Gebouwgegevens Allacker'!$J$5:$Q$83,2,0)=B78,VLOOKUP(B108,'Gebouwgegevens Allacker'!$J$5:$Q$83,2,0),VLOOKUP(B108,'Gebouwgegevens Allacker'!$J$5:$Q$83,3,0))</f>
        <v>#N/A</v>
      </c>
      <c r="D108" s="122" t="e">
        <f>IF(VLOOKUP(B108,'Gebouwgegevens Allacker'!$J$5:$Q$83,2,0)=B78,VLOOKUP(B108,'Gebouwgegevens Allacker'!$J$5:$Q$83,3,0),VLOOKUP(B108,'Gebouwgegevens Allacker'!$J$5:$Q$83,2,0))</f>
        <v>#N/A</v>
      </c>
      <c r="E108" s="122" t="e">
        <f>VLOOKUP(B108,'Gebouwgegevens Allacker'!$J$5:$Q$83,4,0)</f>
        <v>#N/A</v>
      </c>
      <c r="F108" s="122" t="e">
        <f>VLOOKUP(B108,'Gebouwgegevens Allacker'!$J$5:$Q$83,5,0)</f>
        <v>#N/A</v>
      </c>
      <c r="G108" s="122" t="e">
        <f>VLOOKUP('Verwarming Allacker'!C108,'Gebouwgegevens Allacker'!$A$35:$F$46,5,0)</f>
        <v>#N/A</v>
      </c>
      <c r="H108" s="122" t="e">
        <f>VLOOKUP('Verwarming Allacker'!D108,'Gebouwgegevens Allacker'!$A$35:$F$46,5,0)</f>
        <v>#N/A</v>
      </c>
      <c r="I108" s="122" t="e">
        <f>VLOOKUP(B108,'Gebouwgegevens Allacker'!$J$5:$Q$83,7,0)</f>
        <v>#N/A</v>
      </c>
      <c r="J108" s="118" t="e">
        <f>VLOOKUP(B108,'Gebouwgegevens Allacker'!$J$5:$Q$83,8,0)</f>
        <v>#N/A</v>
      </c>
      <c r="K108" s="118" t="e">
        <f>(G108-H108)/(G108-$B$4)</f>
        <v>#N/A</v>
      </c>
      <c r="L108" s="98"/>
      <c r="M108" s="98"/>
      <c r="N108" s="98"/>
      <c r="O108" s="98"/>
      <c r="P108" s="96"/>
    </row>
    <row r="109" spans="1:16" ht="16.5" customHeight="1" x14ac:dyDescent="0.3">
      <c r="A109" s="95"/>
      <c r="B109" s="121" t="s">
        <v>218</v>
      </c>
      <c r="C109" s="122" t="e">
        <f>IF(VLOOKUP(B109,'Gebouwgegevens Allacker'!$J$5:$Q$83,2,0)=B78,VLOOKUP(B109,'Gebouwgegevens Allacker'!$J$5:$Q$83,2,0),VLOOKUP(B109,'Gebouwgegevens Allacker'!$J$5:$Q$83,3,0))</f>
        <v>#N/A</v>
      </c>
      <c r="D109" s="122" t="e">
        <f>IF(VLOOKUP(B109,'Gebouwgegevens Allacker'!$J$5:$Q$83,2,0)=B78,VLOOKUP(B109,'Gebouwgegevens Allacker'!$J$5:$Q$83,3,0),VLOOKUP(B109,'Gebouwgegevens Allacker'!$J$5:$Q$83,2,0))</f>
        <v>#N/A</v>
      </c>
      <c r="E109" s="122" t="e">
        <f>VLOOKUP(B109,'Gebouwgegevens Allacker'!$J$5:$Q$83,4,0)</f>
        <v>#N/A</v>
      </c>
      <c r="F109" s="122" t="e">
        <f>VLOOKUP(B109,'Gebouwgegevens Allacker'!$J$5:$Q$83,5,0)</f>
        <v>#N/A</v>
      </c>
      <c r="G109" s="122" t="e">
        <f>VLOOKUP('Verwarming Allacker'!C109,'Gebouwgegevens Allacker'!$A$35:$F$46,5,0)</f>
        <v>#N/A</v>
      </c>
      <c r="H109" s="122" t="e">
        <f>VLOOKUP('Verwarming Allacker'!D109,'Gebouwgegevens Allacker'!$A$35:$F$46,5,0)</f>
        <v>#N/A</v>
      </c>
      <c r="I109" s="122" t="e">
        <f>VLOOKUP(B109,'Gebouwgegevens Allacker'!$J$5:$Q$83,7,0)</f>
        <v>#N/A</v>
      </c>
      <c r="J109" s="118" t="e">
        <f>VLOOKUP(B109,'Gebouwgegevens Allacker'!$J$5:$Q$83,8,0)</f>
        <v>#N/A</v>
      </c>
      <c r="K109" s="118" t="e">
        <f>(G109-H109)/(G109-$B$4)</f>
        <v>#N/A</v>
      </c>
      <c r="L109" s="98"/>
      <c r="M109" s="98"/>
      <c r="N109" s="98"/>
      <c r="O109" s="98"/>
      <c r="P109" s="96"/>
    </row>
    <row r="110" spans="1:16" ht="16.5" customHeight="1" x14ac:dyDescent="0.3">
      <c r="A110" s="95"/>
      <c r="B110" s="121" t="s">
        <v>219</v>
      </c>
      <c r="C110" s="122" t="e">
        <f>IF(VLOOKUP(B110,'Gebouwgegevens Allacker'!$J$5:$Q$83,2,0)=B78,VLOOKUP(B110,'Gebouwgegevens Allacker'!$J$5:$Q$83,2,0),VLOOKUP(B110,'Gebouwgegevens Allacker'!$J$5:$Q$83,3,0))</f>
        <v>#N/A</v>
      </c>
      <c r="D110" s="122" t="e">
        <f>IF(VLOOKUP(B110,'Gebouwgegevens Allacker'!$J$5:$Q$83,2,0)=B78,VLOOKUP(B110,'Gebouwgegevens Allacker'!$J$5:$Q$83,3,0),VLOOKUP(B110,'Gebouwgegevens Allacker'!$J$5:$Q$83,2,0))</f>
        <v>#N/A</v>
      </c>
      <c r="E110" s="122" t="e">
        <f>VLOOKUP(B110,'Gebouwgegevens Allacker'!$J$5:$Q$83,4,0)</f>
        <v>#N/A</v>
      </c>
      <c r="F110" s="122" t="e">
        <f>VLOOKUP(B110,'Gebouwgegevens Allacker'!$J$5:$Q$83,5,0)</f>
        <v>#N/A</v>
      </c>
      <c r="G110" s="122" t="e">
        <f>VLOOKUP('Verwarming Allacker'!C110,'Gebouwgegevens Allacker'!$A$35:$F$46,5,0)</f>
        <v>#N/A</v>
      </c>
      <c r="H110" s="122" t="e">
        <f>VLOOKUP('Verwarming Allacker'!D110,'Gebouwgegevens Allacker'!$A$35:$F$46,5,0)</f>
        <v>#N/A</v>
      </c>
      <c r="I110" s="122" t="e">
        <f>VLOOKUP(B110,'Gebouwgegevens Allacker'!$J$5:$Q$83,7,0)</f>
        <v>#N/A</v>
      </c>
      <c r="J110" s="118" t="e">
        <f>VLOOKUP(B110,'Gebouwgegevens Allacker'!$J$5:$Q$83,8,0)</f>
        <v>#N/A</v>
      </c>
      <c r="K110" s="118" t="e">
        <f>(G110-H110)/(G110-$B$4)</f>
        <v>#N/A</v>
      </c>
      <c r="L110" s="98"/>
      <c r="M110" s="98"/>
      <c r="N110" s="98"/>
      <c r="O110" s="98"/>
      <c r="P110" s="96"/>
    </row>
    <row r="111" spans="1:16" ht="16.5" customHeight="1" x14ac:dyDescent="0.3">
      <c r="A111" s="95"/>
      <c r="B111" s="92" t="s">
        <v>220</v>
      </c>
      <c r="C111" s="122" t="e">
        <f>IF(VLOOKUP(B111,'Gebouwgegevens Allacker'!$J$5:$Q$83,2,0)=B78,VLOOKUP(B111,'Gebouwgegevens Allacker'!$J$5:$Q$83,2,0),VLOOKUP(B111,'Gebouwgegevens Allacker'!$J$5:$Q$83,3,0))</f>
        <v>#N/A</v>
      </c>
      <c r="D111" s="122" t="e">
        <f>IF(VLOOKUP(B111,'Gebouwgegevens Allacker'!$J$5:$Q$83,2,0)=B78,VLOOKUP(B111,'Gebouwgegevens Allacker'!$J$5:$Q$83,3,0),VLOOKUP(B111,'Gebouwgegevens Allacker'!$J$5:$Q$83,2,0))</f>
        <v>#N/A</v>
      </c>
      <c r="E111" s="122" t="e">
        <f>VLOOKUP(B111,'Gebouwgegevens Allacker'!$J$5:$Q$83,4,0)</f>
        <v>#N/A</v>
      </c>
      <c r="F111" s="122" t="e">
        <f>VLOOKUP(B111,'Gebouwgegevens Allacker'!$J$5:$Q$83,5,0)</f>
        <v>#N/A</v>
      </c>
      <c r="G111" s="122" t="e">
        <f>VLOOKUP('Verwarming Allacker'!C111,'Gebouwgegevens Allacker'!$A$35:$F$46,5,0)</f>
        <v>#N/A</v>
      </c>
      <c r="H111" s="122" t="e">
        <f>VLOOKUP('Verwarming Allacker'!D111,'Gebouwgegevens Allacker'!$A$35:$F$46,5,0)</f>
        <v>#N/A</v>
      </c>
      <c r="I111" s="122" t="e">
        <f>VLOOKUP(B111,'Gebouwgegevens Allacker'!$J$5:$Q$83,7,0)</f>
        <v>#N/A</v>
      </c>
      <c r="J111" s="118" t="e">
        <f>VLOOKUP(B111,'Gebouwgegevens Allacker'!$J$5:$Q$83,8,0)</f>
        <v>#N/A</v>
      </c>
      <c r="K111" s="118" t="e">
        <f>(G111-H111)/(G111-$B$4)</f>
        <v>#N/A</v>
      </c>
      <c r="L111" s="98"/>
      <c r="M111" s="98"/>
      <c r="N111" s="98"/>
      <c r="O111" s="98"/>
      <c r="P111" s="96"/>
    </row>
    <row r="112" spans="1:16" ht="16.5" customHeight="1" x14ac:dyDescent="0.3">
      <c r="A112" s="95"/>
      <c r="B112" s="123" t="s">
        <v>221</v>
      </c>
      <c r="C112" s="139" t="e">
        <f>IF(VLOOKUP(B112,'Gebouwgegevens Allacker'!$J$5:$Q$83,2,0)=B78,VLOOKUP(B112,'Gebouwgegevens Allacker'!$J$5:$Q$83,2,0),VLOOKUP(B112,'Gebouwgegevens Allacker'!$J$5:$Q$83,3,0))</f>
        <v>#N/A</v>
      </c>
      <c r="D112" s="122" t="e">
        <f>IF(VLOOKUP(B112,'Gebouwgegevens Allacker'!$J$5:$Q$83,2,0)=B78,VLOOKUP(B112,'Gebouwgegevens Allacker'!$J$5:$Q$83,3,0),VLOOKUP(B112,'Gebouwgegevens Allacker'!$J$5:$Q$83,2,0))</f>
        <v>#N/A</v>
      </c>
      <c r="E112" s="122" t="e">
        <f>VLOOKUP(B112,'Gebouwgegevens Allacker'!$J$5:$Q$83,4,0)</f>
        <v>#N/A</v>
      </c>
      <c r="F112" s="122" t="e">
        <f>VLOOKUP(B112,'Gebouwgegevens Allacker'!$J$5:$Q$83,5,0)</f>
        <v>#N/A</v>
      </c>
      <c r="G112" s="122" t="e">
        <f>VLOOKUP('Verwarming Allacker'!C112,'Gebouwgegevens Allacker'!$A$35:$F$46,5,0)</f>
        <v>#N/A</v>
      </c>
      <c r="H112" s="122" t="e">
        <f>VLOOKUP('Verwarming Allacker'!D112,'Gebouwgegevens Allacker'!$A$35:$F$46,5,0)</f>
        <v>#N/A</v>
      </c>
      <c r="I112" s="122" t="e">
        <f>VLOOKUP(B112,'Gebouwgegevens Allacker'!$J$5:$Q$83,7,0)</f>
        <v>#N/A</v>
      </c>
      <c r="J112" s="118" t="e">
        <f>VLOOKUP(B112,'Gebouwgegevens Allacker'!$J$5:$Q$83,8,0)</f>
        <v>#N/A</v>
      </c>
      <c r="K112" s="118" t="e">
        <f>(G112-H112)/(G112-$B$4)</f>
        <v>#N/A</v>
      </c>
      <c r="L112" s="98"/>
      <c r="M112" s="98"/>
      <c r="N112" s="98"/>
      <c r="O112" s="98"/>
      <c r="P112" s="96"/>
    </row>
    <row r="113" spans="1:16" ht="16.5" customHeigh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 t="e">
        <f>SUMPRODUCT(H84:H95,I84:I95)+SUMPRODUCT(G100:G104,H100:H104)+SUMPRODUCT(J108:J117,K108:K117)</f>
        <v>#N/A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 t="e">
        <f>B121*(G111-$B$4)</f>
        <v>#N/A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3">
      <c r="A124" s="317" t="s">
        <v>194</v>
      </c>
      <c r="B124" s="317"/>
      <c r="C124" s="317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3">
      <c r="A127" s="127" t="s">
        <v>196</v>
      </c>
      <c r="B127" s="121">
        <v>8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3">
      <c r="A130" s="124" t="s">
        <v>202</v>
      </c>
      <c r="B130" s="118">
        <f>2*VLOOKUP(B78,'Gebouwgegevens Allacker'!$A$35:$F$46,6,0)*B127*B128*B129</f>
        <v>0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VLOOKUP(B78,'Gebouwgegevens Allacker'!$A$35:$F$46,6,0)</f>
        <v>0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50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MAX(B130,B134)</f>
        <v>50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0.31350321027287315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0.34*B137</f>
        <v>17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B139*('Gebouwgegevens Allacker'!E100-$B$4)</f>
        <v>136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3">
      <c r="A144" s="127" t="s">
        <v>211</v>
      </c>
      <c r="B144" s="121">
        <v>45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3">
      <c r="A145" s="127" t="s">
        <v>113</v>
      </c>
      <c r="B145" s="121">
        <f>VLOOKUP(B78,'Gebouwgegevens Allacker'!$A$35:$F$46,6,0)</f>
        <v>0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3">
      <c r="A146" s="124" t="s">
        <v>213</v>
      </c>
      <c r="B146" s="118">
        <f>B147/('Gebouwgegevens Allacker'!E100-'Verwarming Allacker'!$B$4)</f>
        <v>0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0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3">
      <c r="A151" s="124" t="s">
        <v>215</v>
      </c>
      <c r="B151" s="118" t="e">
        <f>SUM(B121,B139,B146)</f>
        <v>#N/A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 t="e">
        <f>SUM(B122,B140,B147)</f>
        <v>#N/A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3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3">
      <c r="A159" s="317" t="s">
        <v>168</v>
      </c>
      <c r="B159" s="317"/>
      <c r="C159" s="317"/>
      <c r="D159" s="31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Allacker'!C188,'Gebouwgegevens Allacker'!$A$35:$F$46,5,0)</f>
        <v>#N/A</v>
      </c>
      <c r="H188" s="122" t="e">
        <f>VLOOKUP('Verwarming Allacker'!D188,'Gebouwgegevens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Allacker'!C189,'Gebouwgegevens Allacker'!$A$35:$F$46,5,0)</f>
        <v>#N/A</v>
      </c>
      <c r="H189" s="122" t="e">
        <f>VLOOKUP('Verwarming Allacker'!D189,'Gebouwgegevens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Allacker'!C190,'Gebouwgegevens Allacker'!$A$35:$F$46,5,0)</f>
        <v>#N/A</v>
      </c>
      <c r="H190" s="122" t="e">
        <f>VLOOKUP('Verwarming Allacker'!D190,'Gebouwgegevens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3">
      <c r="A204" s="317" t="s">
        <v>194</v>
      </c>
      <c r="B204" s="317"/>
      <c r="C204" s="317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Allacker'!$B$4)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3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3">
      <c r="A238" s="317" t="s">
        <v>168</v>
      </c>
      <c r="B238" s="317"/>
      <c r="C238" s="317"/>
      <c r="D238" s="31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Allacker'!C267,'Gebouwgegevens Allacker'!$A$35:$F$46,5,0)</f>
        <v>#N/A</v>
      </c>
      <c r="H267" s="122" t="e">
        <f>VLOOKUP('Verwarming Allacker'!D267,'Gebouwgegevens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Allacker'!C268,'Gebouwgegevens Allacker'!$A$35:$F$46,5,0)</f>
        <v>#N/A</v>
      </c>
      <c r="H268" s="122" t="e">
        <f>VLOOKUP('Verwarming Allacker'!D268,'Gebouwgegevens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Allacker'!C269,'Gebouwgegevens Allacker'!$A$35:$F$46,5,0)</f>
        <v>#N/A</v>
      </c>
      <c r="H269" s="122" t="e">
        <f>VLOOKUP('Verwarming Allacker'!D269,'Gebouwgegevens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Allacker'!C270,'Gebouwgegevens Allacker'!$A$35:$F$46,5,0)</f>
        <v>#N/A</v>
      </c>
      <c r="H270" s="122" t="e">
        <f>VLOOKUP('Verwarming Allacker'!D270,'Gebouwgegevens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3">
      <c r="A283" s="317" t="s">
        <v>194</v>
      </c>
      <c r="B283" s="317"/>
      <c r="C283" s="317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Allacker'!$B$4)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3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3">
      <c r="A317" s="317" t="s">
        <v>168</v>
      </c>
      <c r="B317" s="317"/>
      <c r="C317" s="317"/>
      <c r="D317" s="31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Allacker'!C346,'Gebouwgegevens Allacker'!$A$35:$F$46,5,0)</f>
        <v>#N/A</v>
      </c>
      <c r="H346" s="122" t="e">
        <f>VLOOKUP('Verwarming Allacker'!D346,'Gebouwgegevens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Allacker'!C347,'Gebouwgegevens Allacker'!$A$35:$F$46,5,0)</f>
        <v>#N/A</v>
      </c>
      <c r="H347" s="122" t="e">
        <f>VLOOKUP('Verwarming Allacker'!D347,'Gebouwgegevens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Allacker'!C348,'Gebouwgegevens Allacker'!$A$35:$F$46,5,0)</f>
        <v>#N/A</v>
      </c>
      <c r="H348" s="122" t="e">
        <f>VLOOKUP('Verwarming Allacker'!D348,'Gebouwgegevens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Allacker'!C349,'Gebouwgegevens Allacker'!$A$35:$F$46,5,0)</f>
        <v>#N/A</v>
      </c>
      <c r="H349" s="122" t="e">
        <f>VLOOKUP('Verwarming Allacker'!D349,'Gebouwgegevens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Allacker'!C350,'Gebouwgegevens Allacker'!$A$35:$F$46,5,0)</f>
        <v>#N/A</v>
      </c>
      <c r="H350" s="122" t="e">
        <f>VLOOKUP('Verwarming Allacker'!D350,'Gebouwgegevens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3">
      <c r="A362" s="317" t="s">
        <v>194</v>
      </c>
      <c r="B362" s="317"/>
      <c r="C362" s="317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Allacker'!$B$4)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3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3">
      <c r="A395" s="317" t="s">
        <v>168</v>
      </c>
      <c r="B395" s="317"/>
      <c r="C395" s="317"/>
      <c r="D395" s="31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Allacker'!C424,'Gebouwgegevens Allacker'!$A$35:$F$46,5,0)</f>
        <v>#N/A</v>
      </c>
      <c r="H424" s="122" t="e">
        <f>VLOOKUP('Verwarming Allacker'!D424,'Gebouwgegevens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Allacker'!C425,'Gebouwgegevens Allacker'!$A$35:$F$46,5,0)</f>
        <v>#N/A</v>
      </c>
      <c r="H425" s="122" t="e">
        <f>VLOOKUP('Verwarming Allacker'!D425,'Gebouwgegevens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Allacker'!C426,'Gebouwgegevens Allacker'!$A$35:$F$46,5,0)</f>
        <v>#N/A</v>
      </c>
      <c r="H426" s="122" t="e">
        <f>VLOOKUP('Verwarming Allacker'!D426,'Gebouwgegevens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Allacker'!C427,'Gebouwgegevens Allacker'!$A$35:$F$46,5,0)</f>
        <v>#N/A</v>
      </c>
      <c r="H427" s="122" t="e">
        <f>VLOOKUP('Verwarming Allacker'!D427,'Gebouwgegevens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Allacker'!C428,'Gebouwgegevens Allacker'!$A$35:$F$46,5,0)</f>
        <v>#N/A</v>
      </c>
      <c r="H428" s="122" t="e">
        <f>VLOOKUP('Verwarming Allacker'!D428,'Gebouwgegevens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3">
      <c r="A440" s="317" t="s">
        <v>194</v>
      </c>
      <c r="B440" s="317"/>
      <c r="C440" s="317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Allacker'!$B$4)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3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3">
      <c r="A473" s="317" t="s">
        <v>168</v>
      </c>
      <c r="B473" s="317"/>
      <c r="C473" s="317"/>
      <c r="D473" s="31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Allacker'!C502,'Gebouwgegevens Allacker'!$A$35:$F$46,5,0)</f>
        <v>#N/A</v>
      </c>
      <c r="H502" s="122" t="e">
        <f>VLOOKUP('Verwarming Allacker'!D502,'Gebouwgegevens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Allacker'!C503,'Gebouwgegevens Allacker'!$A$35:$F$46,5,0)</f>
        <v>#N/A</v>
      </c>
      <c r="H503" s="122" t="e">
        <f>VLOOKUP('Verwarming Allacker'!D503,'Gebouwgegevens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Allacker'!C504,'Gebouwgegevens Allacker'!$A$35:$F$46,5,0)</f>
        <v>#N/A</v>
      </c>
      <c r="H504" s="122" t="e">
        <f>VLOOKUP('Verwarming Allacker'!D504,'Gebouwgegevens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3">
      <c r="A518" s="317" t="s">
        <v>194</v>
      </c>
      <c r="B518" s="317"/>
      <c r="C518" s="317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Allacker'!$B$4)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3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3">
      <c r="A552" s="317" t="s">
        <v>168</v>
      </c>
      <c r="B552" s="317"/>
      <c r="C552" s="317"/>
      <c r="D552" s="31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Allacker'!C581,'Gebouwgegevens Allacker'!$A$35:$F$46,5,0)</f>
        <v>#N/A</v>
      </c>
      <c r="H581" s="122" t="e">
        <f>VLOOKUP('Verwarming Allacker'!D581,'Gebouwgegevens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Allacker'!C582,'Gebouwgegevens Allacker'!$A$35:$F$46,5,0)</f>
        <v>#N/A</v>
      </c>
      <c r="H582" s="122" t="e">
        <f>VLOOKUP('Verwarming Allacker'!D582,'Gebouwgegevens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Allacker'!C583,'Gebouwgegevens Allacker'!$A$35:$F$46,5,0)</f>
        <v>#N/A</v>
      </c>
      <c r="H583" s="122" t="e">
        <f>VLOOKUP('Verwarming Allacker'!D583,'Gebouwgegevens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3">
      <c r="A597" s="317" t="s">
        <v>194</v>
      </c>
      <c r="B597" s="317"/>
      <c r="C597" s="317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Allacker'!$B$4)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3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3">
      <c r="A631" s="317" t="s">
        <v>168</v>
      </c>
      <c r="B631" s="317"/>
      <c r="C631" s="317"/>
      <c r="D631" s="31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Allacker'!C660,'Gebouwgegevens Allacker'!$A$35:$F$46,5,0)</f>
        <v>#N/A</v>
      </c>
      <c r="H660" s="122" t="e">
        <f>VLOOKUP('Verwarming Allacker'!D660,'Gebouwgegevens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Allacker'!C661,'Gebouwgegevens Allacker'!$A$35:$F$46,5,0)</f>
        <v>#N/A</v>
      </c>
      <c r="H661" s="122" t="e">
        <f>VLOOKUP('Verwarming Allacker'!D661,'Gebouwgegevens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3">
      <c r="A676" s="317" t="s">
        <v>194</v>
      </c>
      <c r="B676" s="317"/>
      <c r="C676" s="317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Allacker'!$B$4)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3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3">
      <c r="A710" s="317" t="s">
        <v>168</v>
      </c>
      <c r="B710" s="317"/>
      <c r="C710" s="317"/>
      <c r="D710" s="31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Allacker'!C739,'Gebouwgegevens Allacker'!$A$35:$F$46,5,0)</f>
        <v>#N/A</v>
      </c>
      <c r="H739" s="122" t="e">
        <f>VLOOKUP('Verwarming Allacker'!D739,'Gebouwgegevens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Allacker'!C740,'Gebouwgegevens Allacker'!$A$35:$F$46,5,0)</f>
        <v>#N/A</v>
      </c>
      <c r="H740" s="122" t="e">
        <f>VLOOKUP('Verwarming Allacker'!D740,'Gebouwgegevens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Allacker'!C741,'Gebouwgegevens Allacker'!$A$35:$F$46,5,0)</f>
        <v>#N/A</v>
      </c>
      <c r="H741" s="122" t="e">
        <f>VLOOKUP('Verwarming Allacker'!D741,'Gebouwgegevens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Allacker'!C742,'Gebouwgegevens Allacker'!$A$35:$F$46,5,0)</f>
        <v>#N/A</v>
      </c>
      <c r="H742" s="122" t="e">
        <f>VLOOKUP('Verwarming Allacker'!D742,'Gebouwgegevens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Allacker'!C743,'Gebouwgegevens Allacker'!$A$35:$F$46,5,0)</f>
        <v>#N/A</v>
      </c>
      <c r="H743" s="122" t="e">
        <f>VLOOKUP('Verwarming Allacker'!D743,'Gebouwgegevens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Allacker'!C744,'Gebouwgegevens Allacker'!$A$35:$F$46,5,0)</f>
        <v>#N/A</v>
      </c>
      <c r="H744" s="122" t="e">
        <f>VLOOKUP('Verwarming Allacker'!D744,'Gebouwgegevens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Allacker'!C745,'Gebouwgegevens Allacker'!$A$35:$F$46,5,0)</f>
        <v>#N/A</v>
      </c>
      <c r="H745" s="122" t="e">
        <f>VLOOKUP('Verwarming Allacker'!D745,'Gebouwgegevens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Allacker'!C746,'Gebouwgegevens Allacker'!$A$35:$F$46,5,0)</f>
        <v>#N/A</v>
      </c>
      <c r="H746" s="122" t="e">
        <f>VLOOKUP('Verwarming Allacker'!D746,'Gebouwgegevens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Allacker'!C747,'Gebouwgegevens Allacker'!$A$35:$F$46,5,0)</f>
        <v>#N/A</v>
      </c>
      <c r="H747" s="122" t="e">
        <f>VLOOKUP('Verwarming Allacker'!D747,'Gebouwgegevens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Allacker'!C748,'Gebouwgegevens Allacker'!$A$35:$F$46,5,0)</f>
        <v>#N/A</v>
      </c>
      <c r="H748" s="122" t="e">
        <f>VLOOKUP('Verwarming Allacker'!D748,'Gebouwgegevens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Allacker'!C749,'Gebouwgegevens Allacker'!$A$35:$F$46,5,0)</f>
        <v>#N/A</v>
      </c>
      <c r="H749" s="122" t="e">
        <f>VLOOKUP('Verwarming Allacker'!D749,'Gebouwgegevens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Allacker'!C750,'Gebouwgegevens Allacker'!$A$35:$F$46,5,0)</f>
        <v>#N/A</v>
      </c>
      <c r="H750" s="122" t="e">
        <f>VLOOKUP('Verwarming Allacker'!D750,'Gebouwgegevens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3">
      <c r="A755" s="317" t="s">
        <v>194</v>
      </c>
      <c r="B755" s="317"/>
      <c r="C755" s="317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Allacker'!$B$4)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4" zoomScaleNormal="100" workbookViewId="0">
      <selection activeCell="W21" activeCellId="1" sqref="A27:B27 W21"/>
    </sheetView>
  </sheetViews>
  <sheetFormatPr defaultRowHeight="14.4" x14ac:dyDescent="0.3"/>
  <cols>
    <col min="1" max="1025" width="9.109375" style="3"/>
  </cols>
  <sheetData>
    <row r="1" spans="1:25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5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5" ht="15.75" customHeigh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5" ht="15.75" customHeigh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5" ht="18" customHeight="1" x14ac:dyDescent="0.3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12" t="s">
        <v>165</v>
      </c>
      <c r="W5" s="312"/>
      <c r="X5" s="312"/>
      <c r="Y5" s="96"/>
    </row>
    <row r="6" spans="1:25" ht="18.75" customHeigh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5" ht="16.5" customHeight="1" x14ac:dyDescent="0.3">
      <c r="A7" s="317" t="s">
        <v>168</v>
      </c>
      <c r="B7" s="317"/>
      <c r="C7" s="317"/>
      <c r="D7" s="31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40342.118114355151</v>
      </c>
      <c r="X7" s="98" t="s">
        <v>169</v>
      </c>
      <c r="Y7" s="96"/>
    </row>
    <row r="8" spans="1:25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 t="e">
        <f>B152</f>
        <v>#N/A</v>
      </c>
      <c r="X8" s="98" t="s">
        <v>169</v>
      </c>
      <c r="Y8" s="96"/>
    </row>
    <row r="9" spans="1:25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 t="e">
        <f>B232</f>
        <v>#N/A</v>
      </c>
      <c r="X9" s="98" t="s">
        <v>169</v>
      </c>
      <c r="Y9" s="96"/>
    </row>
    <row r="10" spans="1:25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 t="e">
        <f>B311</f>
        <v>#N/A</v>
      </c>
      <c r="X10" s="98" t="s">
        <v>169</v>
      </c>
      <c r="Y10" s="96"/>
    </row>
    <row r="11" spans="1:25" ht="15.75" customHeigh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 t="e">
        <f>B390</f>
        <v>#N/A</v>
      </c>
      <c r="X11" s="98" t="s">
        <v>169</v>
      </c>
      <c r="Y11" s="96"/>
    </row>
    <row r="12" spans="1:25" ht="16.5" customHeight="1" x14ac:dyDescent="0.3">
      <c r="A12" s="95"/>
      <c r="B12" s="106" t="str">
        <f>'Gebouwgegevens Allacker'!J6</f>
        <v>W1</v>
      </c>
      <c r="C12" s="107">
        <f>VLOOKUP(B12,'Gebouwgegevens Tabula'!$J$5:$Q$83,3,0)</f>
        <v>1</v>
      </c>
      <c r="D12" s="107" t="str">
        <f>VLOOKUP(B12,'Gebouwgegevens Tabula'!$J$5:$Q$83,4,0)</f>
        <v>Wall External</v>
      </c>
      <c r="E12" s="107">
        <f>VLOOKUP(B12,'Gebouwgegevens Tabula'!$J$5:$Q$83,5,0)</f>
        <v>55.275000000000006</v>
      </c>
      <c r="F12" s="107" t="str">
        <f>VLOOKUP(B12,'Gebouwgegevens Tabula'!$J$5:$Q$83,6,0)</f>
        <v>front</v>
      </c>
      <c r="G12" s="107">
        <f>VLOOKUP(B12,'Gebouwgegevens Tabula'!$J$5:$Q$83,7,0)</f>
        <v>2.2022341505875525</v>
      </c>
      <c r="H12" s="108">
        <f>VLOOKUP(B12,'Gebouwgegevens Tabula'!$J$5:$Q$83,8,0)</f>
        <v>121.72849267372698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 t="e">
        <f>B468</f>
        <v>#N/A</v>
      </c>
      <c r="X12" s="98" t="s">
        <v>169</v>
      </c>
      <c r="Y12" s="96"/>
    </row>
    <row r="13" spans="1:25" ht="16.5" customHeight="1" x14ac:dyDescent="0.3">
      <c r="A13" s="95"/>
      <c r="B13" s="106" t="str">
        <f>'Gebouwgegevens Allacker'!J7</f>
        <v>W2</v>
      </c>
      <c r="C13" s="107">
        <f>VLOOKUP(B13,'Gebouwgegevens Tabula'!$J$5:$Q$83,3,0)</f>
        <v>1</v>
      </c>
      <c r="D13" s="107" t="str">
        <f>VLOOKUP(B13,'Gebouwgegevens Tabula'!$J$5:$Q$83,4,0)</f>
        <v>Wall External</v>
      </c>
      <c r="E13" s="107">
        <f>VLOOKUP(B13,'Gebouwgegevens Tabula'!$J$5:$Q$83,5,0)</f>
        <v>45.225000000000001</v>
      </c>
      <c r="F13" s="107" t="str">
        <f>VLOOKUP(B13,'Gebouwgegevens Tabula'!$J$5:$Q$83,6,0)</f>
        <v>right</v>
      </c>
      <c r="G13" s="107">
        <f>VLOOKUP(B13,'Gebouwgegevens Tabula'!$J$5:$Q$83,7,0)</f>
        <v>2.2022341505875525</v>
      </c>
      <c r="H13" s="108">
        <f>VLOOKUP(B13,'Gebouwgegevens Tabula'!$J$5:$Q$83,8,0)</f>
        <v>99.596039460322061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 t="e">
        <f>B546</f>
        <v>#N/A</v>
      </c>
      <c r="X13" s="98" t="s">
        <v>169</v>
      </c>
      <c r="Y13" s="96"/>
    </row>
    <row r="14" spans="1:25" ht="16.5" customHeight="1" x14ac:dyDescent="0.3">
      <c r="A14" s="95"/>
      <c r="B14" s="106" t="str">
        <f>'Gebouwgegevens Allacker'!J8</f>
        <v>W3</v>
      </c>
      <c r="C14" s="107">
        <f>VLOOKUP(B14,'Gebouwgegevens Tabula'!$J$5:$Q$83,3,0)</f>
        <v>1</v>
      </c>
      <c r="D14" s="107" t="str">
        <f>VLOOKUP(B14,'Gebouwgegevens Tabula'!$J$5:$Q$83,4,0)</f>
        <v>Wall External</v>
      </c>
      <c r="E14" s="107">
        <f>VLOOKUP(B14,'Gebouwgegevens Tabula'!$J$5:$Q$83,5,0)</f>
        <v>55.275000000000006</v>
      </c>
      <c r="F14" s="107" t="str">
        <f>VLOOKUP(B14,'Gebouwgegevens Tabula'!$J$5:$Q$83,6,0)</f>
        <v>back</v>
      </c>
      <c r="G14" s="107">
        <f>VLOOKUP(B14,'Gebouwgegevens Tabula'!$J$5:$Q$83,7,0)</f>
        <v>2.2022341505875525</v>
      </c>
      <c r="H14" s="108">
        <f>VLOOKUP(B14,'Gebouwgegevens Tabula'!$J$5:$Q$83,8,0)</f>
        <v>121.72849267372698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 t="e">
        <f>B625</f>
        <v>#N/A</v>
      </c>
      <c r="X14" s="98" t="s">
        <v>169</v>
      </c>
      <c r="Y14" s="96"/>
    </row>
    <row r="15" spans="1:25" ht="16.5" customHeight="1" x14ac:dyDescent="0.3">
      <c r="A15" s="95"/>
      <c r="B15" s="106" t="str">
        <f>'Gebouwgegevens Allacker'!J9</f>
        <v>W4</v>
      </c>
      <c r="C15" s="107">
        <f>VLOOKUP(B15,'Gebouwgegevens Tabula'!$J$5:$Q$83,3,0)</f>
        <v>1</v>
      </c>
      <c r="D15" s="107" t="str">
        <f>VLOOKUP(B15,'Gebouwgegevens Tabula'!$J$5:$Q$83,4,0)</f>
        <v>Wall External</v>
      </c>
      <c r="E15" s="107">
        <f>VLOOKUP(B15,'Gebouwgegevens Tabula'!$J$5:$Q$83,5,0)</f>
        <v>45.225000000000001</v>
      </c>
      <c r="F15" s="107" t="str">
        <f>VLOOKUP(B15,'Gebouwgegevens Tabula'!$J$5:$Q$83,6,0)</f>
        <v>left</v>
      </c>
      <c r="G15" s="107">
        <f>VLOOKUP(B15,'Gebouwgegevens Tabula'!$J$5:$Q$83,7,0)</f>
        <v>2.2022341505875525</v>
      </c>
      <c r="H15" s="108">
        <f>VLOOKUP(B15,'Gebouwgegevens Tabula'!$J$5:$Q$83,8,0)</f>
        <v>99.596039460322061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 t="e">
        <f>B704</f>
        <v>#N/A</v>
      </c>
      <c r="X15" s="98" t="s">
        <v>169</v>
      </c>
      <c r="Y15" s="96"/>
    </row>
    <row r="16" spans="1:25" ht="16.5" customHeight="1" x14ac:dyDescent="0.3">
      <c r="A16" s="95"/>
      <c r="B16" s="106" t="str">
        <f>'Gebouwgegevens Allacker'!J10</f>
        <v>W5</v>
      </c>
      <c r="C16" s="107">
        <f>VLOOKUP(B16,'Gebouwgegevens Tabula'!$J$5:$Q$83,3,0)</f>
        <v>1</v>
      </c>
      <c r="D16" s="107" t="str">
        <f>VLOOKUP(B16,'Gebouwgegevens Tabula'!$J$5:$Q$83,4,0)</f>
        <v>Window</v>
      </c>
      <c r="E16" s="107">
        <f>VLOOKUP(B16,'Gebouwgegevens Tabula'!$J$5:$Q$83,5,0)</f>
        <v>10.8</v>
      </c>
      <c r="F16" s="107" t="str">
        <f>VLOOKUP(B16,'Gebouwgegevens Tabula'!$J$5:$Q$83,6,0)</f>
        <v>front</v>
      </c>
      <c r="G16" s="107">
        <f>VLOOKUP(B16,'Gebouwgegevens Tabula'!$J$5:$Q$83,7,0)</f>
        <v>5</v>
      </c>
      <c r="H16" s="108">
        <f>VLOOKUP(B16,'Gebouwgegevens Tabula'!$J$5:$Q$83,8,0)</f>
        <v>54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 t="e">
        <f>B783</f>
        <v>#N/A</v>
      </c>
      <c r="X16" s="98" t="s">
        <v>169</v>
      </c>
      <c r="Y16" s="96"/>
    </row>
    <row r="17" spans="1:25" ht="16.5" customHeight="1" x14ac:dyDescent="0.3">
      <c r="A17" s="95"/>
      <c r="B17" s="106" t="str">
        <f>'Gebouwgegevens Allacker'!J11</f>
        <v>W6</v>
      </c>
      <c r="C17" s="107">
        <f>VLOOKUP(B17,'Gebouwgegevens Tabula'!$J$5:$Q$83,3,0)</f>
        <v>1</v>
      </c>
      <c r="D17" s="107" t="str">
        <f>VLOOKUP(B17,'Gebouwgegevens Tabula'!$J$5:$Q$83,4,0)</f>
        <v>Window</v>
      </c>
      <c r="E17" s="107">
        <f>VLOOKUP(B17,'Gebouwgegevens Tabula'!$J$5:$Q$83,5,0)</f>
        <v>9.3000000000000007</v>
      </c>
      <c r="F17" s="107" t="str">
        <f>VLOOKUP(B17,'Gebouwgegevens Tabula'!$J$5:$Q$83,6,0)</f>
        <v>right</v>
      </c>
      <c r="G17" s="107">
        <f>VLOOKUP(B17,'Gebouwgegevens Tabula'!$J$5:$Q$83,7,0)</f>
        <v>5</v>
      </c>
      <c r="H17" s="108">
        <f>VLOOKUP(B17,'Gebouwgegevens Tabula'!$J$5:$Q$83,8,0)</f>
        <v>46.5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3">
      <c r="A18" s="95"/>
      <c r="B18" s="106" t="str">
        <f>'Gebouwgegevens Allacker'!J12</f>
        <v>W7</v>
      </c>
      <c r="C18" s="107">
        <f>VLOOKUP(B18,'Gebouwgegevens Tabula'!$J$5:$Q$83,3,0)</f>
        <v>1</v>
      </c>
      <c r="D18" s="107" t="str">
        <f>VLOOKUP(B18,'Gebouwgegevens Tabula'!$J$5:$Q$83,4,0)</f>
        <v>Window</v>
      </c>
      <c r="E18" s="107">
        <f>VLOOKUP(B18,'Gebouwgegevens Tabula'!$J$5:$Q$83,5,0)</f>
        <v>12.2</v>
      </c>
      <c r="F18" s="107" t="str">
        <f>VLOOKUP(B18,'Gebouwgegevens Tabula'!$J$5:$Q$83,6,0)</f>
        <v>back</v>
      </c>
      <c r="G18" s="107">
        <f>VLOOKUP(B18,'Gebouwgegevens Tabula'!$J$5:$Q$83,7,0)</f>
        <v>5</v>
      </c>
      <c r="H18" s="108">
        <f>VLOOKUP(B18,'Gebouwgegevens Tabula'!$J$5:$Q$83,8,0)</f>
        <v>61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 t="e">
        <f>SUM(W7:W16)</f>
        <v>#N/A</v>
      </c>
      <c r="X18" s="75" t="s">
        <v>169</v>
      </c>
      <c r="Y18" s="96"/>
    </row>
    <row r="19" spans="1:25" ht="16.5" customHeight="1" x14ac:dyDescent="0.3">
      <c r="A19" s="95"/>
      <c r="B19" s="106" t="str">
        <f>'Gebouwgegevens Allacker'!J13</f>
        <v>W8</v>
      </c>
      <c r="C19" s="107">
        <f>VLOOKUP(B19,'Gebouwgegevens Tabula'!$J$5:$Q$83,3,0)</f>
        <v>1</v>
      </c>
      <c r="D19" s="107" t="str">
        <f>VLOOKUP(B19,'Gebouwgegevens Tabula'!$J$5:$Q$83,4,0)</f>
        <v>Window</v>
      </c>
      <c r="E19" s="107">
        <f>VLOOKUP(B19,'Gebouwgegevens Tabula'!$J$5:$Q$83,5,0)</f>
        <v>8.9</v>
      </c>
      <c r="F19" s="107" t="str">
        <f>VLOOKUP(B19,'Gebouwgegevens Tabula'!$J$5:$Q$83,6,0)</f>
        <v>left</v>
      </c>
      <c r="G19" s="107">
        <f>VLOOKUP(B19,'Gebouwgegevens Tabula'!$J$5:$Q$83,7,0)</f>
        <v>5</v>
      </c>
      <c r="H19" s="108">
        <f>VLOOKUP(B19,'Gebouwgegevens Tabula'!$J$5:$Q$83,8,0)</f>
        <v>44.5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3">
      <c r="A21" s="95"/>
      <c r="B21" s="106" t="str">
        <f>'Gebouwgegevens Allacker'!J15</f>
        <v>W10</v>
      </c>
      <c r="C21" s="107">
        <f>VLOOKUP(B21,'Gebouwgegevens Tabula'!$J$5:$Q$83,3,0)</f>
        <v>1</v>
      </c>
      <c r="D21" s="107" t="str">
        <f>VLOOKUP(B21,'Gebouwgegevens Tabula'!$J$5:$Q$83,4,0)</f>
        <v>Roof</v>
      </c>
      <c r="E21" s="107">
        <f>VLOOKUP(B21,'Gebouwgegevens Tabula'!$J$5:$Q$83,5,0)</f>
        <v>161.6</v>
      </c>
      <c r="F21" s="107">
        <f>VLOOKUP(B21,'Gebouwgegevens Tabula'!$J$5:$Q$83,6,0)</f>
        <v>0</v>
      </c>
      <c r="G21" s="107">
        <f>VLOOKUP(B21,'Gebouwgegevens Tabula'!$J$5:$Q$83,7,0)</f>
        <v>1.6975498473547073</v>
      </c>
      <c r="H21" s="108">
        <f>VLOOKUP(B21,'Gebouwgegevens Tabula'!$J$5:$Q$83,8,0)</f>
        <v>274.32405533252069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44376.329925790669</v>
      </c>
      <c r="X21" s="98"/>
      <c r="Y21" s="98"/>
    </row>
    <row r="22" spans="1:25" ht="16.5" customHeight="1" x14ac:dyDescent="0.3">
      <c r="A22" s="95"/>
      <c r="B22" s="106"/>
      <c r="C22" s="107"/>
      <c r="D22" s="107"/>
      <c r="E22" s="107"/>
      <c r="F22" s="107"/>
      <c r="G22" s="107"/>
      <c r="H22" s="108"/>
      <c r="I22" s="108"/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3">
      <c r="A28" s="95"/>
      <c r="B28" s="116" t="s">
        <v>61</v>
      </c>
      <c r="C28" s="117">
        <f>VLOOKUP(B28,'Gebouwgegevens Tabula'!$J$5:$Q$83,3,0)</f>
        <v>1</v>
      </c>
      <c r="D28" s="117" t="str">
        <f>VLOOKUP(B28,'Gebouwgegevens Tabula'!$J$5:$Q$83,4,0)</f>
        <v>Floor</v>
      </c>
      <c r="E28" s="117">
        <f>VLOOKUP(B28,'Gebouwgegevens Tabula'!$J$5:$Q$83,5,0)</f>
        <v>138.80000000000001</v>
      </c>
      <c r="F28" s="117">
        <f>VLOOKUP(B28,'Gebouwgegevens Tabula'!$J$5:$Q$83,7,0)</f>
        <v>2.5990099009900991</v>
      </c>
      <c r="G28" s="118">
        <f>VLOOKUP(B28,'Gebouwgegevens Tabula'!$J$5:$Q$83,8,0)</f>
        <v>360.74257425742576</v>
      </c>
      <c r="H28" s="118">
        <f>N28/F28</f>
        <v>0.21046943139379334</v>
      </c>
      <c r="I28" s="117">
        <f>'Gebouwgegevens Tabula'!N14</f>
        <v>138.80000000000001</v>
      </c>
      <c r="J28" s="116">
        <v>42</v>
      </c>
      <c r="K28" s="116">
        <v>0.33</v>
      </c>
      <c r="L28" s="119">
        <f>I28/(0.5*J28)</f>
        <v>6.60952380952381</v>
      </c>
      <c r="M28" s="119">
        <f>K28+2*(1/F28)</f>
        <v>1.0995238095238096</v>
      </c>
      <c r="N28" s="120">
        <f>IF(M28&lt;L28,2*2/(PI()*L28+M28)*LN(PI()*L28/M28+1),2/(0.457*L28+M28))</f>
        <v>0.54701213604822529</v>
      </c>
      <c r="O28" s="98"/>
      <c r="P28" s="96"/>
    </row>
    <row r="29" spans="1:25" ht="15.75" customHeight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 t="e">
        <f>1.1*W18</f>
        <v>#N/A</v>
      </c>
    </row>
    <row r="32" spans="1:25" ht="15.75" customHeigh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3">
      <c r="A33" s="95"/>
      <c r="B33" s="121"/>
      <c r="C33" s="122"/>
      <c r="D33" s="122"/>
      <c r="E33" s="122"/>
      <c r="F33" s="122"/>
      <c r="G33" s="122">
        <v>20</v>
      </c>
      <c r="H33" s="122"/>
      <c r="I33" s="122"/>
      <c r="J33" s="118"/>
      <c r="K33" s="118"/>
      <c r="L33" s="98"/>
      <c r="M33" s="98"/>
      <c r="N33" s="98"/>
      <c r="O33" s="98"/>
      <c r="P33" s="96"/>
    </row>
    <row r="34" spans="1:16" ht="16.5" customHeight="1" x14ac:dyDescent="0.3">
      <c r="A34" s="95"/>
      <c r="B34" s="121"/>
      <c r="C34" s="122"/>
      <c r="D34" s="122"/>
      <c r="E34" s="122"/>
      <c r="F34" s="122"/>
      <c r="G34" s="122"/>
      <c r="H34" s="122"/>
      <c r="I34" s="122"/>
      <c r="J34" s="118"/>
      <c r="K34" s="118"/>
      <c r="L34" s="98"/>
      <c r="M34" s="98"/>
      <c r="N34" s="98"/>
      <c r="O34" s="98"/>
      <c r="P34" s="96"/>
    </row>
    <row r="35" spans="1:16" ht="16.5" customHeigh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SUMPRODUCT(H12:H21,I12:I21)+SUMPRODUCT(G28,H28)+SUMPRODUCT(J33:J38,K33:K38)</f>
        <v>998.89840408411237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27969.155314355146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3">
      <c r="A45" s="317" t="s">
        <v>194</v>
      </c>
      <c r="B45" s="317"/>
      <c r="C45" s="317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3">
      <c r="A48" s="127" t="s">
        <v>196</v>
      </c>
      <c r="B48" s="121">
        <v>0.6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3">
      <c r="A51" s="124" t="s">
        <v>202</v>
      </c>
      <c r="B51" s="118">
        <f>B48/20*'Gebouwgegevens Tabula'!B5</f>
        <v>22.98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'Gebouwgegevens Tabula'!G35</f>
        <v>167.39999999999998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f>0.5*'Gebouwgegevens Tabula'!B5*(1-F55)</f>
        <v>383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405.98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1.9563227031350894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138.03320000000002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4002.9628000000007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3">
      <c r="A65" s="127" t="s">
        <v>211</v>
      </c>
      <c r="B65" s="121">
        <v>30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3">
      <c r="A66" s="127" t="s">
        <v>113</v>
      </c>
      <c r="B66" s="121">
        <f>'Gebouwgegevens Tabula'!B7</f>
        <v>279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3">
      <c r="A67" s="124" t="s">
        <v>213</v>
      </c>
      <c r="B67" s="118">
        <f>B68/('Gebouwgegevens Tabula'!E35-'Verwarming Tabula'!$B$4)</f>
        <v>288.62068965517244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8370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3">
      <c r="A72" s="124" t="s">
        <v>215</v>
      </c>
      <c r="B72" s="118">
        <f>SUM(B42,B60,B67)</f>
        <v>1425.5522937392848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40342.118114355151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3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3">
      <c r="A79" s="317" t="s">
        <v>168</v>
      </c>
      <c r="B79" s="317"/>
      <c r="C79" s="317"/>
      <c r="D79" s="31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3">
      <c r="A84" s="95"/>
      <c r="B84" s="106" t="s">
        <v>59</v>
      </c>
      <c r="C84" s="107">
        <f>VLOOKUP(B84,'Gebouwgegevens Allacker'!$J$5:$Q$83,3,0)</f>
        <v>1</v>
      </c>
      <c r="D84" s="107" t="str">
        <f>VLOOKUP(B84,'Gebouwgegevens Allacker'!$J$5:$Q$83,4,0)</f>
        <v>Window</v>
      </c>
      <c r="E84" s="107">
        <f>VLOOKUP(B84,'Gebouwgegevens Allacker'!$J$5:$Q$83,5,0)</f>
        <v>5</v>
      </c>
      <c r="F84" s="107" t="str">
        <f>VLOOKUP(B84,'Gebouwgegevens Allacker'!$J$5:$Q$83,6,0)</f>
        <v>back</v>
      </c>
      <c r="G84" s="107">
        <f>VLOOKUP(B84,'Gebouwgegevens Allacker'!$J$5:$Q$83,7,0)</f>
        <v>5</v>
      </c>
      <c r="H84" s="108">
        <f>VLOOKUP(B84,'Gebouwgegevens Allacker'!$J$5:$Q$83,8,0)</f>
        <v>25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3">
      <c r="A85" s="95"/>
      <c r="B85" s="106" t="s">
        <v>60</v>
      </c>
      <c r="C85" s="107">
        <f>VLOOKUP(B85,'Gebouwgegevens Allacker'!$J$5:$Q$83,3,0)</f>
        <v>1</v>
      </c>
      <c r="D85" s="107" t="str">
        <f>VLOOKUP(B85,'Gebouwgegevens Allacker'!$J$5:$Q$83,4,0)</f>
        <v>Window</v>
      </c>
      <c r="E85" s="107">
        <f>VLOOKUP(B85,'Gebouwgegevens Allacker'!$J$5:$Q$83,5,0)</f>
        <v>0</v>
      </c>
      <c r="F85" s="107" t="str">
        <f>VLOOKUP(B85,'Gebouwgegevens Allacker'!$J$5:$Q$83,6,0)</f>
        <v>left</v>
      </c>
      <c r="G85" s="107">
        <f>VLOOKUP(B85,'Gebouwgegevens Allacker'!$J$5:$Q$83,7,0)</f>
        <v>5</v>
      </c>
      <c r="H85" s="108">
        <f>VLOOKUP(B85,'Gebouwgegevens Allacker'!$J$5:$Q$83,8,0)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3">
      <c r="A86" s="95"/>
      <c r="B86" s="106" t="s">
        <v>61</v>
      </c>
      <c r="C86" s="107">
        <f>VLOOKUP(B86,'Gebouwgegevens Allacker'!$J$5:$Q$83,3,0)</f>
        <v>1</v>
      </c>
      <c r="D86" s="107" t="str">
        <f>VLOOKUP(B86,'Gebouwgegevens Allacker'!$J$5:$Q$83,4,0)</f>
        <v>Floor</v>
      </c>
      <c r="E86" s="107">
        <f>VLOOKUP(B86,'Gebouwgegevens Allacker'!$J$5:$Q$83,5,0)</f>
        <v>104.86</v>
      </c>
      <c r="F86" s="107">
        <f>VLOOKUP(B86,'Gebouwgegevens Allacker'!$J$5:$Q$83,6,0)</f>
        <v>0</v>
      </c>
      <c r="G86" s="107">
        <f>VLOOKUP(B86,'Gebouwgegevens Allacker'!$J$5:$Q$83,7,0)</f>
        <v>2.5990099009900991</v>
      </c>
      <c r="H86" s="108">
        <f>VLOOKUP(B86,'Gebouwgegevens Allacker'!$J$5:$Q$83,8,0)</f>
        <v>272.53217821782181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3">
      <c r="A87" s="95"/>
      <c r="B87" s="106"/>
      <c r="C87" s="107"/>
      <c r="D87" s="107"/>
      <c r="E87" s="107"/>
      <c r="F87" s="107"/>
      <c r="G87" s="107"/>
      <c r="H87" s="108"/>
      <c r="I87" s="108"/>
      <c r="J87" s="98"/>
      <c r="K87" s="98"/>
      <c r="L87" s="98"/>
      <c r="M87" s="98"/>
      <c r="N87" s="98"/>
      <c r="O87" s="98"/>
      <c r="P87" s="96"/>
    </row>
    <row r="88" spans="1:16" ht="16.5" customHeight="1" x14ac:dyDescent="0.3">
      <c r="A88" s="95"/>
      <c r="B88" s="106"/>
      <c r="C88" s="107"/>
      <c r="D88" s="107"/>
      <c r="E88" s="107"/>
      <c r="F88" s="107"/>
      <c r="G88" s="107"/>
      <c r="H88" s="108"/>
      <c r="I88" s="108"/>
      <c r="J88" s="98"/>
      <c r="K88" s="98"/>
      <c r="L88" s="98"/>
      <c r="M88" s="98"/>
      <c r="N88" s="98"/>
      <c r="O88" s="98"/>
      <c r="P88" s="96"/>
    </row>
    <row r="89" spans="1:16" ht="16.5" customHeight="1" x14ac:dyDescent="0.3">
      <c r="A89" s="95"/>
      <c r="B89" s="106"/>
      <c r="C89" s="107"/>
      <c r="D89" s="107"/>
      <c r="E89" s="107"/>
      <c r="F89" s="107"/>
      <c r="G89" s="107"/>
      <c r="H89" s="108"/>
      <c r="I89" s="108"/>
      <c r="J89" s="98"/>
      <c r="K89" s="98"/>
      <c r="L89" s="98"/>
      <c r="M89" s="98"/>
      <c r="N89" s="98"/>
      <c r="O89" s="98"/>
      <c r="P89" s="96"/>
    </row>
    <row r="90" spans="1:16" ht="16.5" customHeight="1" x14ac:dyDescent="0.3">
      <c r="A90" s="95"/>
      <c r="B90" s="106"/>
      <c r="C90" s="107"/>
      <c r="D90" s="107"/>
      <c r="E90" s="107"/>
      <c r="F90" s="107"/>
      <c r="G90" s="107"/>
      <c r="H90" s="108"/>
      <c r="I90" s="108"/>
      <c r="J90" s="98"/>
      <c r="K90" s="98"/>
      <c r="L90" s="98"/>
      <c r="M90" s="98"/>
      <c r="N90" s="98"/>
      <c r="O90" s="98"/>
      <c r="P90" s="96"/>
    </row>
    <row r="91" spans="1:16" ht="16.5" customHeight="1" x14ac:dyDescent="0.3">
      <c r="A91" s="95"/>
      <c r="B91" s="106"/>
      <c r="C91" s="107"/>
      <c r="D91" s="107"/>
      <c r="E91" s="107"/>
      <c r="F91" s="107"/>
      <c r="G91" s="107"/>
      <c r="H91" s="108"/>
      <c r="I91" s="108"/>
      <c r="J91" s="98"/>
      <c r="K91" s="98"/>
      <c r="L91" s="98"/>
      <c r="M91" s="98"/>
      <c r="N91" s="98"/>
      <c r="O91" s="98"/>
      <c r="P91" s="96"/>
    </row>
    <row r="92" spans="1:16" ht="16.5" customHeight="1" x14ac:dyDescent="0.3">
      <c r="A92" s="95"/>
      <c r="B92" s="106"/>
      <c r="C92" s="107"/>
      <c r="D92" s="107"/>
      <c r="E92" s="107"/>
      <c r="F92" s="107"/>
      <c r="G92" s="107"/>
      <c r="H92" s="108"/>
      <c r="I92" s="108"/>
      <c r="J92" s="98"/>
      <c r="K92" s="98"/>
      <c r="L92" s="98"/>
      <c r="M92" s="98"/>
      <c r="N92" s="98"/>
      <c r="O92" s="98"/>
      <c r="P92" s="96"/>
    </row>
    <row r="93" spans="1:16" ht="16.5" customHeigh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3">
      <c r="A100" s="95"/>
      <c r="B100" s="116" t="s">
        <v>216</v>
      </c>
      <c r="C100" s="117" t="e">
        <f>VLOOKUP(B100,'Gebouwgegevens Allacker'!$J$5:$Q$83,3,0)</f>
        <v>#N/A</v>
      </c>
      <c r="D100" s="117" t="e">
        <f>VLOOKUP(B100,'Gebouwgegevens Allacker'!$J$5:$Q$83,4,0)</f>
        <v>#N/A</v>
      </c>
      <c r="E100" s="117" t="e">
        <f>VLOOKUP(B100,'Gebouwgegevens Allacker'!$J$5:$Q$83,5,0)</f>
        <v>#N/A</v>
      </c>
      <c r="F100" s="117" t="e">
        <f>VLOOKUP(B100,'Gebouwgegevens Allacker'!$J$5:$Q$83,7,0)</f>
        <v>#N/A</v>
      </c>
      <c r="G100" s="118" t="e">
        <f>VLOOKUP(B100,'Gebouwgegevens Allacker'!$J$5:$Q$83,8,0)</f>
        <v>#N/A</v>
      </c>
      <c r="H100" s="118" t="e">
        <f>N100/F100</f>
        <v>#N/A</v>
      </c>
      <c r="I100" s="117" t="e">
        <f>VLOOKUP(C100,'Gebouwgegevens Allacker'!$A$35:$F$46,6,0)</f>
        <v>#N/A</v>
      </c>
      <c r="J100" s="116">
        <v>6.91</v>
      </c>
      <c r="K100" s="116">
        <v>0.33</v>
      </c>
      <c r="L100" s="119" t="e">
        <f>I100/(0.5*J100)</f>
        <v>#N/A</v>
      </c>
      <c r="M100" s="119" t="e">
        <f>K100+2*(1/F100)</f>
        <v>#N/A</v>
      </c>
      <c r="N100" s="120" t="e">
        <f>IF(M100&lt;L100,2*2/(PI()*L100+M100)*LN(PI()*L100/M100+1),2/(0.457*L100+M100))</f>
        <v>#N/A</v>
      </c>
      <c r="O100" s="98"/>
      <c r="P100" s="96"/>
    </row>
    <row r="101" spans="1:16" ht="18.75" customHeigh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3">
      <c r="A108" s="95"/>
      <c r="B108" s="121" t="s">
        <v>217</v>
      </c>
      <c r="C108" s="122" t="e">
        <f>IF(VLOOKUP(B108,'Gebouwgegevens Allacker'!$J$5:$Q$83,2,0)=B78,VLOOKUP(B108,'Gebouwgegevens Allacker'!$J$5:$Q$83,2,0),VLOOKUP(B108,'Gebouwgegevens Allacker'!$J$5:$Q$83,3,0))</f>
        <v>#N/A</v>
      </c>
      <c r="D108" s="122" t="e">
        <f>IF(VLOOKUP(B108,'Gebouwgegevens Allacker'!$J$5:$Q$83,2,0)=B78,VLOOKUP(B108,'Gebouwgegevens Allacker'!$J$5:$Q$83,3,0),VLOOKUP(B108,'Gebouwgegevens Allacker'!$J$5:$Q$83,2,0))</f>
        <v>#N/A</v>
      </c>
      <c r="E108" s="122" t="e">
        <f>VLOOKUP(B108,'Gebouwgegevens Allacker'!$J$5:$Q$83,4,0)</f>
        <v>#N/A</v>
      </c>
      <c r="F108" s="122" t="e">
        <f>VLOOKUP(B108,'Gebouwgegevens Allacker'!$J$5:$Q$83,5,0)</f>
        <v>#N/A</v>
      </c>
      <c r="G108" s="122" t="e">
        <f>VLOOKUP('Verwarming Tabula'!C108,'Gebouwgegevens Allacker'!$A$35:$F$46,5,0)</f>
        <v>#N/A</v>
      </c>
      <c r="H108" s="122" t="e">
        <f>VLOOKUP('Verwarming Tabula'!D108,'Gebouwgegevens Allacker'!$A$35:$F$46,5,0)</f>
        <v>#N/A</v>
      </c>
      <c r="I108" s="122" t="e">
        <f>VLOOKUP(B108,'Gebouwgegevens Allacker'!$J$5:$Q$83,7,0)</f>
        <v>#N/A</v>
      </c>
      <c r="J108" s="118" t="e">
        <f>VLOOKUP(B108,'Gebouwgegevens Allacker'!$J$5:$Q$83,8,0)</f>
        <v>#N/A</v>
      </c>
      <c r="K108" s="118" t="e">
        <f>(G108-H108)/(G108-$B$4)</f>
        <v>#N/A</v>
      </c>
      <c r="L108" s="98"/>
      <c r="M108" s="98"/>
      <c r="N108" s="98"/>
      <c r="O108" s="98"/>
      <c r="P108" s="96"/>
    </row>
    <row r="109" spans="1:16" ht="16.5" customHeight="1" x14ac:dyDescent="0.3">
      <c r="A109" s="95"/>
      <c r="B109" s="121" t="s">
        <v>218</v>
      </c>
      <c r="C109" s="122" t="e">
        <f>IF(VLOOKUP(B109,'Gebouwgegevens Allacker'!$J$5:$Q$83,2,0)=B78,VLOOKUP(B109,'Gebouwgegevens Allacker'!$J$5:$Q$83,2,0),VLOOKUP(B109,'Gebouwgegevens Allacker'!$J$5:$Q$83,3,0))</f>
        <v>#N/A</v>
      </c>
      <c r="D109" s="122" t="e">
        <f>IF(VLOOKUP(B109,'Gebouwgegevens Allacker'!$J$5:$Q$83,2,0)=B78,VLOOKUP(B109,'Gebouwgegevens Allacker'!$J$5:$Q$83,3,0),VLOOKUP(B109,'Gebouwgegevens Allacker'!$J$5:$Q$83,2,0))</f>
        <v>#N/A</v>
      </c>
      <c r="E109" s="122" t="e">
        <f>VLOOKUP(B109,'Gebouwgegevens Allacker'!$J$5:$Q$83,4,0)</f>
        <v>#N/A</v>
      </c>
      <c r="F109" s="122" t="e">
        <f>VLOOKUP(B109,'Gebouwgegevens Allacker'!$J$5:$Q$83,5,0)</f>
        <v>#N/A</v>
      </c>
      <c r="G109" s="122" t="e">
        <f>VLOOKUP('Verwarming Tabula'!C109,'Gebouwgegevens Allacker'!$A$35:$F$46,5,0)</f>
        <v>#N/A</v>
      </c>
      <c r="H109" s="122" t="e">
        <f>VLOOKUP('Verwarming Tabula'!D109,'Gebouwgegevens Allacker'!$A$35:$F$46,5,0)</f>
        <v>#N/A</v>
      </c>
      <c r="I109" s="122" t="e">
        <f>VLOOKUP(B109,'Gebouwgegevens Allacker'!$J$5:$Q$83,7,0)</f>
        <v>#N/A</v>
      </c>
      <c r="J109" s="118" t="e">
        <f>VLOOKUP(B109,'Gebouwgegevens Allacker'!$J$5:$Q$83,8,0)</f>
        <v>#N/A</v>
      </c>
      <c r="K109" s="118" t="e">
        <f>(G109-H109)/(G109-$B$4)</f>
        <v>#N/A</v>
      </c>
      <c r="L109" s="98"/>
      <c r="M109" s="98"/>
      <c r="N109" s="98"/>
      <c r="O109" s="98"/>
      <c r="P109" s="96"/>
    </row>
    <row r="110" spans="1:16" ht="16.5" customHeight="1" x14ac:dyDescent="0.3">
      <c r="A110" s="95"/>
      <c r="B110" s="121" t="s">
        <v>219</v>
      </c>
      <c r="C110" s="122" t="e">
        <f>IF(VLOOKUP(B110,'Gebouwgegevens Allacker'!$J$5:$Q$83,2,0)=B78,VLOOKUP(B110,'Gebouwgegevens Allacker'!$J$5:$Q$83,2,0),VLOOKUP(B110,'Gebouwgegevens Allacker'!$J$5:$Q$83,3,0))</f>
        <v>#N/A</v>
      </c>
      <c r="D110" s="122" t="e">
        <f>IF(VLOOKUP(B110,'Gebouwgegevens Allacker'!$J$5:$Q$83,2,0)=B78,VLOOKUP(B110,'Gebouwgegevens Allacker'!$J$5:$Q$83,3,0),VLOOKUP(B110,'Gebouwgegevens Allacker'!$J$5:$Q$83,2,0))</f>
        <v>#N/A</v>
      </c>
      <c r="E110" s="122" t="e">
        <f>VLOOKUP(B110,'Gebouwgegevens Allacker'!$J$5:$Q$83,4,0)</f>
        <v>#N/A</v>
      </c>
      <c r="F110" s="122" t="e">
        <f>VLOOKUP(B110,'Gebouwgegevens Allacker'!$J$5:$Q$83,5,0)</f>
        <v>#N/A</v>
      </c>
      <c r="G110" s="122" t="e">
        <f>VLOOKUP('Verwarming Tabula'!C110,'Gebouwgegevens Allacker'!$A$35:$F$46,5,0)</f>
        <v>#N/A</v>
      </c>
      <c r="H110" s="122" t="e">
        <f>VLOOKUP('Verwarming Tabula'!D110,'Gebouwgegevens Allacker'!$A$35:$F$46,5,0)</f>
        <v>#N/A</v>
      </c>
      <c r="I110" s="122" t="e">
        <f>VLOOKUP(B110,'Gebouwgegevens Allacker'!$J$5:$Q$83,7,0)</f>
        <v>#N/A</v>
      </c>
      <c r="J110" s="118" t="e">
        <f>VLOOKUP(B110,'Gebouwgegevens Allacker'!$J$5:$Q$83,8,0)</f>
        <v>#N/A</v>
      </c>
      <c r="K110" s="118" t="e">
        <f>(G110-H110)/(G110-$B$4)</f>
        <v>#N/A</v>
      </c>
      <c r="L110" s="98"/>
      <c r="M110" s="98"/>
      <c r="N110" s="98"/>
      <c r="O110" s="98"/>
      <c r="P110" s="96"/>
    </row>
    <row r="111" spans="1:16" ht="16.5" customHeight="1" x14ac:dyDescent="0.3">
      <c r="A111" s="95"/>
      <c r="B111" s="92" t="s">
        <v>220</v>
      </c>
      <c r="C111" s="122" t="e">
        <f>IF(VLOOKUP(B111,'Gebouwgegevens Allacker'!$J$5:$Q$83,2,0)=B78,VLOOKUP(B111,'Gebouwgegevens Allacker'!$J$5:$Q$83,2,0),VLOOKUP(B111,'Gebouwgegevens Allacker'!$J$5:$Q$83,3,0))</f>
        <v>#N/A</v>
      </c>
      <c r="D111" s="122" t="e">
        <f>IF(VLOOKUP(B111,'Gebouwgegevens Allacker'!$J$5:$Q$83,2,0)=B78,VLOOKUP(B111,'Gebouwgegevens Allacker'!$J$5:$Q$83,3,0),VLOOKUP(B111,'Gebouwgegevens Allacker'!$J$5:$Q$83,2,0))</f>
        <v>#N/A</v>
      </c>
      <c r="E111" s="122" t="e">
        <f>VLOOKUP(B111,'Gebouwgegevens Allacker'!$J$5:$Q$83,4,0)</f>
        <v>#N/A</v>
      </c>
      <c r="F111" s="122" t="e">
        <f>VLOOKUP(B111,'Gebouwgegevens Allacker'!$J$5:$Q$83,5,0)</f>
        <v>#N/A</v>
      </c>
      <c r="G111" s="122" t="e">
        <f>VLOOKUP('Verwarming Tabula'!C111,'Gebouwgegevens Allacker'!$A$35:$F$46,5,0)</f>
        <v>#N/A</v>
      </c>
      <c r="H111" s="122" t="e">
        <f>VLOOKUP('Verwarming Tabula'!D111,'Gebouwgegevens Allacker'!$A$35:$F$46,5,0)</f>
        <v>#N/A</v>
      </c>
      <c r="I111" s="122" t="e">
        <f>VLOOKUP(B111,'Gebouwgegevens Allacker'!$J$5:$Q$83,7,0)</f>
        <v>#N/A</v>
      </c>
      <c r="J111" s="118" t="e">
        <f>VLOOKUP(B111,'Gebouwgegevens Allacker'!$J$5:$Q$83,8,0)</f>
        <v>#N/A</v>
      </c>
      <c r="K111" s="118" t="e">
        <f>(G111-H111)/(G111-$B$4)</f>
        <v>#N/A</v>
      </c>
      <c r="L111" s="98"/>
      <c r="M111" s="98"/>
      <c r="N111" s="98"/>
      <c r="O111" s="98"/>
      <c r="P111" s="96"/>
    </row>
    <row r="112" spans="1:16" ht="16.5" customHeight="1" x14ac:dyDescent="0.3">
      <c r="A112" s="95"/>
      <c r="B112" s="123" t="s">
        <v>221</v>
      </c>
      <c r="C112" s="139" t="e">
        <f>IF(VLOOKUP(B112,'Gebouwgegevens Allacker'!$J$5:$Q$83,2,0)=B78,VLOOKUP(B112,'Gebouwgegevens Allacker'!$J$5:$Q$83,2,0),VLOOKUP(B112,'Gebouwgegevens Allacker'!$J$5:$Q$83,3,0))</f>
        <v>#N/A</v>
      </c>
      <c r="D112" s="122" t="e">
        <f>IF(VLOOKUP(B112,'Gebouwgegevens Allacker'!$J$5:$Q$83,2,0)=B78,VLOOKUP(B112,'Gebouwgegevens Allacker'!$J$5:$Q$83,3,0),VLOOKUP(B112,'Gebouwgegevens Allacker'!$J$5:$Q$83,2,0))</f>
        <v>#N/A</v>
      </c>
      <c r="E112" s="122" t="e">
        <f>VLOOKUP(B112,'Gebouwgegevens Allacker'!$J$5:$Q$83,4,0)</f>
        <v>#N/A</v>
      </c>
      <c r="F112" s="122" t="e">
        <f>VLOOKUP(B112,'Gebouwgegevens Allacker'!$J$5:$Q$83,5,0)</f>
        <v>#N/A</v>
      </c>
      <c r="G112" s="122" t="e">
        <f>VLOOKUP('Verwarming Tabula'!C112,'Gebouwgegevens Allacker'!$A$35:$F$46,5,0)</f>
        <v>#N/A</v>
      </c>
      <c r="H112" s="122" t="e">
        <f>VLOOKUP('Verwarming Tabula'!D112,'Gebouwgegevens Allacker'!$A$35:$F$46,5,0)</f>
        <v>#N/A</v>
      </c>
      <c r="I112" s="122" t="e">
        <f>VLOOKUP(B112,'Gebouwgegevens Allacker'!$J$5:$Q$83,7,0)</f>
        <v>#N/A</v>
      </c>
      <c r="J112" s="118" t="e">
        <f>VLOOKUP(B112,'Gebouwgegevens Allacker'!$J$5:$Q$83,8,0)</f>
        <v>#N/A</v>
      </c>
      <c r="K112" s="118" t="e">
        <f>(G112-H112)/(G112-$B$4)</f>
        <v>#N/A</v>
      </c>
      <c r="L112" s="98"/>
      <c r="M112" s="98"/>
      <c r="N112" s="98"/>
      <c r="O112" s="98"/>
      <c r="P112" s="96"/>
    </row>
    <row r="113" spans="1:16" ht="16.5" customHeigh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 t="e">
        <f>SUMPRODUCT(H84:H95,I84:I95)+SUMPRODUCT(G100:G104,H100:H104)+SUMPRODUCT(J108:J117,K108:K117)</f>
        <v>#N/A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 t="e">
        <f>B121*(G111-$B$4)</f>
        <v>#N/A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3">
      <c r="A124" s="317" t="s">
        <v>194</v>
      </c>
      <c r="B124" s="317"/>
      <c r="C124" s="317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3">
      <c r="A127" s="127" t="s">
        <v>196</v>
      </c>
      <c r="B127" s="121">
        <v>8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3">
      <c r="A130" s="124" t="s">
        <v>202</v>
      </c>
      <c r="B130" s="118">
        <f>2*VLOOKUP(B78,'Gebouwgegevens Allacker'!$A$35:$F$46,6,0)*B127*B128*B129</f>
        <v>0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VLOOKUP(B78,'Gebouwgegevens Allacker'!$A$35:$F$46,6,0)</f>
        <v>0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50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MAX(B130,B134)</f>
        <v>50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0.31350321027287315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0.34*B137</f>
        <v>17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B139*('Gebouwgegevens Allacker'!E100-$B$4)</f>
        <v>136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3">
      <c r="A144" s="127" t="s">
        <v>211</v>
      </c>
      <c r="B144" s="121">
        <v>45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3">
      <c r="A145" s="127" t="s">
        <v>113</v>
      </c>
      <c r="B145" s="121">
        <f>VLOOKUP(B78,'Gebouwgegevens Allacker'!$A$35:$F$46,6,0)</f>
        <v>0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3">
      <c r="A146" s="124" t="s">
        <v>213</v>
      </c>
      <c r="B146" s="118">
        <f>B147/('Gebouwgegevens Allacker'!E100-'Verwarming Tabula'!$B$4)</f>
        <v>0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0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3">
      <c r="A151" s="124" t="s">
        <v>215</v>
      </c>
      <c r="B151" s="118" t="e">
        <f>SUM(B121,B139,B146)</f>
        <v>#N/A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 t="e">
        <f>SUM(B122,B140,B147)</f>
        <v>#N/A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3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3">
      <c r="A159" s="317" t="s">
        <v>168</v>
      </c>
      <c r="B159" s="317"/>
      <c r="C159" s="317"/>
      <c r="D159" s="31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Tabula'!C188,'Gebouwgegevens Allacker'!$A$35:$F$46,5,0)</f>
        <v>#N/A</v>
      </c>
      <c r="H188" s="122" t="e">
        <f>VLOOKUP('Verwarming Tabula'!D188,'Gebouwgegevens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Tabula'!C189,'Gebouwgegevens Allacker'!$A$35:$F$46,5,0)</f>
        <v>#N/A</v>
      </c>
      <c r="H189" s="122" t="e">
        <f>VLOOKUP('Verwarming Tabula'!D189,'Gebouwgegevens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Tabula'!C190,'Gebouwgegevens Allacker'!$A$35:$F$46,5,0)</f>
        <v>#N/A</v>
      </c>
      <c r="H190" s="122" t="e">
        <f>VLOOKUP('Verwarming Tabula'!D190,'Gebouwgegevens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3">
      <c r="A204" s="317" t="s">
        <v>194</v>
      </c>
      <c r="B204" s="317"/>
      <c r="C204" s="317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3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3">
      <c r="A238" s="317" t="s">
        <v>168</v>
      </c>
      <c r="B238" s="317"/>
      <c r="C238" s="317"/>
      <c r="D238" s="31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Tabula'!C267,'Gebouwgegevens Allacker'!$A$35:$F$46,5,0)</f>
        <v>#N/A</v>
      </c>
      <c r="H267" s="122" t="e">
        <f>VLOOKUP('Verwarming Tabula'!D267,'Gebouwgegevens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Tabula'!C268,'Gebouwgegevens Allacker'!$A$35:$F$46,5,0)</f>
        <v>#N/A</v>
      </c>
      <c r="H268" s="122" t="e">
        <f>VLOOKUP('Verwarming Tabula'!D268,'Gebouwgegevens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Tabula'!C269,'Gebouwgegevens Allacker'!$A$35:$F$46,5,0)</f>
        <v>#N/A</v>
      </c>
      <c r="H269" s="122" t="e">
        <f>VLOOKUP('Verwarming Tabula'!D269,'Gebouwgegevens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Tabula'!C270,'Gebouwgegevens Allacker'!$A$35:$F$46,5,0)</f>
        <v>#N/A</v>
      </c>
      <c r="H270" s="122" t="e">
        <f>VLOOKUP('Verwarming Tabula'!D270,'Gebouwgegevens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3">
      <c r="A283" s="317" t="s">
        <v>194</v>
      </c>
      <c r="B283" s="317"/>
      <c r="C283" s="317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3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3">
      <c r="A317" s="317" t="s">
        <v>168</v>
      </c>
      <c r="B317" s="317"/>
      <c r="C317" s="317"/>
      <c r="D317" s="31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Tabula'!C346,'Gebouwgegevens Allacker'!$A$35:$F$46,5,0)</f>
        <v>#N/A</v>
      </c>
      <c r="H346" s="122" t="e">
        <f>VLOOKUP('Verwarming Tabula'!D346,'Gebouwgegevens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Tabula'!C347,'Gebouwgegevens Allacker'!$A$35:$F$46,5,0)</f>
        <v>#N/A</v>
      </c>
      <c r="H347" s="122" t="e">
        <f>VLOOKUP('Verwarming Tabula'!D347,'Gebouwgegevens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Tabula'!C348,'Gebouwgegevens Allacker'!$A$35:$F$46,5,0)</f>
        <v>#N/A</v>
      </c>
      <c r="H348" s="122" t="e">
        <f>VLOOKUP('Verwarming Tabula'!D348,'Gebouwgegevens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Tabula'!C349,'Gebouwgegevens Allacker'!$A$35:$F$46,5,0)</f>
        <v>#N/A</v>
      </c>
      <c r="H349" s="122" t="e">
        <f>VLOOKUP('Verwarming Tabula'!D349,'Gebouwgegevens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Tabula'!C350,'Gebouwgegevens Allacker'!$A$35:$F$46,5,0)</f>
        <v>#N/A</v>
      </c>
      <c r="H350" s="122" t="e">
        <f>VLOOKUP('Verwarming Tabula'!D350,'Gebouwgegevens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3">
      <c r="A362" s="317" t="s">
        <v>194</v>
      </c>
      <c r="B362" s="317"/>
      <c r="C362" s="317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3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3">
      <c r="A395" s="317" t="s">
        <v>168</v>
      </c>
      <c r="B395" s="317"/>
      <c r="C395" s="317"/>
      <c r="D395" s="31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Tabula'!C424,'Gebouwgegevens Allacker'!$A$35:$F$46,5,0)</f>
        <v>#N/A</v>
      </c>
      <c r="H424" s="122" t="e">
        <f>VLOOKUP('Verwarming Tabula'!D424,'Gebouwgegevens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Tabula'!C425,'Gebouwgegevens Allacker'!$A$35:$F$46,5,0)</f>
        <v>#N/A</v>
      </c>
      <c r="H425" s="122" t="e">
        <f>VLOOKUP('Verwarming Tabula'!D425,'Gebouwgegevens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Tabula'!C426,'Gebouwgegevens Allacker'!$A$35:$F$46,5,0)</f>
        <v>#N/A</v>
      </c>
      <c r="H426" s="122" t="e">
        <f>VLOOKUP('Verwarming Tabula'!D426,'Gebouwgegevens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Tabula'!C427,'Gebouwgegevens Allacker'!$A$35:$F$46,5,0)</f>
        <v>#N/A</v>
      </c>
      <c r="H427" s="122" t="e">
        <f>VLOOKUP('Verwarming Tabula'!D427,'Gebouwgegevens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Tabula'!C428,'Gebouwgegevens Allacker'!$A$35:$F$46,5,0)</f>
        <v>#N/A</v>
      </c>
      <c r="H428" s="122" t="e">
        <f>VLOOKUP('Verwarming Tabula'!D428,'Gebouwgegevens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3">
      <c r="A440" s="317" t="s">
        <v>194</v>
      </c>
      <c r="B440" s="317"/>
      <c r="C440" s="317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3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3">
      <c r="A473" s="317" t="s">
        <v>168</v>
      </c>
      <c r="B473" s="317"/>
      <c r="C473" s="317"/>
      <c r="D473" s="31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Tabula'!C502,'Gebouwgegevens Allacker'!$A$35:$F$46,5,0)</f>
        <v>#N/A</v>
      </c>
      <c r="H502" s="122" t="e">
        <f>VLOOKUP('Verwarming Tabula'!D502,'Gebouwgegevens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Tabula'!C503,'Gebouwgegevens Allacker'!$A$35:$F$46,5,0)</f>
        <v>#N/A</v>
      </c>
      <c r="H503" s="122" t="e">
        <f>VLOOKUP('Verwarming Tabula'!D503,'Gebouwgegevens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Tabula'!C504,'Gebouwgegevens Allacker'!$A$35:$F$46,5,0)</f>
        <v>#N/A</v>
      </c>
      <c r="H504" s="122" t="e">
        <f>VLOOKUP('Verwarming Tabula'!D504,'Gebouwgegevens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3">
      <c r="A518" s="317" t="s">
        <v>194</v>
      </c>
      <c r="B518" s="317"/>
      <c r="C518" s="317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3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3">
      <c r="A552" s="317" t="s">
        <v>168</v>
      </c>
      <c r="B552" s="317"/>
      <c r="C552" s="317"/>
      <c r="D552" s="31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Tabula'!C581,'Gebouwgegevens Allacker'!$A$35:$F$46,5,0)</f>
        <v>#N/A</v>
      </c>
      <c r="H581" s="122" t="e">
        <f>VLOOKUP('Verwarming Tabula'!D581,'Gebouwgegevens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Tabula'!C582,'Gebouwgegevens Allacker'!$A$35:$F$46,5,0)</f>
        <v>#N/A</v>
      </c>
      <c r="H582" s="122" t="e">
        <f>VLOOKUP('Verwarming Tabula'!D582,'Gebouwgegevens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Tabula'!C583,'Gebouwgegevens Allacker'!$A$35:$F$46,5,0)</f>
        <v>#N/A</v>
      </c>
      <c r="H583" s="122" t="e">
        <f>VLOOKUP('Verwarming Tabula'!D583,'Gebouwgegevens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3">
      <c r="A597" s="317" t="s">
        <v>194</v>
      </c>
      <c r="B597" s="317"/>
      <c r="C597" s="317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3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3">
      <c r="A631" s="317" t="s">
        <v>168</v>
      </c>
      <c r="B631" s="317"/>
      <c r="C631" s="317"/>
      <c r="D631" s="31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Tabula'!C660,'Gebouwgegevens Allacker'!$A$35:$F$46,5,0)</f>
        <v>#N/A</v>
      </c>
      <c r="H660" s="122" t="e">
        <f>VLOOKUP('Verwarming Tabula'!D660,'Gebouwgegevens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Tabula'!C661,'Gebouwgegevens Allacker'!$A$35:$F$46,5,0)</f>
        <v>#N/A</v>
      </c>
      <c r="H661" s="122" t="e">
        <f>VLOOKUP('Verwarming Tabula'!D661,'Gebouwgegevens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3">
      <c r="A676" s="317" t="s">
        <v>194</v>
      </c>
      <c r="B676" s="317"/>
      <c r="C676" s="317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3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3">
      <c r="A710" s="317" t="s">
        <v>168</v>
      </c>
      <c r="B710" s="317"/>
      <c r="C710" s="317"/>
      <c r="D710" s="31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Tabula'!C739,'Gebouwgegevens Allacker'!$A$35:$F$46,5,0)</f>
        <v>#N/A</v>
      </c>
      <c r="H739" s="122" t="e">
        <f>VLOOKUP('Verwarming Tabula'!D739,'Gebouwgegevens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Tabula'!C740,'Gebouwgegevens Allacker'!$A$35:$F$46,5,0)</f>
        <v>#N/A</v>
      </c>
      <c r="H740" s="122" t="e">
        <f>VLOOKUP('Verwarming Tabula'!D740,'Gebouwgegevens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Tabula'!C741,'Gebouwgegevens Allacker'!$A$35:$F$46,5,0)</f>
        <v>#N/A</v>
      </c>
      <c r="H741" s="122" t="e">
        <f>VLOOKUP('Verwarming Tabula'!D741,'Gebouwgegevens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Tabula'!C742,'Gebouwgegevens Allacker'!$A$35:$F$46,5,0)</f>
        <v>#N/A</v>
      </c>
      <c r="H742" s="122" t="e">
        <f>VLOOKUP('Verwarming Tabula'!D742,'Gebouwgegevens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Tabula'!C743,'Gebouwgegevens Allacker'!$A$35:$F$46,5,0)</f>
        <v>#N/A</v>
      </c>
      <c r="H743" s="122" t="e">
        <f>VLOOKUP('Verwarming Tabula'!D743,'Gebouwgegevens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Tabula'!C744,'Gebouwgegevens Allacker'!$A$35:$F$46,5,0)</f>
        <v>#N/A</v>
      </c>
      <c r="H744" s="122" t="e">
        <f>VLOOKUP('Verwarming Tabula'!D744,'Gebouwgegevens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Tabula'!C745,'Gebouwgegevens Allacker'!$A$35:$F$46,5,0)</f>
        <v>#N/A</v>
      </c>
      <c r="H745" s="122" t="e">
        <f>VLOOKUP('Verwarming Tabula'!D745,'Gebouwgegevens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Tabula'!C746,'Gebouwgegevens Allacker'!$A$35:$F$46,5,0)</f>
        <v>#N/A</v>
      </c>
      <c r="H746" s="122" t="e">
        <f>VLOOKUP('Verwarming Tabula'!D746,'Gebouwgegevens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Tabula'!C747,'Gebouwgegevens Allacker'!$A$35:$F$46,5,0)</f>
        <v>#N/A</v>
      </c>
      <c r="H747" s="122" t="e">
        <f>VLOOKUP('Verwarming Tabula'!D747,'Gebouwgegevens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Tabula'!C748,'Gebouwgegevens Allacker'!$A$35:$F$46,5,0)</f>
        <v>#N/A</v>
      </c>
      <c r="H748" s="122" t="e">
        <f>VLOOKUP('Verwarming Tabula'!D748,'Gebouwgegevens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Tabula'!C749,'Gebouwgegevens Allacker'!$A$35:$F$46,5,0)</f>
        <v>#N/A</v>
      </c>
      <c r="H749" s="122" t="e">
        <f>VLOOKUP('Verwarming Tabula'!D749,'Gebouwgegevens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Tabula'!C750,'Gebouwgegevens Allacker'!$A$35:$F$46,5,0)</f>
        <v>#N/A</v>
      </c>
      <c r="H750" s="122" t="e">
        <f>VLOOKUP('Verwarming Tabula'!D750,'Gebouwgegevens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3">
      <c r="A755" s="317" t="s">
        <v>194</v>
      </c>
      <c r="B755" s="317"/>
      <c r="C755" s="317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127"/>
  <sheetViews>
    <sheetView topLeftCell="A33" zoomScale="85" zoomScaleNormal="85" workbookViewId="0">
      <selection activeCell="A57" sqref="A57:E68"/>
    </sheetView>
  </sheetViews>
  <sheetFormatPr defaultRowHeight="15.6" thickTop="1" thickBottom="1" x14ac:dyDescent="0.35"/>
  <cols>
    <col min="1" max="1" width="20.5546875"/>
    <col min="2" max="2" width="12.33203125"/>
    <col min="4" max="4" width="22.109375"/>
    <col min="6" max="6" width="8.33203125" bestFit="1" customWidth="1"/>
    <col min="7" max="7" width="6.88671875" bestFit="1" customWidth="1"/>
    <col min="8" max="8" width="7.6640625"/>
    <col min="9" max="9" width="9.109375" style="81"/>
    <col min="10" max="10" width="9.109375" style="1"/>
    <col min="12" max="12" width="10.44140625" style="2"/>
    <col min="13" max="13" width="8" style="2"/>
    <col min="14" max="14" width="16.88671875" style="2"/>
    <col min="15" max="15" width="12.5546875"/>
    <col min="16" max="16" width="11.33203125"/>
    <col min="17" max="18" width="9.33203125" style="3"/>
    <col min="19" max="19" width="12.109375"/>
    <col min="20" max="20" width="11.6640625"/>
    <col min="21" max="21" width="12.109375"/>
    <col min="22" max="22" width="3.109375" style="1"/>
    <col min="23" max="23" width="3"/>
    <col min="36" max="37" width="9.109375" style="173"/>
    <col min="38" max="38" width="9.109375" style="154"/>
    <col min="39" max="39" width="10.33203125" style="154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99"/>
    <col min="52" max="52" width="16.109375" style="206" customWidth="1"/>
    <col min="53" max="53" width="9.109375" style="199"/>
    <col min="54" max="65" width="9.109375" customWidth="1"/>
    <col min="66" max="67" width="9.109375" style="173"/>
    <col min="68" max="68" width="9.109375" style="154"/>
    <col min="69" max="69" width="10.33203125" style="154" bestFit="1" customWidth="1"/>
    <col min="70" max="71" width="9.109375" style="81"/>
    <col min="72" max="72" width="12.6640625" style="81" bestFit="1" customWidth="1"/>
    <col min="73" max="74" width="12.6640625" style="81" customWidth="1"/>
    <col min="78" max="78" width="10.44140625" style="210" bestFit="1" customWidth="1"/>
    <col min="79" max="79" width="10.44140625" style="210" customWidth="1"/>
    <col min="81" max="81" width="10.5546875" bestFit="1" customWidth="1"/>
    <col min="87" max="87" width="11" customWidth="1"/>
    <col min="93" max="93" width="19.44140625" bestFit="1" customWidth="1"/>
    <col min="94" max="94" width="12" customWidth="1"/>
    <col min="95" max="95" width="11" customWidth="1"/>
    <col min="100" max="100" width="9.109375" style="212"/>
    <col min="102" max="102" width="19.44140625" bestFit="1" customWidth="1"/>
    <col min="114" max="114" width="9.6640625" bestFit="1" customWidth="1"/>
    <col min="116" max="116" width="9.109375" style="81"/>
    <col min="117" max="119" width="9.88671875" style="81" bestFit="1" customWidth="1"/>
    <col min="121" max="127" width="9.109375" style="290"/>
    <col min="129" max="129" width="15.5546875" style="212" bestFit="1" customWidth="1"/>
    <col min="130" max="133" width="9.109375" style="212"/>
    <col min="135" max="139" width="9.109375" style="81"/>
  </cols>
  <sheetData>
    <row r="1" spans="1:139" ht="20.25" customHeight="1" thickTop="1" thickBot="1" x14ac:dyDescent="0.45">
      <c r="A1" s="315" t="s">
        <v>0</v>
      </c>
      <c r="B1" s="315"/>
      <c r="C1" s="315"/>
      <c r="D1" s="315"/>
      <c r="E1" s="315"/>
      <c r="F1" s="315"/>
      <c r="G1" s="315"/>
      <c r="AO1" s="191" t="s">
        <v>384</v>
      </c>
      <c r="BD1" s="81" t="s">
        <v>435</v>
      </c>
      <c r="BE1" s="191"/>
      <c r="BF1" s="191" t="s">
        <v>436</v>
      </c>
      <c r="BG1" s="81"/>
      <c r="BH1" s="81"/>
      <c r="BI1" s="81"/>
      <c r="BJ1" s="81"/>
      <c r="BK1" s="81"/>
      <c r="BS1" s="191" t="s">
        <v>384</v>
      </c>
      <c r="EE1" s="160"/>
      <c r="EF1" s="160"/>
      <c r="EG1" s="160"/>
      <c r="EH1" s="160"/>
      <c r="EI1" s="160"/>
    </row>
    <row r="2" spans="1:139" thickTop="1" thickBot="1" x14ac:dyDescent="0.35">
      <c r="AO2" s="81" t="s">
        <v>385</v>
      </c>
      <c r="BD2" s="81"/>
      <c r="BE2" s="81"/>
      <c r="BF2" s="81"/>
      <c r="BG2" s="81"/>
      <c r="BH2" s="81"/>
      <c r="BI2" s="81"/>
      <c r="BJ2" s="81"/>
      <c r="BK2" s="81"/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  <c r="EE2" s="160"/>
      <c r="EF2" s="160"/>
      <c r="EG2" s="160"/>
      <c r="EH2" s="160"/>
      <c r="EI2" s="160"/>
    </row>
    <row r="3" spans="1:139" thickTop="1" thickBot="1" x14ac:dyDescent="0.35">
      <c r="A3" s="321" t="s">
        <v>1</v>
      </c>
      <c r="B3" s="322"/>
      <c r="C3" s="322"/>
      <c r="D3" s="322"/>
      <c r="E3" s="322"/>
      <c r="F3" s="322"/>
      <c r="G3" s="322"/>
      <c r="H3" s="323"/>
      <c r="I3" s="305"/>
      <c r="K3" s="312" t="s">
        <v>2</v>
      </c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4"/>
      <c r="W3" s="312" t="s">
        <v>3</v>
      </c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D3" s="81"/>
      <c r="BE3" s="208"/>
      <c r="BF3" s="208" t="s">
        <v>437</v>
      </c>
      <c r="BG3" s="81"/>
      <c r="BH3" s="81"/>
      <c r="BI3" s="81"/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0.21369000387775008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610</v>
      </c>
      <c r="EF3" s="160"/>
      <c r="EG3" s="160"/>
      <c r="EH3" s="160"/>
      <c r="EI3" s="160"/>
    </row>
    <row r="4" spans="1:139" ht="15.75" customHeight="1" thickTop="1" thickBot="1" x14ac:dyDescent="0.35">
      <c r="A4" s="214" t="s">
        <v>6</v>
      </c>
      <c r="B4" s="215">
        <f>'Tabula data'!B5</f>
        <v>710.5</v>
      </c>
      <c r="C4" s="215" t="s">
        <v>7</v>
      </c>
      <c r="D4" s="214" t="s">
        <v>8</v>
      </c>
      <c r="E4" s="215"/>
      <c r="F4" s="215"/>
      <c r="G4" s="216">
        <f>SUM(H6:H13)</f>
        <v>45.4</v>
      </c>
      <c r="H4" s="217" t="s">
        <v>9</v>
      </c>
      <c r="I4" s="225"/>
      <c r="L4" s="324" t="s">
        <v>2</v>
      </c>
      <c r="M4" s="325"/>
      <c r="N4" s="325"/>
      <c r="O4" s="325"/>
      <c r="P4" s="326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SUM(O6:O9)/SUM($O$6:$O$14,$O$26,2*$O$27)</f>
        <v>0.21369000387775008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D4" s="81"/>
      <c r="BE4" s="81"/>
      <c r="BF4" s="81" t="s">
        <v>281</v>
      </c>
      <c r="BG4" s="81">
        <f>1/(1/AP19+1/AP23)</f>
        <v>103.29093828075732</v>
      </c>
      <c r="BH4" s="81"/>
      <c r="BI4" s="81"/>
      <c r="BJ4" s="81" t="s">
        <v>439</v>
      </c>
      <c r="BK4" s="81">
        <f>BG4</f>
        <v>103.29093828075732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t="s">
        <v>498</v>
      </c>
      <c r="CM4" s="81"/>
      <c r="CN4" s="81" t="s">
        <v>497</v>
      </c>
      <c r="CO4" s="81" t="s">
        <v>507</v>
      </c>
      <c r="CP4" s="81"/>
      <c r="CQ4" s="81"/>
      <c r="CR4" s="81"/>
      <c r="CS4" s="81"/>
      <c r="CT4" s="81"/>
      <c r="DL4" s="81" t="s">
        <v>393</v>
      </c>
      <c r="DM4" s="286">
        <f t="shared" ref="DM4:DM49" si="0">AP5</f>
        <v>0.42738000775550017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  <c r="DX4" s="81"/>
      <c r="EE4" s="160"/>
      <c r="EF4" s="160"/>
      <c r="EG4" s="160"/>
      <c r="EH4" s="160"/>
      <c r="EI4" s="160"/>
    </row>
    <row r="5" spans="1:139" ht="15" customHeight="1" thickTop="1" thickBot="1" x14ac:dyDescent="0.35">
      <c r="A5" s="218"/>
      <c r="B5" s="219"/>
      <c r="C5" s="219"/>
      <c r="D5" s="220"/>
      <c r="E5" s="221"/>
      <c r="F5" s="221"/>
      <c r="G5" s="221"/>
      <c r="H5" s="222"/>
      <c r="I5" s="221"/>
      <c r="K5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0.59974793202856758</v>
      </c>
      <c r="AB5" s="261" t="s">
        <v>5</v>
      </c>
      <c r="AC5" s="261"/>
      <c r="AD5" s="261" t="s">
        <v>22</v>
      </c>
      <c r="AE5" s="264">
        <f>SUM(AE7:AE10)</f>
        <v>57607.199999999997</v>
      </c>
      <c r="AF5" s="14" t="s">
        <v>23</v>
      </c>
      <c r="AG5" s="14">
        <f>SUM(AE9:AE10)</f>
        <v>21907.200000000001</v>
      </c>
      <c r="AH5" s="14"/>
      <c r="AM5" s="154" t="s">
        <v>389</v>
      </c>
      <c r="AN5" s="81" t="s">
        <v>390</v>
      </c>
      <c r="AO5" s="81" t="s">
        <v>393</v>
      </c>
      <c r="AP5" s="81">
        <f>SUM(2*O27)/SUM($O$6:$O$14,$O$26,2*$O$27)</f>
        <v>0.42738000775550017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D5" s="81"/>
      <c r="BE5" s="81"/>
      <c r="BF5" s="81" t="s">
        <v>291</v>
      </c>
      <c r="BG5" s="204">
        <f>AP10</f>
        <v>23146317.810000002</v>
      </c>
      <c r="BH5" s="81"/>
      <c r="BI5" s="81"/>
      <c r="BJ5" s="81" t="s">
        <v>440</v>
      </c>
      <c r="BK5" s="81">
        <f>BG24</f>
        <v>152.32965756520363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M5" s="81"/>
      <c r="CN5" s="81" t="s">
        <v>499</v>
      </c>
      <c r="CO5" s="81"/>
      <c r="CP5" s="81"/>
      <c r="CQ5" s="81"/>
      <c r="CR5" s="81"/>
      <c r="CS5" s="81"/>
      <c r="CT5" s="81"/>
      <c r="DL5" s="81" t="s">
        <v>394</v>
      </c>
      <c r="DM5" s="286">
        <f t="shared" si="0"/>
        <v>3.9309377042853776E-2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X5" s="81"/>
      <c r="DY5" s="212" t="s">
        <v>568</v>
      </c>
      <c r="DZ5" s="292" t="s">
        <v>569</v>
      </c>
      <c r="EA5" s="292" t="s">
        <v>434</v>
      </c>
      <c r="EB5" s="293">
        <f>DS12</f>
        <v>1.23</v>
      </c>
      <c r="EC5" s="212" t="s">
        <v>392</v>
      </c>
      <c r="EE5" s="160" t="s">
        <v>568</v>
      </c>
      <c r="EF5" s="306" t="s">
        <v>569</v>
      </c>
      <c r="EG5" s="306" t="s">
        <v>434</v>
      </c>
      <c r="EH5" s="160">
        <f>$O$11*$Z$37*$AP$4</f>
        <v>0.97961908477676962</v>
      </c>
      <c r="EI5" s="160" t="s">
        <v>392</v>
      </c>
    </row>
    <row r="6" spans="1:139" ht="15" customHeight="1" thickTop="1" thickBot="1" x14ac:dyDescent="0.35">
      <c r="A6" s="223" t="s">
        <v>34</v>
      </c>
      <c r="B6" s="224">
        <f>'Tabula data'!B4</f>
        <v>258.39999999999998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0.1526431718061674</v>
      </c>
      <c r="G6" s="221"/>
      <c r="H6" s="228">
        <f>'Tabula data'!B16*'Gebouwgegevens Tabula 2zone'!C45</f>
        <v>6.93</v>
      </c>
      <c r="I6" s="240"/>
      <c r="K6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54.722250000000003</v>
      </c>
      <c r="P6" s="249" t="s">
        <v>26</v>
      </c>
      <c r="Q6" s="30">
        <f t="shared" ref="Q6:Q28" si="6">VLOOKUP(N6,$X$5:$AA$391,4,0)</f>
        <v>0.59788861556532236</v>
      </c>
      <c r="R6" s="30">
        <f t="shared" ref="R6:R28" si="7">Q6*O6</f>
        <v>32.717810293119463</v>
      </c>
      <c r="S6" s="30">
        <f t="shared" ref="S6:S14" si="8">VLOOKUP(N6,$X$5:$AE$391,8,0)*O6</f>
        <v>13840225.608825002</v>
      </c>
      <c r="T6" s="30">
        <f t="shared" ref="T6:T14" si="9">S6/O6</f>
        <v>252917.7</v>
      </c>
      <c r="U6" s="30">
        <f t="shared" ref="U6:U14" si="10">VLOOKUP(N6,$X$5:$AG$391,10,0)*O6</f>
        <v>7331687.0550000006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SUM(O10:O13)/SUM($O$6:$O$14,$O$26,2*$O$27)</f>
        <v>3.9309377042853776E-2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D6" s="81"/>
      <c r="BE6" s="81"/>
      <c r="BF6" s="81" t="s">
        <v>282</v>
      </c>
      <c r="BG6" s="3">
        <f>AP22</f>
        <v>212.6360105263158</v>
      </c>
      <c r="BH6" s="81"/>
      <c r="BI6" s="81"/>
      <c r="BJ6" s="81" t="s">
        <v>441</v>
      </c>
      <c r="BK6" s="3">
        <f>BG6</f>
        <v>212.6360105263158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t="s">
        <v>501</v>
      </c>
      <c r="CJ6" t="s">
        <v>502</v>
      </c>
      <c r="CK6" t="s">
        <v>503</v>
      </c>
      <c r="CL6" t="s">
        <v>504</v>
      </c>
      <c r="CM6" s="81"/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T6" s="81"/>
      <c r="CV6" s="212" t="s">
        <v>506</v>
      </c>
      <c r="CW6" s="81" t="s">
        <v>497</v>
      </c>
      <c r="CX6" s="81" t="s">
        <v>521</v>
      </c>
      <c r="CY6" s="81"/>
      <c r="CZ6" s="81"/>
      <c r="DA6" s="81"/>
      <c r="DB6" s="81"/>
      <c r="DL6" s="81" t="s">
        <v>395</v>
      </c>
      <c r="DM6" s="286">
        <f t="shared" si="0"/>
        <v>0.17168475561825378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X6" s="81"/>
      <c r="DY6" s="212" t="s">
        <v>568</v>
      </c>
      <c r="DZ6" s="292" t="s">
        <v>570</v>
      </c>
      <c r="EA6" s="292" t="s">
        <v>434</v>
      </c>
      <c r="EB6" s="293">
        <f t="shared" ref="EB6:EB24" si="11">DS13</f>
        <v>1.45</v>
      </c>
      <c r="EC6" s="212" t="s">
        <v>392</v>
      </c>
      <c r="EE6" s="160" t="s">
        <v>568</v>
      </c>
      <c r="EF6" s="306" t="s">
        <v>570</v>
      </c>
      <c r="EG6" s="306" t="s">
        <v>434</v>
      </c>
      <c r="EH6" s="160">
        <f>$O$10*$Z$37*$AP$4</f>
        <v>0.87371431885495665</v>
      </c>
      <c r="EI6" s="160" t="s">
        <v>392</v>
      </c>
    </row>
    <row r="7" spans="1:139" ht="15" customHeight="1" thickTop="1" thickBot="1" x14ac:dyDescent="0.35">
      <c r="A7" s="226" t="s">
        <v>42</v>
      </c>
      <c r="B7" s="229">
        <f>'Tabula data'!B14</f>
        <v>138.80000000000001</v>
      </c>
      <c r="C7" s="230" t="s">
        <v>9</v>
      </c>
      <c r="D7" s="226" t="s">
        <v>43</v>
      </c>
      <c r="E7" s="221" t="s">
        <v>36</v>
      </c>
      <c r="F7" s="227">
        <f t="shared" si="5"/>
        <v>0.17114537444933919</v>
      </c>
      <c r="G7" s="221"/>
      <c r="H7" s="228">
        <f>'Tabula data'!B17*'Gebouwgegevens Tabula 2zone'!C45</f>
        <v>7.77</v>
      </c>
      <c r="I7" s="240"/>
      <c r="K7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31.657499999999995</v>
      </c>
      <c r="P7" s="253" t="s">
        <v>39</v>
      </c>
      <c r="Q7" s="30">
        <f t="shared" si="6"/>
        <v>0.59788861556532236</v>
      </c>
      <c r="R7" s="30">
        <f t="shared" si="7"/>
        <v>18.927658847259188</v>
      </c>
      <c r="S7" s="30">
        <f t="shared" si="8"/>
        <v>8006742.087749999</v>
      </c>
      <c r="T7" s="30">
        <f t="shared" si="9"/>
        <v>252917.7</v>
      </c>
      <c r="U7" s="30">
        <f t="shared" si="10"/>
        <v>4241471.8499999996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SUM(O14)/SUM($O$6:$O$14,$O$26,2*$O$27)</f>
        <v>0.17168475561825378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D7" s="81"/>
      <c r="BE7" s="81"/>
      <c r="BF7" s="81" t="s">
        <v>122</v>
      </c>
      <c r="BG7" s="204">
        <f>AP9</f>
        <v>2008375.4092879263</v>
      </c>
      <c r="BH7" s="81"/>
      <c r="BI7" s="81"/>
      <c r="BJ7" s="81" t="s">
        <v>442</v>
      </c>
      <c r="BK7" s="3">
        <f>BG25</f>
        <v>100.36638947368422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>
        <v>2836.8</v>
      </c>
      <c r="CL7" t="s">
        <v>505</v>
      </c>
      <c r="CM7" s="81"/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CX7" s="81"/>
      <c r="CY7" s="81"/>
      <c r="CZ7" s="81"/>
      <c r="DA7" s="81"/>
      <c r="DB7" s="81"/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292</v>
      </c>
      <c r="DT7" s="291">
        <v>4.6600000000000003E-2</v>
      </c>
      <c r="DU7" s="290">
        <v>6266.46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1"/>
        <v>1.4</v>
      </c>
      <c r="EC7" s="212" t="s">
        <v>392</v>
      </c>
      <c r="EE7" s="160" t="s">
        <v>568</v>
      </c>
      <c r="EF7" s="307" t="s">
        <v>571</v>
      </c>
      <c r="EG7" s="306" t="s">
        <v>434</v>
      </c>
      <c r="EH7" s="160">
        <f>$O$12*$Z$37*$AP$4</f>
        <v>1.1473016308196402</v>
      </c>
      <c r="EI7" s="160" t="s">
        <v>392</v>
      </c>
    </row>
    <row r="8" spans="1:139" ht="15" customHeight="1" thickTop="1" thickBot="1" x14ac:dyDescent="0.35">
      <c r="A8" s="226" t="s">
        <v>47</v>
      </c>
      <c r="B8" s="229">
        <f>B6-B7</f>
        <v>119.59999999999997</v>
      </c>
      <c r="C8" s="221"/>
      <c r="D8" s="226" t="s">
        <v>48</v>
      </c>
      <c r="E8" s="221" t="s">
        <v>36</v>
      </c>
      <c r="F8" s="227">
        <f t="shared" si="5"/>
        <v>0.20044052863436124</v>
      </c>
      <c r="G8" s="221"/>
      <c r="H8" s="228">
        <f>'Tabula data'!B18*C45</f>
        <v>9.1</v>
      </c>
      <c r="I8" s="240"/>
      <c r="K8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54.722250000000003</v>
      </c>
      <c r="P8" s="253" t="s">
        <v>45</v>
      </c>
      <c r="Q8" s="30">
        <f t="shared" si="6"/>
        <v>0.59788861556532236</v>
      </c>
      <c r="R8" s="30">
        <f t="shared" si="7"/>
        <v>32.717810293119463</v>
      </c>
      <c r="S8" s="30">
        <f t="shared" si="8"/>
        <v>13840225.608825002</v>
      </c>
      <c r="T8" s="30">
        <f t="shared" si="9"/>
        <v>252917.7</v>
      </c>
      <c r="U8" s="30">
        <f t="shared" si="10"/>
        <v>7331687.0550000006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D8" s="81"/>
      <c r="BE8" s="81"/>
      <c r="BF8" s="81"/>
      <c r="BG8" s="81"/>
      <c r="BH8" s="81"/>
      <c r="BI8" s="81"/>
      <c r="BJ8" s="81"/>
      <c r="BK8" s="81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>
        <v>2780.29</v>
      </c>
      <c r="CL8" t="s">
        <v>505</v>
      </c>
      <c r="CM8" s="81"/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2008375.4092879263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292</v>
      </c>
      <c r="DT8" s="291">
        <v>3.95E-2</v>
      </c>
      <c r="DU8" s="290">
        <v>7392.67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1"/>
        <v>1.1299999999999999</v>
      </c>
      <c r="EC8" s="212" t="s">
        <v>392</v>
      </c>
      <c r="EE8" s="160" t="s">
        <v>568</v>
      </c>
      <c r="EF8" s="308" t="s">
        <v>572</v>
      </c>
      <c r="EG8" s="306" t="s">
        <v>434</v>
      </c>
      <c r="EH8" s="160">
        <f>$O$13*$Z$37*$AP$4</f>
        <v>1.0060952762572228</v>
      </c>
      <c r="EI8" s="160" t="s">
        <v>392</v>
      </c>
    </row>
    <row r="9" spans="1:139" ht="15" customHeight="1" thickTop="1" thickBot="1" x14ac:dyDescent="0.35">
      <c r="A9" s="220"/>
      <c r="B9" s="221"/>
      <c r="C9" s="221"/>
      <c r="D9" s="226" t="s">
        <v>52</v>
      </c>
      <c r="E9" s="231" t="s">
        <v>36</v>
      </c>
      <c r="F9" s="227">
        <f t="shared" si="5"/>
        <v>0.17577092511013215</v>
      </c>
      <c r="G9" s="221"/>
      <c r="H9" s="228">
        <f>'Tabula data'!B19*'Gebouwgegevens Tabula 2zone'!C45</f>
        <v>7.9799999999999995</v>
      </c>
      <c r="I9" s="240"/>
      <c r="K9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31.657499999999995</v>
      </c>
      <c r="P9" s="253" t="s">
        <v>50</v>
      </c>
      <c r="Q9" s="30">
        <f t="shared" si="6"/>
        <v>0.59788861556532236</v>
      </c>
      <c r="R9" s="30">
        <f t="shared" si="7"/>
        <v>18.927658847259188</v>
      </c>
      <c r="S9" s="30">
        <f t="shared" si="8"/>
        <v>8006742.087749999</v>
      </c>
      <c r="T9" s="30">
        <f t="shared" si="9"/>
        <v>252917.7</v>
      </c>
      <c r="U9" s="30">
        <f t="shared" si="10"/>
        <v>4241471.8499999996</v>
      </c>
      <c r="V9" s="31"/>
      <c r="W9" s="3"/>
      <c r="X9" s="220"/>
      <c r="Y9" s="231" t="s">
        <v>267</v>
      </c>
      <c r="Z9" s="221">
        <v>4.7E-2</v>
      </c>
      <c r="AA9" s="221">
        <v>3.5999999999999997E-2</v>
      </c>
      <c r="AB9" s="221">
        <v>80</v>
      </c>
      <c r="AC9" s="221">
        <v>1470</v>
      </c>
      <c r="AD9" s="268">
        <f>Z9/AA9</f>
        <v>1.3055555555555556</v>
      </c>
      <c r="AE9" s="222">
        <f>Z9*AB9*AC9</f>
        <v>5527.2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2008375.4092879263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D9" s="81"/>
      <c r="BE9" s="81"/>
      <c r="BF9" s="81" t="s">
        <v>285</v>
      </c>
      <c r="BG9" s="81">
        <f>AP21</f>
        <v>599.93652733118972</v>
      </c>
      <c r="BH9" s="81"/>
      <c r="BI9" s="81"/>
      <c r="BJ9" s="81" t="s">
        <v>443</v>
      </c>
      <c r="BK9" s="204">
        <f>BG5</f>
        <v>23146317.810000002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>
        <v>5435.78</v>
      </c>
      <c r="CL9" t="s">
        <v>505</v>
      </c>
      <c r="CM9" s="81"/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23146317.810000002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295</v>
      </c>
      <c r="DT9" s="291">
        <v>3.4500000000000003E-2</v>
      </c>
      <c r="DU9" s="290">
        <v>8564.44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1"/>
        <v>2.44</v>
      </c>
      <c r="EC9" s="212" t="s">
        <v>392</v>
      </c>
      <c r="EE9" s="160" t="s">
        <v>568</v>
      </c>
      <c r="EF9" s="308" t="s">
        <v>573</v>
      </c>
      <c r="EG9" s="306" t="s">
        <v>434</v>
      </c>
      <c r="EH9" s="160">
        <f>$O$11*$Z$37*$AP$5</f>
        <v>1.9592381695535392</v>
      </c>
      <c r="EI9" s="160" t="s">
        <v>392</v>
      </c>
    </row>
    <row r="10" spans="1:139" ht="15" customHeight="1" thickTop="1" thickBot="1" x14ac:dyDescent="0.35">
      <c r="A10" s="220"/>
      <c r="B10" s="221"/>
      <c r="C10" s="221"/>
      <c r="D10" s="226" t="s">
        <v>35</v>
      </c>
      <c r="E10" s="231" t="s">
        <v>56</v>
      </c>
      <c r="F10" s="227">
        <f t="shared" si="5"/>
        <v>6.5418502202643183E-2</v>
      </c>
      <c r="G10" s="221"/>
      <c r="H10" s="232">
        <f>'Tabula data'!B16*(1-C45)</f>
        <v>2.9700000000000006</v>
      </c>
      <c r="I10" s="238"/>
      <c r="K10" t="s">
        <v>53</v>
      </c>
      <c r="L10" s="250">
        <v>0</v>
      </c>
      <c r="M10" s="251">
        <v>1</v>
      </c>
      <c r="N10" s="251" t="s">
        <v>54</v>
      </c>
      <c r="O10" s="252">
        <f>H6</f>
        <v>6.93</v>
      </c>
      <c r="P10" s="253" t="s">
        <v>26</v>
      </c>
      <c r="Q10" s="30">
        <f t="shared" si="6"/>
        <v>3.5</v>
      </c>
      <c r="R10" s="30">
        <f t="shared" si="7"/>
        <v>24.254999999999999</v>
      </c>
      <c r="S10" s="30">
        <f t="shared" si="8"/>
        <v>0</v>
      </c>
      <c r="T10" s="30">
        <f t="shared" si="9"/>
        <v>0</v>
      </c>
      <c r="U10" s="30">
        <f t="shared" si="10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23146317.810000002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D10" s="81"/>
      <c r="BE10" s="81"/>
      <c r="BF10" s="81" t="s">
        <v>293</v>
      </c>
      <c r="BG10" s="204">
        <f>AP11</f>
        <v>34102725.300000004</v>
      </c>
      <c r="BH10" s="81"/>
      <c r="BI10" s="81"/>
      <c r="BJ10" s="81" t="s">
        <v>444</v>
      </c>
      <c r="BK10" s="204">
        <f>BG26</f>
        <v>12898540.410000004</v>
      </c>
      <c r="BQ10" s="154" t="s">
        <v>389</v>
      </c>
      <c r="BR10" s="81" t="s">
        <v>390</v>
      </c>
      <c r="BS10" s="81" t="s">
        <v>397</v>
      </c>
      <c r="BT10" s="204">
        <f t="shared" ref="BT10:BT12" si="12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>
        <v>2606.75</v>
      </c>
      <c r="CL10" t="s">
        <v>505</v>
      </c>
      <c r="CM10" s="81"/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t="s">
        <v>389</v>
      </c>
      <c r="DG10" t="s">
        <v>390</v>
      </c>
      <c r="DH10" t="str">
        <f>CW17</f>
        <v>abs1D</v>
      </c>
      <c r="DI10" t="s">
        <v>434</v>
      </c>
      <c r="DJ10" s="204">
        <f>CX17</f>
        <v>0.17</v>
      </c>
      <c r="DK10" t="s">
        <v>392</v>
      </c>
      <c r="DL10" s="81" t="s">
        <v>398</v>
      </c>
      <c r="DM10" s="288">
        <f t="shared" si="0"/>
        <v>34102725.300000004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290</v>
      </c>
      <c r="DT10" s="291">
        <v>6.7699999999999996E-2</v>
      </c>
      <c r="DU10" s="290">
        <v>4291.5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1"/>
        <v>3.5</v>
      </c>
      <c r="EC10" s="212" t="s">
        <v>392</v>
      </c>
      <c r="EE10" s="160" t="s">
        <v>568</v>
      </c>
      <c r="EF10" s="308" t="s">
        <v>574</v>
      </c>
      <c r="EG10" s="306" t="s">
        <v>434</v>
      </c>
      <c r="EH10" s="160">
        <f>$O$10*$Z$37*$AP$5</f>
        <v>1.7474286377099133</v>
      </c>
      <c r="EI10" s="160" t="s">
        <v>392</v>
      </c>
    </row>
    <row r="11" spans="1:139" ht="15" customHeight="1" thickTop="1" thickBot="1" x14ac:dyDescent="0.35">
      <c r="A11" s="220"/>
      <c r="B11" s="221"/>
      <c r="C11" s="221"/>
      <c r="D11" s="226" t="s">
        <v>43</v>
      </c>
      <c r="E11" s="231" t="s">
        <v>56</v>
      </c>
      <c r="F11" s="227">
        <f t="shared" si="5"/>
        <v>7.3348017621145387E-2</v>
      </c>
      <c r="G11" s="221"/>
      <c r="H11" s="232">
        <f>'Tabula data'!B17*(1-'Gebouwgegevens Tabula 2zone'!C45)</f>
        <v>3.3300000000000005</v>
      </c>
      <c r="I11" s="238"/>
      <c r="K11" t="s">
        <v>57</v>
      </c>
      <c r="L11" s="250">
        <v>0</v>
      </c>
      <c r="M11" s="251">
        <v>1</v>
      </c>
      <c r="N11" s="251" t="s">
        <v>54</v>
      </c>
      <c r="O11" s="252">
        <f>H7</f>
        <v>7.77</v>
      </c>
      <c r="P11" s="253" t="s">
        <v>39</v>
      </c>
      <c r="Q11" s="30">
        <f t="shared" si="6"/>
        <v>3.5</v>
      </c>
      <c r="R11" s="30">
        <f t="shared" si="7"/>
        <v>27.195</v>
      </c>
      <c r="S11" s="30">
        <f t="shared" si="8"/>
        <v>0</v>
      </c>
      <c r="T11" s="30">
        <f t="shared" si="9"/>
        <v>0</v>
      </c>
      <c r="U11" s="30">
        <f t="shared" si="10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</f>
        <v>34102725.300000004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D11" s="81"/>
      <c r="BE11" s="81"/>
      <c r="BF11" s="81" t="s">
        <v>297</v>
      </c>
      <c r="BG11" s="81">
        <f>1/(1/AP48+1/AP49+1/AP50)</f>
        <v>174.01385681293297</v>
      </c>
      <c r="BH11" s="81"/>
      <c r="BI11" s="81"/>
      <c r="BJ11" s="81" t="s">
        <v>445</v>
      </c>
      <c r="BK11" s="204">
        <f>BG10</f>
        <v>34102725.300000004</v>
      </c>
      <c r="BQ11" s="154" t="s">
        <v>389</v>
      </c>
      <c r="BR11" s="81" t="s">
        <v>390</v>
      </c>
      <c r="BS11" s="81" t="s">
        <v>398</v>
      </c>
      <c r="BT11" s="204">
        <f t="shared" si="12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>
        <v>4411.26</v>
      </c>
      <c r="CL11" t="s">
        <v>505</v>
      </c>
      <c r="CM11" s="81"/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3">CW18</f>
        <v>abs1N</v>
      </c>
      <c r="DI11" s="81" t="s">
        <v>434</v>
      </c>
      <c r="DJ11" s="204">
        <f t="shared" ref="DJ11:DJ56" si="14">CX18</f>
        <v>0.45</v>
      </c>
      <c r="DK11" s="81" t="s">
        <v>392</v>
      </c>
      <c r="DL11" s="81" t="s">
        <v>399</v>
      </c>
      <c r="DM11" s="288">
        <f t="shared" si="0"/>
        <v>15401248.000000002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293</v>
      </c>
      <c r="DT11" s="291">
        <v>3.1699999999999999E-2</v>
      </c>
      <c r="DU11" s="290">
        <v>9240.6299999999992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1"/>
        <v>2.66</v>
      </c>
      <c r="EC11" s="212" t="s">
        <v>392</v>
      </c>
      <c r="EE11" s="160" t="s">
        <v>568</v>
      </c>
      <c r="EF11" s="308" t="s">
        <v>575</v>
      </c>
      <c r="EG11" s="306" t="s">
        <v>434</v>
      </c>
      <c r="EH11" s="160">
        <f>$O$12*$Z$37*$AP$5</f>
        <v>2.2946032616392804</v>
      </c>
      <c r="EI11" s="160" t="s">
        <v>392</v>
      </c>
    </row>
    <row r="12" spans="1:139" ht="15" customHeight="1" thickTop="1" thickBot="1" x14ac:dyDescent="0.35">
      <c r="A12" s="220"/>
      <c r="B12" s="221"/>
      <c r="C12" s="221"/>
      <c r="D12" s="226" t="s">
        <v>48</v>
      </c>
      <c r="E12" s="231" t="s">
        <v>56</v>
      </c>
      <c r="F12" s="227">
        <f t="shared" si="5"/>
        <v>8.5903083700440544E-2</v>
      </c>
      <c r="G12" s="221"/>
      <c r="H12" s="232">
        <f>'Tabula data'!B18*(1-'Gebouwgegevens Tabula 2zone'!C45)</f>
        <v>3.9000000000000004</v>
      </c>
      <c r="I12" s="238"/>
      <c r="K12" t="s">
        <v>59</v>
      </c>
      <c r="L12" s="250">
        <v>0</v>
      </c>
      <c r="M12" s="251">
        <v>1</v>
      </c>
      <c r="N12" s="251" t="s">
        <v>54</v>
      </c>
      <c r="O12" s="252">
        <f>H8</f>
        <v>9.1</v>
      </c>
      <c r="P12" s="253" t="s">
        <v>45</v>
      </c>
      <c r="Q12" s="30">
        <f t="shared" si="6"/>
        <v>3.5</v>
      </c>
      <c r="R12" s="30">
        <f t="shared" si="7"/>
        <v>31.849999999999998</v>
      </c>
      <c r="S12" s="30">
        <f t="shared" si="8"/>
        <v>0</v>
      </c>
      <c r="T12" s="30">
        <f t="shared" si="9"/>
        <v>0</v>
      </c>
      <c r="U12" s="30">
        <f t="shared" si="10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15401248.000000002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D12" s="81"/>
      <c r="BE12" s="81"/>
      <c r="BF12" s="81" t="s">
        <v>298</v>
      </c>
      <c r="BG12" s="81">
        <f>AP44+AP45</f>
        <v>55678583.999999985</v>
      </c>
      <c r="BH12" s="81"/>
      <c r="BI12" s="81"/>
      <c r="BJ12" s="81" t="s">
        <v>446</v>
      </c>
      <c r="BK12" s="204">
        <f>BG26</f>
        <v>12898540.410000004</v>
      </c>
      <c r="BQ12" s="154" t="s">
        <v>389</v>
      </c>
      <c r="BR12" s="81" t="s">
        <v>390</v>
      </c>
      <c r="BS12" s="81" t="s">
        <v>399</v>
      </c>
      <c r="BT12" s="204">
        <f t="shared" si="12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>
        <v>184.38</v>
      </c>
      <c r="CL12" t="s">
        <v>505</v>
      </c>
      <c r="CM12" s="81"/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3"/>
        <v>abs2D</v>
      </c>
      <c r="DI12" s="81" t="s">
        <v>434</v>
      </c>
      <c r="DJ12" s="204">
        <f t="shared" si="14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1.23</v>
      </c>
      <c r="DT12" s="291">
        <v>3.6299999999999999E-2</v>
      </c>
      <c r="DU12" s="290">
        <v>33.85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1"/>
        <v>2.5099999999999998</v>
      </c>
      <c r="EC12" s="212" t="s">
        <v>392</v>
      </c>
      <c r="EE12" s="160" t="s">
        <v>568</v>
      </c>
      <c r="EF12" s="307" t="s">
        <v>576</v>
      </c>
      <c r="EG12" s="306" t="s">
        <v>434</v>
      </c>
      <c r="EH12" s="160">
        <f>$O$13*$Z$37*$AP$5</f>
        <v>2.0121905525144457</v>
      </c>
      <c r="EI12" s="160" t="s">
        <v>392</v>
      </c>
    </row>
    <row r="13" spans="1:139" ht="15" customHeight="1" thickTop="1" thickBot="1" x14ac:dyDescent="0.35">
      <c r="A13" s="220"/>
      <c r="B13" s="221"/>
      <c r="C13" s="221"/>
      <c r="D13" s="226" t="s">
        <v>52</v>
      </c>
      <c r="E13" s="231" t="s">
        <v>56</v>
      </c>
      <c r="F13" s="227">
        <f t="shared" si="5"/>
        <v>7.5330396475770944E-2</v>
      </c>
      <c r="G13" s="221"/>
      <c r="H13" s="232">
        <f>'Tabula data'!B19*(1-'Gebouwgegevens Tabula 2zone'!C45)</f>
        <v>3.4200000000000008</v>
      </c>
      <c r="I13" s="238"/>
      <c r="K13" t="s">
        <v>60</v>
      </c>
      <c r="L13" s="250">
        <v>0</v>
      </c>
      <c r="M13" s="251">
        <v>1</v>
      </c>
      <c r="N13" s="251" t="s">
        <v>54</v>
      </c>
      <c r="O13" s="252">
        <f>H9</f>
        <v>7.9799999999999995</v>
      </c>
      <c r="P13" s="253" t="s">
        <v>50</v>
      </c>
      <c r="Q13" s="30">
        <f t="shared" si="6"/>
        <v>3.5</v>
      </c>
      <c r="R13" s="30">
        <f t="shared" si="7"/>
        <v>27.93</v>
      </c>
      <c r="S13" s="30">
        <f t="shared" si="8"/>
        <v>0</v>
      </c>
      <c r="T13" s="30">
        <f t="shared" si="9"/>
        <v>0</v>
      </c>
      <c r="U13" s="30">
        <f t="shared" si="10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0.59788861556532236</v>
      </c>
      <c r="AB13" s="261" t="s">
        <v>5</v>
      </c>
      <c r="AC13" s="261"/>
      <c r="AD13" s="261" t="s">
        <v>22</v>
      </c>
      <c r="AE13" s="264">
        <f>SUM(AE15:AE20)</f>
        <v>252917.7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D13" s="81"/>
      <c r="BE13" s="81"/>
      <c r="BF13" s="81"/>
      <c r="BG13" s="81"/>
      <c r="BH13" s="81"/>
      <c r="BI13" s="81"/>
      <c r="BJ13" s="81"/>
      <c r="BK13" s="81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>
        <v>338.41</v>
      </c>
      <c r="CL13" t="s">
        <v>505</v>
      </c>
      <c r="CM13" s="81"/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T13" s="81"/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3"/>
        <v>abs2N</v>
      </c>
      <c r="DI13" s="81" t="s">
        <v>434</v>
      </c>
      <c r="DJ13" s="204">
        <f t="shared" si="14"/>
        <v>0.15</v>
      </c>
      <c r="DK13" s="81" t="s">
        <v>392</v>
      </c>
      <c r="DL13" s="81" t="s">
        <v>400</v>
      </c>
      <c r="DM13" s="286">
        <f t="shared" si="0"/>
        <v>4.2738000775550018E-2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1.45</v>
      </c>
      <c r="DT13" s="291">
        <v>9.8699999999999996E-2</v>
      </c>
      <c r="DU13" s="290">
        <v>14.74</v>
      </c>
      <c r="DV13" s="291" t="s">
        <v>509</v>
      </c>
      <c r="DW13" s="291">
        <v>2E-16</v>
      </c>
      <c r="DX13" s="81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1"/>
        <v>0.59699999999999998</v>
      </c>
      <c r="EC13" s="212" t="s">
        <v>392</v>
      </c>
      <c r="EE13" s="160" t="s">
        <v>568</v>
      </c>
      <c r="EF13" s="309" t="s">
        <v>577</v>
      </c>
      <c r="EG13" s="306" t="s">
        <v>434</v>
      </c>
      <c r="EH13" s="160">
        <f>$O$11*$Z$37*$AP$6</f>
        <v>0.18020597717755454</v>
      </c>
      <c r="EI13" s="160" t="s">
        <v>392</v>
      </c>
    </row>
    <row r="14" spans="1:139" ht="15" customHeight="1" thickTop="1" thickBot="1" x14ac:dyDescent="0.35">
      <c r="A14" s="220"/>
      <c r="B14" s="221"/>
      <c r="C14" s="221"/>
      <c r="D14" s="233" t="s">
        <v>65</v>
      </c>
      <c r="E14" s="234"/>
      <c r="F14" s="234"/>
      <c r="G14" s="234"/>
      <c r="H14" s="235"/>
      <c r="I14" s="225"/>
      <c r="K14" t="s">
        <v>61</v>
      </c>
      <c r="L14" s="250" t="s">
        <v>62</v>
      </c>
      <c r="M14" s="251">
        <v>1</v>
      </c>
      <c r="N14" s="251" t="s">
        <v>63</v>
      </c>
      <c r="O14" s="252">
        <f>B7</f>
        <v>138.80000000000001</v>
      </c>
      <c r="P14" s="253"/>
      <c r="Q14" s="30">
        <f t="shared" si="6"/>
        <v>0.66596194503171247</v>
      </c>
      <c r="R14" s="30">
        <f t="shared" si="7"/>
        <v>92.435517970401705</v>
      </c>
      <c r="S14" s="30">
        <f t="shared" si="8"/>
        <v>64582085.440000005</v>
      </c>
      <c r="T14" s="30">
        <f t="shared" si="9"/>
        <v>465288.8</v>
      </c>
      <c r="U14" s="30">
        <f t="shared" si="10"/>
        <v>15401248.000000002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AP4*0.2</f>
        <v>4.2738000775550018E-2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D14" s="81"/>
      <c r="BE14" s="81"/>
      <c r="BF14" s="81" t="s">
        <v>286</v>
      </c>
      <c r="BG14" s="81">
        <f>1/(1/AP20+1/AP24)</f>
        <v>54.044499381953031</v>
      </c>
      <c r="BH14" s="81"/>
      <c r="BI14" s="81"/>
      <c r="BJ14" s="81" t="s">
        <v>447</v>
      </c>
      <c r="BK14" s="81">
        <f>BG9</f>
        <v>599.93652733118972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>
        <v>11.07</v>
      </c>
      <c r="CL14" t="s">
        <v>505</v>
      </c>
      <c r="CM14" s="81"/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3"/>
        <v>abs3D</v>
      </c>
      <c r="DI14" s="81" t="s">
        <v>434</v>
      </c>
      <c r="DJ14" s="204">
        <f t="shared" si="14"/>
        <v>0.14000000000000001</v>
      </c>
      <c r="DK14" s="81" t="s">
        <v>392</v>
      </c>
      <c r="DL14" s="81" t="s">
        <v>401</v>
      </c>
      <c r="DM14" s="286">
        <f t="shared" si="0"/>
        <v>8.5476001551100037E-2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1.4</v>
      </c>
      <c r="DT14" s="291">
        <v>1.7999999999999999E-2</v>
      </c>
      <c r="DU14" s="290">
        <v>77.72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1"/>
        <v>0.91400000000000003</v>
      </c>
      <c r="EC14" s="212" t="s">
        <v>392</v>
      </c>
      <c r="EE14" s="160" t="s">
        <v>568</v>
      </c>
      <c r="EF14" s="309" t="s">
        <v>578</v>
      </c>
      <c r="EG14" s="306" t="s">
        <v>434</v>
      </c>
      <c r="EH14" s="160">
        <f>$O$10*$Z$37*$AP$6</f>
        <v>0.16072424991511622</v>
      </c>
      <c r="EI14" s="160" t="s">
        <v>392</v>
      </c>
    </row>
    <row r="15" spans="1:139" ht="15" customHeight="1" thickTop="1" thickBot="1" x14ac:dyDescent="0.35">
      <c r="A15" s="220"/>
      <c r="B15" s="221"/>
      <c r="C15" s="221"/>
      <c r="D15" s="236"/>
      <c r="E15" s="221"/>
      <c r="F15" s="221"/>
      <c r="G15" s="221"/>
      <c r="H15" s="222"/>
      <c r="I15" s="221"/>
      <c r="K15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6"/>
        <v>0.59974793202856758</v>
      </c>
      <c r="R15" s="30">
        <f t="shared" si="7"/>
        <v>0</v>
      </c>
      <c r="S15" s="30">
        <v>0</v>
      </c>
      <c r="T15" s="30">
        <f>S15/O25</f>
        <v>0</v>
      </c>
      <c r="U15" s="30">
        <f>VLOOKUP(N15,$X$5:$AG$391,10,0)*O25</f>
        <v>3540203.52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AP5*0.2</f>
        <v>8.5476001551100037E-2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D15" s="81"/>
      <c r="BE15" s="81"/>
      <c r="BF15" s="81" t="s">
        <v>294</v>
      </c>
      <c r="BG15" s="204">
        <f>AP12</f>
        <v>15401248.000000002</v>
      </c>
      <c r="BH15" s="81"/>
      <c r="BI15" s="81"/>
      <c r="BJ15" s="81" t="s">
        <v>448</v>
      </c>
      <c r="BK15" s="81">
        <f>AP38</f>
        <v>98.069903536977506</v>
      </c>
      <c r="BQ15" s="154" t="s">
        <v>389</v>
      </c>
      <c r="BR15" s="81" t="s">
        <v>390</v>
      </c>
      <c r="BS15" s="81" t="s">
        <v>401</v>
      </c>
      <c r="BT15" s="204">
        <f t="shared" ref="BT15:BT17" si="15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>
        <v>322.19</v>
      </c>
      <c r="CL15" t="s">
        <v>505</v>
      </c>
      <c r="CM15" s="81"/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3"/>
        <v>abs3N</v>
      </c>
      <c r="DI15" s="81" t="s">
        <v>434</v>
      </c>
      <c r="DJ15" s="204">
        <f t="shared" si="14"/>
        <v>0.11</v>
      </c>
      <c r="DK15" s="81" t="s">
        <v>392</v>
      </c>
      <c r="DL15" s="81" t="s">
        <v>402</v>
      </c>
      <c r="DM15" s="286">
        <f t="shared" si="0"/>
        <v>0.8078618754085708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1.1299999999999999</v>
      </c>
      <c r="DT15" s="291">
        <v>2.1600000000000001E-2</v>
      </c>
      <c r="DU15" s="290">
        <v>52.5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1"/>
        <v>0.79</v>
      </c>
      <c r="EC15" s="212" t="s">
        <v>392</v>
      </c>
      <c r="EE15" s="160" t="s">
        <v>568</v>
      </c>
      <c r="EF15" s="309" t="s">
        <v>579</v>
      </c>
      <c r="EG15" s="306" t="s">
        <v>434</v>
      </c>
      <c r="EH15" s="160">
        <f>$O$12*$Z$37*$AP$6</f>
        <v>0.21105204534308192</v>
      </c>
      <c r="EI15" s="160" t="s">
        <v>392</v>
      </c>
    </row>
    <row r="16" spans="1:139" ht="15" customHeight="1" thickTop="1" thickBot="1" x14ac:dyDescent="0.35">
      <c r="A16" s="237"/>
      <c r="B16" s="219"/>
      <c r="C16" s="219"/>
      <c r="D16" s="226" t="s">
        <v>69</v>
      </c>
      <c r="E16" s="221"/>
      <c r="F16" s="238">
        <f>B4/B26</f>
        <v>1.2730693424117541</v>
      </c>
      <c r="G16" s="231" t="s">
        <v>70</v>
      </c>
      <c r="H16" s="222"/>
      <c r="I16" s="221"/>
      <c r="K16" t="s">
        <v>67</v>
      </c>
      <c r="L16" s="250">
        <v>0</v>
      </c>
      <c r="M16" s="251">
        <v>1</v>
      </c>
      <c r="N16" s="251" t="s">
        <v>68</v>
      </c>
      <c r="O16" s="252">
        <f>'Tabula data'!B15</f>
        <v>11.5</v>
      </c>
      <c r="P16" s="253"/>
      <c r="Q16" s="30">
        <f t="shared" si="6"/>
        <v>3.5</v>
      </c>
      <c r="R16" s="30">
        <f t="shared" si="7"/>
        <v>40.25</v>
      </c>
      <c r="S16" s="30">
        <f t="shared" ref="S16:S28" si="16">VLOOKUP(N16,$X$5:$AE$391,8,0)*O16</f>
        <v>419980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3"/>
      <c r="X16" s="220"/>
      <c r="Y16" s="221" t="s">
        <v>46</v>
      </c>
      <c r="Z16" s="221">
        <v>0.03</v>
      </c>
      <c r="AA16" s="221"/>
      <c r="AB16" s="221"/>
      <c r="AC16" s="221"/>
      <c r="AD16" s="268">
        <v>0.18</v>
      </c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AP6*0.2+0.8</f>
        <v>0.8078618754085708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D16" s="81"/>
      <c r="BE16" s="81"/>
      <c r="BF16" s="81"/>
      <c r="BG16" s="81"/>
      <c r="BH16" s="81"/>
      <c r="BI16" s="81"/>
      <c r="BJ16" s="81"/>
      <c r="BK16" s="81"/>
      <c r="BQ16" s="154" t="s">
        <v>389</v>
      </c>
      <c r="BR16" s="81" t="s">
        <v>390</v>
      </c>
      <c r="BS16" s="81" t="s">
        <v>402</v>
      </c>
      <c r="BT16" s="204">
        <f t="shared" si="15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>
        <v>221.71</v>
      </c>
      <c r="CL16" t="s">
        <v>505</v>
      </c>
      <c r="CM16" s="81"/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F16" s="81"/>
      <c r="DG16" s="81"/>
      <c r="DH16" s="81"/>
      <c r="DI16" s="81"/>
      <c r="DJ16" s="204"/>
      <c r="DK16" s="81"/>
      <c r="DL16" s="81" t="s">
        <v>403</v>
      </c>
      <c r="DM16" s="286">
        <f t="shared" si="0"/>
        <v>3.4336951123650754E-2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2.44</v>
      </c>
      <c r="DT16" s="291">
        <v>5.8700000000000002E-2</v>
      </c>
      <c r="DU16" s="290">
        <v>41.51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1"/>
        <v>0.70899999999999996</v>
      </c>
      <c r="EC16" s="212" t="s">
        <v>392</v>
      </c>
      <c r="EE16" s="160" t="s">
        <v>568</v>
      </c>
      <c r="EF16" s="309" t="s">
        <v>580</v>
      </c>
      <c r="EG16" s="306" t="s">
        <v>434</v>
      </c>
      <c r="EH16" s="160">
        <f>$O$13*$Z$37*$AP$6</f>
        <v>0.18507640899316413</v>
      </c>
      <c r="EI16" s="160" t="s">
        <v>392</v>
      </c>
    </row>
    <row r="17" spans="1:139" ht="15" customHeight="1" thickTop="1" thickBot="1" x14ac:dyDescent="0.35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2.1598297213622293</v>
      </c>
      <c r="G17" s="231"/>
      <c r="H17" s="222"/>
      <c r="I17" s="221"/>
      <c r="K17" t="s">
        <v>71</v>
      </c>
      <c r="L17" s="250">
        <v>0</v>
      </c>
      <c r="M17" s="251">
        <v>2</v>
      </c>
      <c r="N17" s="251" t="s">
        <v>25</v>
      </c>
      <c r="O17" s="252">
        <f>'Tabula data'!B10*'Gebouwgegevens Tabula 2zone'!C42/2*(1-'Gebouwgegevens Tabula 2zone'!C43)</f>
        <v>0.55275000000000052</v>
      </c>
      <c r="P17" s="253" t="s">
        <v>26</v>
      </c>
      <c r="Q17" s="30">
        <f t="shared" si="6"/>
        <v>0.59788861556532236</v>
      </c>
      <c r="R17" s="30">
        <f t="shared" si="7"/>
        <v>0.33048293225373226</v>
      </c>
      <c r="S17" s="30">
        <f t="shared" si="16"/>
        <v>139800.25867500014</v>
      </c>
      <c r="T17" s="30">
        <f t="shared" si="17"/>
        <v>252917.7</v>
      </c>
      <c r="U17" s="30">
        <f t="shared" si="18"/>
        <v>74057.445000000065</v>
      </c>
      <c r="V17" s="31"/>
      <c r="W17" s="3"/>
      <c r="X17" s="220"/>
      <c r="Y17" s="221" t="s">
        <v>269</v>
      </c>
      <c r="Z17" s="221">
        <v>3.5000000000000003E-2</v>
      </c>
      <c r="AA17" s="221">
        <v>3.5999999999999997E-2</v>
      </c>
      <c r="AB17" s="221">
        <v>26</v>
      </c>
      <c r="AC17" s="221">
        <v>1470</v>
      </c>
      <c r="AD17" s="268">
        <f>Z17/AA17</f>
        <v>0.97222222222222243</v>
      </c>
      <c r="AE17" s="222">
        <f>Z17*AB17*AC17</f>
        <v>1337.7000000000003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AP7*0.2</f>
        <v>3.4336951123650754E-2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D17" s="81"/>
      <c r="BE17" s="81"/>
      <c r="BF17" s="81" t="s">
        <v>295</v>
      </c>
      <c r="BG17" s="204">
        <f>SUM(BG12+BG5+BG10)</f>
        <v>112927627.10999998</v>
      </c>
      <c r="BH17" s="81"/>
      <c r="BI17" s="81"/>
      <c r="BJ17" s="81" t="s">
        <v>297</v>
      </c>
      <c r="BK17" s="81">
        <f>BG11</f>
        <v>174.01385681293297</v>
      </c>
      <c r="BQ17" s="154" t="s">
        <v>389</v>
      </c>
      <c r="BR17" s="81" t="s">
        <v>390</v>
      </c>
      <c r="BS17" s="81" t="s">
        <v>403</v>
      </c>
      <c r="BT17" s="204">
        <f t="shared" si="15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>
        <v>44.3</v>
      </c>
      <c r="CL17" t="s">
        <v>505</v>
      </c>
      <c r="CM17" s="81"/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3"/>
        <v>abs5D</v>
      </c>
      <c r="DI17" s="81" t="s">
        <v>434</v>
      </c>
      <c r="DJ17" s="204">
        <f t="shared" si="14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3.5</v>
      </c>
      <c r="DT17" s="291">
        <v>0.154</v>
      </c>
      <c r="DU17" s="290">
        <v>22.7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1"/>
        <v>1.19</v>
      </c>
      <c r="EC17" s="212" t="s">
        <v>392</v>
      </c>
      <c r="EE17" s="160" t="s">
        <v>568</v>
      </c>
      <c r="EF17" s="309" t="s">
        <v>581</v>
      </c>
      <c r="EG17" s="306" t="s">
        <v>434</v>
      </c>
      <c r="EH17" s="160">
        <f>$O$11*$Z$37*$AP$7</f>
        <v>0.78705442518076074</v>
      </c>
      <c r="EI17" s="160" t="s">
        <v>392</v>
      </c>
    </row>
    <row r="18" spans="1:139" ht="15" customHeight="1" thickTop="1" thickBot="1" x14ac:dyDescent="0.35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2.1598297213622293</v>
      </c>
      <c r="G18" s="231"/>
      <c r="H18" s="222"/>
      <c r="I18" s="221"/>
      <c r="K18" t="s">
        <v>75</v>
      </c>
      <c r="L18" s="250">
        <v>0</v>
      </c>
      <c r="M18" s="251">
        <v>2</v>
      </c>
      <c r="N18" s="251" t="s">
        <v>25</v>
      </c>
      <c r="O18" s="252">
        <f>'Tabula data'!B10*(1-'Gebouwgegevens Tabula 2zone'!C42)/2*(1-'Gebouwgegevens Tabula 2zone'!C44)</f>
        <v>13.567500000000001</v>
      </c>
      <c r="P18" s="253" t="s">
        <v>39</v>
      </c>
      <c r="Q18" s="30">
        <f t="shared" si="6"/>
        <v>0.59788861556532236</v>
      </c>
      <c r="R18" s="30">
        <f t="shared" si="7"/>
        <v>8.1118537916825115</v>
      </c>
      <c r="S18" s="30">
        <f t="shared" si="16"/>
        <v>3431460.8947500004</v>
      </c>
      <c r="T18" s="30">
        <f t="shared" si="17"/>
        <v>252917.7</v>
      </c>
      <c r="U18" s="30">
        <f t="shared" si="18"/>
        <v>1817773.6500000001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D18" s="81"/>
      <c r="BE18" s="81"/>
      <c r="BF18" s="81" t="s">
        <v>449</v>
      </c>
      <c r="BG18" s="204">
        <f>BG17+BG7</f>
        <v>114936002.51928791</v>
      </c>
      <c r="BH18" s="81"/>
      <c r="BI18" s="81"/>
      <c r="BJ18" s="81" t="s">
        <v>298</v>
      </c>
      <c r="BK18" s="81">
        <f>BG12</f>
        <v>55678583.999999985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>
        <v>48.77</v>
      </c>
      <c r="CL18" t="s">
        <v>505</v>
      </c>
      <c r="CM18" s="81"/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T18" s="81"/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3"/>
        <v>abs5N</v>
      </c>
      <c r="DI18" s="81" t="s">
        <v>434</v>
      </c>
      <c r="DJ18" s="204">
        <f t="shared" si="14"/>
        <v>0.34</v>
      </c>
      <c r="DK18" s="81" t="s">
        <v>392</v>
      </c>
      <c r="DL18" s="81" t="s">
        <v>404</v>
      </c>
      <c r="DM18" s="289">
        <f t="shared" si="0"/>
        <v>502.91175202156336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2.66</v>
      </c>
      <c r="DT18" s="291">
        <v>2.87E-2</v>
      </c>
      <c r="DU18" s="290">
        <v>92.69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1"/>
        <v>1.1299999999999999</v>
      </c>
      <c r="EC18" s="212" t="s">
        <v>392</v>
      </c>
      <c r="EE18" s="160" t="s">
        <v>568</v>
      </c>
      <c r="EF18" s="309" t="s">
        <v>582</v>
      </c>
      <c r="EG18" s="306" t="s">
        <v>434</v>
      </c>
      <c r="EH18" s="160">
        <f>$O$10*$Z$37*$AP$7</f>
        <v>0.70196746029635415</v>
      </c>
      <c r="EI18" s="160" t="s">
        <v>392</v>
      </c>
    </row>
    <row r="19" spans="1:139" ht="15" customHeight="1" thickTop="1" thickBot="1" x14ac:dyDescent="0.35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I19" s="231"/>
      <c r="K19" t="s">
        <v>79</v>
      </c>
      <c r="L19" s="250">
        <v>0</v>
      </c>
      <c r="M19" s="251">
        <v>2</v>
      </c>
      <c r="N19" s="251" t="s">
        <v>25</v>
      </c>
      <c r="O19" s="252">
        <f>'Tabula data'!B10*'Gebouwgegevens Tabula 2zone'!C42/2*(1-'Gebouwgegevens Tabula 2zone'!C43)</f>
        <v>0.55275000000000052</v>
      </c>
      <c r="P19" s="253" t="s">
        <v>45</v>
      </c>
      <c r="Q19" s="30">
        <f t="shared" si="6"/>
        <v>0.59788861556532236</v>
      </c>
      <c r="R19" s="30">
        <f t="shared" si="7"/>
        <v>0.33048293225373226</v>
      </c>
      <c r="S19" s="30">
        <f t="shared" si="16"/>
        <v>139800.25867500014</v>
      </c>
      <c r="T19" s="30">
        <f t="shared" si="17"/>
        <v>252917.7</v>
      </c>
      <c r="U19" s="30">
        <f t="shared" si="18"/>
        <v>74057.445000000065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SUM(O6:O9)*(1/(SUM(AD18:AD19)+1/8))</f>
        <v>502.91175202156336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D19" s="81"/>
      <c r="BE19" s="81"/>
      <c r="BF19" s="81" t="s">
        <v>450</v>
      </c>
      <c r="BG19" s="3">
        <f>BG4+BG6</f>
        <v>315.92694880707313</v>
      </c>
      <c r="BH19" s="81"/>
      <c r="BI19" s="81"/>
      <c r="BJ19" s="81"/>
      <c r="BK19" s="81"/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437.39511721366375</v>
      </c>
      <c r="BU19" s="81" t="s">
        <v>392</v>
      </c>
      <c r="BV19" s="204">
        <v>654</v>
      </c>
      <c r="BX19" t="s">
        <v>459</v>
      </c>
      <c r="BY19">
        <f>AVERAGE(SUM(O6:O9),2*O27)*(1/(1/8+SUM(AD18:AD19)/2+SUM(AD23:AD25)/4))</f>
        <v>820.73428152492681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>
        <v>71.56</v>
      </c>
      <c r="CL19" t="s">
        <v>505</v>
      </c>
      <c r="CM19" s="81"/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3"/>
        <v>CfiD</v>
      </c>
      <c r="DI19" s="81" t="s">
        <v>434</v>
      </c>
      <c r="DJ19" s="204">
        <f t="shared" si="14"/>
        <v>31500000</v>
      </c>
      <c r="DK19" s="81" t="s">
        <v>392</v>
      </c>
      <c r="DL19" s="81" t="s">
        <v>405</v>
      </c>
      <c r="DM19" s="289">
        <f t="shared" si="0"/>
        <v>441.63636363636368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2.5099999999999998</v>
      </c>
      <c r="DT19" s="291">
        <v>3.1899999999999998E-2</v>
      </c>
      <c r="DU19" s="290">
        <v>78.64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1"/>
        <v>1.22</v>
      </c>
      <c r="EC19" s="212" t="s">
        <v>392</v>
      </c>
      <c r="EE19" s="160" t="s">
        <v>568</v>
      </c>
      <c r="EF19" s="307" t="s">
        <v>583</v>
      </c>
      <c r="EG19" s="306" t="s">
        <v>434</v>
      </c>
      <c r="EH19" s="160">
        <f>$O$12*$Z$37*$AP$7</f>
        <v>0.92177545291440444</v>
      </c>
      <c r="EI19" s="160" t="s">
        <v>392</v>
      </c>
    </row>
    <row r="20" spans="1:139" ht="15" customHeight="1" thickTop="1" thickBot="1" x14ac:dyDescent="0.35">
      <c r="A20" s="220"/>
      <c r="B20" s="221"/>
      <c r="C20" s="221"/>
      <c r="D20" s="226" t="s">
        <v>83</v>
      </c>
      <c r="E20" s="231"/>
      <c r="F20" s="239">
        <f>G4/B23</f>
        <v>0.17569659442724458</v>
      </c>
      <c r="G20" s="231"/>
      <c r="H20" s="222"/>
      <c r="I20" s="221"/>
      <c r="K20" t="s">
        <v>82</v>
      </c>
      <c r="L20" s="250">
        <v>0</v>
      </c>
      <c r="M20" s="251">
        <v>2</v>
      </c>
      <c r="N20" s="251" t="s">
        <v>25</v>
      </c>
      <c r="O20" s="252">
        <f>'Tabula data'!B10*(1-'Gebouwgegevens Tabula 2zone'!C42)/2*(1-'Gebouwgegevens Tabula 2zone'!C44)</f>
        <v>13.567500000000001</v>
      </c>
      <c r="P20" s="253" t="s">
        <v>50</v>
      </c>
      <c r="Q20" s="30">
        <f t="shared" si="6"/>
        <v>0.59788861556532236</v>
      </c>
      <c r="R20" s="30">
        <f t="shared" si="7"/>
        <v>8.1118537916825115</v>
      </c>
      <c r="S20" s="30">
        <f t="shared" si="16"/>
        <v>3431460.8947500004</v>
      </c>
      <c r="T20" s="30">
        <f t="shared" si="17"/>
        <v>252917.7</v>
      </c>
      <c r="U20" s="30">
        <f t="shared" si="18"/>
        <v>1817773.6500000001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SUM(O14)*1/(SUM(AD42:AD43)+1/6)</f>
        <v>441.63636363636368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D20" s="81"/>
      <c r="BE20" s="81"/>
      <c r="BF20" s="81"/>
      <c r="BG20" s="81"/>
      <c r="BH20" s="81"/>
      <c r="BI20" s="81"/>
      <c r="BJ20" s="81" t="s">
        <v>451</v>
      </c>
      <c r="BK20" s="204">
        <f>BG7</f>
        <v>2008375.4092879263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386.06622516556297</v>
      </c>
      <c r="BU20" s="81" t="s">
        <v>392</v>
      </c>
      <c r="BV20" s="204">
        <v>701</v>
      </c>
      <c r="BX20" t="s">
        <v>460</v>
      </c>
      <c r="BY20" s="81">
        <f>AVERAGE(SUM(O6:O9),O26)*(1/(1/8+SUM(AD31:AD32)/2+SUM(AD18:AD19)/2))</f>
        <v>453.4751374640951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>
        <v>32.450000000000003</v>
      </c>
      <c r="CL20" t="s">
        <v>505</v>
      </c>
      <c r="CM20" s="81"/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S20" s="81"/>
      <c r="CT20" s="81"/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3"/>
        <v>CfiN</v>
      </c>
      <c r="DI20" s="81" t="s">
        <v>434</v>
      </c>
      <c r="DJ20" s="204">
        <f t="shared" si="14"/>
        <v>67000000</v>
      </c>
      <c r="DK20" s="81" t="s">
        <v>392</v>
      </c>
      <c r="DL20" s="81" t="s">
        <v>406</v>
      </c>
      <c r="DM20" s="289">
        <f t="shared" si="0"/>
        <v>599.93652733118972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0.59699999999999998</v>
      </c>
      <c r="DT20" s="291">
        <v>0.17799999999999999</v>
      </c>
      <c r="DU20" s="290">
        <v>3.36</v>
      </c>
      <c r="DV20" s="291">
        <v>7.7999999999999999E-4</v>
      </c>
      <c r="DW20" s="290" t="s">
        <v>510</v>
      </c>
      <c r="DX20" s="81"/>
      <c r="DY20" s="212" t="s">
        <v>568</v>
      </c>
      <c r="DZ20" s="295" t="s">
        <v>584</v>
      </c>
      <c r="EA20" s="292" t="s">
        <v>434</v>
      </c>
      <c r="EB20" s="293">
        <f t="shared" si="11"/>
        <v>1.0900000000000001</v>
      </c>
      <c r="EC20" s="212" t="s">
        <v>392</v>
      </c>
      <c r="EE20" s="160" t="s">
        <v>568</v>
      </c>
      <c r="EF20" s="308" t="s">
        <v>584</v>
      </c>
      <c r="EG20" s="306" t="s">
        <v>434</v>
      </c>
      <c r="EH20" s="160">
        <f>$O$13*$Z$37*$AP$7</f>
        <v>0.80832616640186239</v>
      </c>
      <c r="EI20" s="160" t="s">
        <v>392</v>
      </c>
    </row>
    <row r="21" spans="1:139" ht="15" customHeight="1" thickTop="1" thickBot="1" x14ac:dyDescent="0.35">
      <c r="A21" s="220"/>
      <c r="B21" s="221"/>
      <c r="C21" s="221"/>
      <c r="D21" s="226" t="s">
        <v>86</v>
      </c>
      <c r="E21" s="231"/>
      <c r="F21" s="239">
        <f>G4/B6</f>
        <v>0.17569659442724458</v>
      </c>
      <c r="G21" s="231"/>
      <c r="H21" s="222"/>
      <c r="I21" s="221"/>
      <c r="K21" t="s">
        <v>84</v>
      </c>
      <c r="L21" s="250">
        <v>0</v>
      </c>
      <c r="M21" s="251">
        <v>2</v>
      </c>
      <c r="N21" s="251" t="s">
        <v>54</v>
      </c>
      <c r="O21" s="252">
        <f>H10</f>
        <v>2.9700000000000006</v>
      </c>
      <c r="P21" s="253" t="s">
        <v>26</v>
      </c>
      <c r="Q21" s="30">
        <f t="shared" si="6"/>
        <v>3.5</v>
      </c>
      <c r="R21" s="30">
        <f t="shared" si="7"/>
        <v>10.395000000000003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3"/>
      <c r="X21" s="260" t="s">
        <v>85</v>
      </c>
      <c r="Y21" s="261"/>
      <c r="Z21" s="262" t="s">
        <v>21</v>
      </c>
      <c r="AA21" s="263">
        <f>(1/(1/8+SUM(AD23:AD25)+1/8))</f>
        <v>1.7363344051446945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</f>
        <v>599.93652733118972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D21" s="81"/>
      <c r="BE21" s="81"/>
      <c r="BF21" s="81"/>
      <c r="BG21" s="81"/>
      <c r="BH21" s="81"/>
      <c r="BI21" s="81"/>
      <c r="BJ21" s="81" t="s">
        <v>452</v>
      </c>
      <c r="BK21" s="204">
        <f>BG27</f>
        <v>1730559.7907120739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770.08362028301883</v>
      </c>
      <c r="BU21" s="81" t="s">
        <v>392</v>
      </c>
      <c r="BV21" s="204">
        <v>1380</v>
      </c>
      <c r="BX21" t="s">
        <v>461</v>
      </c>
      <c r="BY21">
        <f>AVERAGE(SUM(O6:O9),O14)*(1/(1/8+SUM(AD42:AD43)/2+SUM(AD18:AD19)/2))</f>
        <v>505.66548303993136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>
        <v>88.56</v>
      </c>
      <c r="CL21" t="s">
        <v>505</v>
      </c>
      <c r="CM21" s="81"/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S21" s="81"/>
      <c r="CT21" s="81"/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3"/>
        <v>CiD</v>
      </c>
      <c r="DI21" s="81" t="s">
        <v>434</v>
      </c>
      <c r="DJ21" s="204">
        <f t="shared" si="14"/>
        <v>2700000</v>
      </c>
      <c r="DK21" s="81" t="s">
        <v>392</v>
      </c>
      <c r="DL21" s="81" t="s">
        <v>407</v>
      </c>
      <c r="DM21" s="289">
        <f t="shared" si="0"/>
        <v>212.6360105263158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0.91400000000000003</v>
      </c>
      <c r="DT21" s="291">
        <v>0.30599999999999999</v>
      </c>
      <c r="DU21" s="290">
        <v>2.99</v>
      </c>
      <c r="DV21" s="290">
        <v>2.7899999999999999E-3</v>
      </c>
      <c r="DW21" s="290" t="s">
        <v>516</v>
      </c>
      <c r="DX21" s="81"/>
      <c r="DY21" s="212" t="s">
        <v>568</v>
      </c>
      <c r="DZ21" s="295" t="s">
        <v>585</v>
      </c>
      <c r="EA21" s="292" t="s">
        <v>434</v>
      </c>
      <c r="EB21" s="293">
        <f t="shared" si="11"/>
        <v>0.625</v>
      </c>
      <c r="EC21" s="212" t="s">
        <v>392</v>
      </c>
      <c r="EE21" s="160" t="s">
        <v>568</v>
      </c>
      <c r="EF21" s="308" t="s">
        <v>585</v>
      </c>
      <c r="EG21" s="306" t="s">
        <v>434</v>
      </c>
      <c r="EH21" s="160">
        <f>$O$11*$Z$37*$AP$42</f>
        <v>0.67818234331137572</v>
      </c>
      <c r="EI21" s="160" t="s">
        <v>392</v>
      </c>
    </row>
    <row r="22" spans="1:139" ht="15" customHeight="1" thickTop="1" thickBot="1" x14ac:dyDescent="0.35">
      <c r="A22" s="237"/>
      <c r="B22" s="219"/>
      <c r="C22" s="219"/>
      <c r="D22" s="220" t="s">
        <v>88</v>
      </c>
      <c r="E22" s="221"/>
      <c r="F22" s="227">
        <f>G4/B26</f>
        <v>8.1347428776204975E-2</v>
      </c>
      <c r="G22" s="221"/>
      <c r="H22" s="222"/>
      <c r="I22" s="221"/>
      <c r="K22" t="s">
        <v>87</v>
      </c>
      <c r="L22" s="250">
        <v>0</v>
      </c>
      <c r="M22" s="251">
        <v>2</v>
      </c>
      <c r="N22" s="251" t="s">
        <v>54</v>
      </c>
      <c r="O22" s="252">
        <f>H11</f>
        <v>3.3300000000000005</v>
      </c>
      <c r="P22" s="253" t="s">
        <v>39</v>
      </c>
      <c r="Q22" s="30">
        <f t="shared" si="6"/>
        <v>3.5</v>
      </c>
      <c r="R22" s="30">
        <f t="shared" si="7"/>
        <v>11.655000000000001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2zone'!B60+SUM(R10:R13)+R16</f>
        <v>212.6360105263158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D22" s="81"/>
      <c r="BE22" s="81"/>
      <c r="BF22" s="81"/>
      <c r="BG22" s="81"/>
      <c r="BH22" s="81"/>
      <c r="BI22" s="81"/>
      <c r="BJ22" s="81"/>
      <c r="BK22" s="81"/>
      <c r="BQ22" s="154" t="s">
        <v>389</v>
      </c>
      <c r="BR22" s="81" t="s">
        <v>390</v>
      </c>
      <c r="BS22" s="81" t="s">
        <v>407</v>
      </c>
      <c r="BT22" s="204">
        <f t="shared" ref="BT22" si="19">AR22</f>
        <v>259</v>
      </c>
      <c r="BU22" s="81" t="s">
        <v>392</v>
      </c>
      <c r="BV22" s="204">
        <v>259</v>
      </c>
      <c r="BX22" t="s">
        <v>462</v>
      </c>
      <c r="BY22" s="81">
        <f>AVERAGE(SUM(O27),O26)*(1/(1/8+SUM(AD31:AD32)/2+SUM(AD23:AD25)/4))</f>
        <v>496.23660080826215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>
        <v>-73.040000000000006</v>
      </c>
      <c r="CL22" t="s">
        <v>505</v>
      </c>
      <c r="CM22" s="81"/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S22" s="81"/>
      <c r="CT22" s="81"/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3"/>
        <v>CiN</v>
      </c>
      <c r="DI22" s="81" t="s">
        <v>434</v>
      </c>
      <c r="DJ22" s="204">
        <f t="shared" si="14"/>
        <v>1700000</v>
      </c>
      <c r="DK22" s="81" t="s">
        <v>392</v>
      </c>
      <c r="DL22" s="81" t="s">
        <v>408</v>
      </c>
      <c r="DM22" s="289">
        <f t="shared" si="0"/>
        <v>129.98879175602485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0.79</v>
      </c>
      <c r="DT22" s="291">
        <v>5.3800000000000001E-2</v>
      </c>
      <c r="DU22" s="290">
        <v>14.69</v>
      </c>
      <c r="DV22" s="290" t="s">
        <v>509</v>
      </c>
      <c r="DW22" s="291">
        <v>2E-16</v>
      </c>
      <c r="DX22" s="81" t="s">
        <v>510</v>
      </c>
      <c r="DY22" s="212" t="s">
        <v>568</v>
      </c>
      <c r="DZ22" s="295" t="s">
        <v>586</v>
      </c>
      <c r="EA22" s="292" t="s">
        <v>434</v>
      </c>
      <c r="EB22" s="293">
        <f t="shared" si="11"/>
        <v>8.7499999999999996E-8</v>
      </c>
      <c r="EC22" s="212" t="s">
        <v>392</v>
      </c>
      <c r="EE22" s="160" t="s">
        <v>568</v>
      </c>
      <c r="EF22" s="308" t="s">
        <v>586</v>
      </c>
      <c r="EG22" s="306" t="s">
        <v>434</v>
      </c>
      <c r="EH22" s="160">
        <f>$O$10*$Z$37*$AP$42</f>
        <v>0.60486533322365932</v>
      </c>
      <c r="EI22" s="160" t="s">
        <v>392</v>
      </c>
    </row>
    <row r="23" spans="1:139" ht="15" customHeight="1" thickTop="1" thickBot="1" x14ac:dyDescent="0.35">
      <c r="A23" s="223" t="s">
        <v>91</v>
      </c>
      <c r="B23" s="224">
        <f>B17+B6</f>
        <v>258.39999999999998</v>
      </c>
      <c r="C23" s="234" t="s">
        <v>9</v>
      </c>
      <c r="D23" s="220"/>
      <c r="E23" s="221"/>
      <c r="F23" s="221"/>
      <c r="G23" s="221"/>
      <c r="H23" s="222"/>
      <c r="I23" s="221"/>
      <c r="K23" t="s">
        <v>89</v>
      </c>
      <c r="L23" s="250">
        <v>0</v>
      </c>
      <c r="M23" s="251">
        <v>2</v>
      </c>
      <c r="N23" s="251" t="s">
        <v>54</v>
      </c>
      <c r="O23" s="252">
        <f>H12</f>
        <v>3.9000000000000004</v>
      </c>
      <c r="P23" s="253" t="s">
        <v>45</v>
      </c>
      <c r="Q23" s="30">
        <f t="shared" si="6"/>
        <v>3.5</v>
      </c>
      <c r="R23" s="30">
        <f t="shared" si="7"/>
        <v>13.650000000000002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129.98879175602485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D23" s="81"/>
      <c r="BE23" s="208"/>
      <c r="BF23" s="208" t="s">
        <v>453</v>
      </c>
      <c r="BG23" s="81"/>
      <c r="BH23" s="81"/>
      <c r="BI23" s="81"/>
      <c r="BJ23" s="81" t="s">
        <v>295</v>
      </c>
      <c r="BK23" s="204">
        <f>BK9+BK10+BK11+BK12+BK18</f>
        <v>138724707.93000001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t="s">
        <v>463</v>
      </c>
      <c r="BY23" s="81">
        <f>AVERAGE(SUM(O27),O14)*(1/(1/8+SUM(AD42:AD43)/2+SUM(AD23:AD25)/4))</f>
        <v>555.7786267107125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>
        <v>-0.02</v>
      </c>
      <c r="CL23">
        <v>0.99</v>
      </c>
      <c r="CM23" s="81"/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CW23" s="81"/>
      <c r="CX23" s="81"/>
      <c r="CY23" s="81"/>
      <c r="CZ23" s="81"/>
      <c r="DA23" s="81"/>
      <c r="DB23" s="81"/>
      <c r="DF23" s="81" t="s">
        <v>389</v>
      </c>
      <c r="DG23" s="81" t="s">
        <v>390</v>
      </c>
      <c r="DH23" s="81" t="str">
        <f t="shared" si="13"/>
        <v>CwD</v>
      </c>
      <c r="DI23" s="81" t="s">
        <v>434</v>
      </c>
      <c r="DJ23" s="204">
        <f t="shared" si="14"/>
        <v>16300000</v>
      </c>
      <c r="DK23" s="81" t="s">
        <v>392</v>
      </c>
      <c r="DL23" s="81" t="s">
        <v>409</v>
      </c>
      <c r="DM23" s="289">
        <f t="shared" si="0"/>
        <v>61.580281690140851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0.70899999999999996</v>
      </c>
      <c r="DT23" s="291">
        <v>7.5300000000000006E-2</v>
      </c>
      <c r="DU23" s="290">
        <v>9.41</v>
      </c>
      <c r="DV23" s="290" t="s">
        <v>509</v>
      </c>
      <c r="DW23" s="291">
        <v>2E-16</v>
      </c>
      <c r="DX23" s="81" t="s">
        <v>510</v>
      </c>
      <c r="DY23" s="212" t="s">
        <v>568</v>
      </c>
      <c r="DZ23" s="294" t="s">
        <v>587</v>
      </c>
      <c r="EA23" s="292" t="s">
        <v>434</v>
      </c>
      <c r="EB23" s="293">
        <f t="shared" si="11"/>
        <v>0.64500000000000002</v>
      </c>
      <c r="EC23" s="212" t="s">
        <v>392</v>
      </c>
      <c r="EE23" s="160" t="s">
        <v>568</v>
      </c>
      <c r="EF23" s="307" t="s">
        <v>587</v>
      </c>
      <c r="EG23" s="306" t="s">
        <v>434</v>
      </c>
      <c r="EH23" s="160">
        <f>$O$12*$Z$37*$AP$42</f>
        <v>0.79426760928359319</v>
      </c>
      <c r="EI23" s="160" t="s">
        <v>392</v>
      </c>
    </row>
    <row r="24" spans="1:139" ht="15" customHeight="1" thickTop="1" thickBot="1" x14ac:dyDescent="0.35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0.4628482972136222</v>
      </c>
      <c r="G24" s="221"/>
      <c r="H24" s="222"/>
      <c r="I24" s="221"/>
      <c r="K24" t="s">
        <v>92</v>
      </c>
      <c r="L24" s="250">
        <v>0</v>
      </c>
      <c r="M24" s="251">
        <v>2</v>
      </c>
      <c r="N24" s="251" t="s">
        <v>54</v>
      </c>
      <c r="O24" s="252">
        <f>H13</f>
        <v>3.4200000000000008</v>
      </c>
      <c r="P24" s="253" t="s">
        <v>50</v>
      </c>
      <c r="Q24" s="30">
        <f t="shared" si="6"/>
        <v>3.5</v>
      </c>
      <c r="R24" s="30">
        <f t="shared" si="7"/>
        <v>11.970000000000002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SUM(O14)*1/(SUM(AD44:AD46)+2/2)</f>
        <v>61.580281690140851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D24" s="81"/>
      <c r="BE24" s="81"/>
      <c r="BF24" s="81" t="s">
        <v>281</v>
      </c>
      <c r="BG24" s="81">
        <f>1/(1/AP37+1/AP40)</f>
        <v>152.32965756520363</v>
      </c>
      <c r="BH24" s="81"/>
      <c r="BI24" s="81"/>
      <c r="BJ24" s="81" t="s">
        <v>122</v>
      </c>
      <c r="BK24" s="204">
        <f>BK20+BK21</f>
        <v>3738935.2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t="s">
        <v>464</v>
      </c>
      <c r="BY24">
        <f>AVERAGE(SUM(O26),O14)*(1/(1/8+SUM(AD42:AD43)/2+SUM(AD31:AD32)/4))</f>
        <v>531.99999999999989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>
        <v>-0.08</v>
      </c>
      <c r="CL24">
        <v>0.93</v>
      </c>
      <c r="CM24" s="81"/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3"/>
        <v>CwiD</v>
      </c>
      <c r="DI24" s="81" t="s">
        <v>434</v>
      </c>
      <c r="DJ24" s="204">
        <f t="shared" si="14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1.19</v>
      </c>
      <c r="DT24" s="291">
        <v>2.23E-2</v>
      </c>
      <c r="DU24" s="290">
        <v>53.27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1"/>
        <v>0.51900000000000002</v>
      </c>
      <c r="EC24" s="212" t="s">
        <v>392</v>
      </c>
      <c r="EE24" s="160" t="s">
        <v>568</v>
      </c>
      <c r="EF24" s="306" t="s">
        <v>588</v>
      </c>
      <c r="EG24" s="306" t="s">
        <v>434</v>
      </c>
      <c r="EH24" s="160">
        <f>$O$13*$Z$37*$AP$42</f>
        <v>0.6965115958333048</v>
      </c>
      <c r="EI24" s="160" t="s">
        <v>392</v>
      </c>
    </row>
    <row r="25" spans="1:139" ht="15" customHeight="1" thickTop="1" thickBot="1" x14ac:dyDescent="0.35">
      <c r="A25" s="237"/>
      <c r="B25" s="219"/>
      <c r="C25" s="219"/>
      <c r="D25" s="220"/>
      <c r="E25" s="221"/>
      <c r="F25" s="221"/>
      <c r="G25" s="221"/>
      <c r="H25" s="222"/>
      <c r="I25" s="221"/>
      <c r="K25" t="s">
        <v>96</v>
      </c>
      <c r="L25" s="250">
        <v>0</v>
      </c>
      <c r="M25" s="251">
        <v>2</v>
      </c>
      <c r="N25" s="251" t="s">
        <v>20</v>
      </c>
      <c r="O25" s="252">
        <f>'Tabula data'!B7</f>
        <v>161.6</v>
      </c>
      <c r="P25" s="253" t="s">
        <v>97</v>
      </c>
      <c r="Q25" s="30">
        <f t="shared" si="6"/>
        <v>0.59974793202856758</v>
      </c>
      <c r="R25" s="30">
        <f t="shared" si="7"/>
        <v>96.919265815816516</v>
      </c>
      <c r="S25" s="30">
        <f t="shared" si="16"/>
        <v>9309323.5199999996</v>
      </c>
      <c r="T25" s="30">
        <f t="shared" si="17"/>
        <v>57607.199999999997</v>
      </c>
      <c r="U25" s="30">
        <f t="shared" si="18"/>
        <v>3540203.52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D25" s="81"/>
      <c r="BE25" s="81"/>
      <c r="BF25" s="81" t="s">
        <v>282</v>
      </c>
      <c r="BG25" s="3">
        <f>AP39</f>
        <v>100.36638947368422</v>
      </c>
      <c r="BH25" s="81"/>
      <c r="BI25" s="81"/>
      <c r="BJ25" s="81" t="s">
        <v>454</v>
      </c>
      <c r="BK25" s="204">
        <f>BK23+BK24</f>
        <v>142463643.13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>
        <v>-7.0000000000000007E-2</v>
      </c>
      <c r="CL25">
        <v>0.94</v>
      </c>
      <c r="CM25" s="81"/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3"/>
        <v>CwiN</v>
      </c>
      <c r="DI25" s="81" t="s">
        <v>434</v>
      </c>
      <c r="DJ25" s="204">
        <f t="shared" si="14"/>
        <v>5730000</v>
      </c>
      <c r="DK25" s="81" t="s">
        <v>392</v>
      </c>
      <c r="DL25" s="81" t="s">
        <v>410</v>
      </c>
      <c r="DM25" s="286">
        <f t="shared" si="0"/>
        <v>0.50018377436986472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1.1299999999999999</v>
      </c>
      <c r="DT25" s="291">
        <v>5.9700000000000003E-2</v>
      </c>
      <c r="DU25" s="290">
        <v>18.98</v>
      </c>
      <c r="DV25" s="290" t="s">
        <v>509</v>
      </c>
      <c r="DW25" s="291">
        <v>2E-16</v>
      </c>
      <c r="DX25" s="81" t="s">
        <v>510</v>
      </c>
      <c r="EA25" s="292"/>
      <c r="EE25" s="160"/>
      <c r="EF25" s="160"/>
      <c r="EG25" s="306"/>
      <c r="EH25" s="160"/>
      <c r="EI25" s="160"/>
    </row>
    <row r="26" spans="1:139" ht="15" customHeight="1" thickTop="1" thickBot="1" x14ac:dyDescent="0.35">
      <c r="A26" s="223" t="s">
        <v>100</v>
      </c>
      <c r="B26" s="241">
        <f>'Tabula data'!B6</f>
        <v>558.1</v>
      </c>
      <c r="C26" s="235" t="s">
        <v>9</v>
      </c>
      <c r="D26" s="220"/>
      <c r="E26" s="221"/>
      <c r="F26" s="221"/>
      <c r="G26" s="221"/>
      <c r="H26" s="222"/>
      <c r="I26" s="221"/>
      <c r="K26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119.59999999999997</v>
      </c>
      <c r="P26" s="253"/>
      <c r="Q26" s="30">
        <f t="shared" si="6"/>
        <v>1.4549653579676673</v>
      </c>
      <c r="R26" s="30">
        <f t="shared" si="7"/>
        <v>174.01385681293297</v>
      </c>
      <c r="S26" s="30">
        <f t="shared" si="16"/>
        <v>55678583.999999985</v>
      </c>
      <c r="T26" s="30">
        <f t="shared" si="17"/>
        <v>465540</v>
      </c>
      <c r="U26" s="30">
        <f t="shared" si="18"/>
        <v>55678583.999999985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SUM(O17:O20,O25)/SUM(O$17:O$25,2*O$28,O$26)</f>
        <v>0.50018377436986472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D26" s="81"/>
      <c r="BE26" s="81"/>
      <c r="BF26" s="81" t="s">
        <v>295</v>
      </c>
      <c r="BG26" s="204">
        <f>AP31+AP32</f>
        <v>12898540.410000004</v>
      </c>
      <c r="BH26" s="81"/>
      <c r="BI26" s="81"/>
      <c r="BJ26" s="81"/>
      <c r="BK26" s="81"/>
      <c r="BQ26" s="154" t="s">
        <v>389</v>
      </c>
      <c r="BR26" s="81" t="s">
        <v>390</v>
      </c>
      <c r="BS26" s="81" t="s">
        <v>410</v>
      </c>
      <c r="BT26" s="204">
        <f t="shared" ref="BT26:BT50" si="20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>
        <v>-7.0000000000000007E-2</v>
      </c>
      <c r="CL26">
        <v>0.94</v>
      </c>
      <c r="CM26" s="81"/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3"/>
        <v>CwN</v>
      </c>
      <c r="DI26" s="81" t="s">
        <v>434</v>
      </c>
      <c r="DJ26" s="204">
        <f t="shared" si="14"/>
        <v>5800000</v>
      </c>
      <c r="DK26" s="81" t="s">
        <v>392</v>
      </c>
      <c r="DL26" s="81" t="s">
        <v>411</v>
      </c>
      <c r="DM26" s="286">
        <f t="shared" si="0"/>
        <v>0.14881376608355085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1.22</v>
      </c>
      <c r="DT26" s="291">
        <v>1.0800000000000001E-2</v>
      </c>
      <c r="DU26" s="290">
        <v>113.11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E26" s="160"/>
      <c r="EF26" s="306"/>
      <c r="EG26" s="306"/>
      <c r="EH26" s="160"/>
      <c r="EI26" s="160"/>
    </row>
    <row r="27" spans="1:139" ht="15" customHeight="1" thickTop="1" thickBot="1" x14ac:dyDescent="0.35">
      <c r="A27" s="220"/>
      <c r="B27" s="240">
        <f>SUM(O6:O25)</f>
        <v>558.30000000000007</v>
      </c>
      <c r="C27" s="222"/>
      <c r="D27" s="220"/>
      <c r="E27" s="221"/>
      <c r="F27" s="221"/>
      <c r="G27" s="221"/>
      <c r="H27" s="222"/>
      <c r="I27" s="221"/>
      <c r="K27" t="s">
        <v>101</v>
      </c>
      <c r="L27" s="250">
        <v>1</v>
      </c>
      <c r="M27" s="251">
        <v>1</v>
      </c>
      <c r="N27" s="251" t="s">
        <v>85</v>
      </c>
      <c r="O27" s="252">
        <f>SUM(O6:O9)</f>
        <v>172.7595</v>
      </c>
      <c r="P27" s="253"/>
      <c r="Q27" s="30">
        <f t="shared" si="6"/>
        <v>1.7363344051446945</v>
      </c>
      <c r="R27" s="30">
        <f t="shared" si="7"/>
        <v>299.96826366559486</v>
      </c>
      <c r="S27" s="30">
        <f t="shared" si="16"/>
        <v>34102725.300000004</v>
      </c>
      <c r="T27" s="30">
        <f t="shared" si="17"/>
        <v>197400.00000000003</v>
      </c>
      <c r="U27" s="30">
        <f t="shared" si="18"/>
        <v>34102725.300000004</v>
      </c>
      <c r="V27" s="31"/>
      <c r="W27" s="3"/>
      <c r="X27" s="260" t="s">
        <v>99</v>
      </c>
      <c r="Y27" s="261"/>
      <c r="Z27" s="262" t="s">
        <v>21</v>
      </c>
      <c r="AA27" s="263">
        <f>1/(1/10+SUM(AD29:AD32)+1/6)</f>
        <v>1.4549653579676673</v>
      </c>
      <c r="AB27" s="261" t="s">
        <v>5</v>
      </c>
      <c r="AC27" s="261"/>
      <c r="AD27" s="261" t="s">
        <v>22</v>
      </c>
      <c r="AE27" s="264">
        <f>SUM(AE29:AE33)</f>
        <v>465540</v>
      </c>
      <c r="AF27" s="14" t="s">
        <v>23</v>
      </c>
      <c r="AG27" s="14">
        <f>SUM(AE29:AE32)</f>
        <v>465540</v>
      </c>
      <c r="AH27" s="14"/>
      <c r="AM27" s="154" t="s">
        <v>389</v>
      </c>
      <c r="AN27" s="81" t="s">
        <v>390</v>
      </c>
      <c r="AO27" s="81" t="s">
        <v>411</v>
      </c>
      <c r="AP27" s="81">
        <f>SUM(2*O28)/SUM(O$17:O$25,2*O$28,O$26)</f>
        <v>0.14881376608355085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D27" s="81"/>
      <c r="BE27" s="81"/>
      <c r="BF27" s="81" t="s">
        <v>122</v>
      </c>
      <c r="BG27" s="204">
        <f>AP30</f>
        <v>1730559.7907120739</v>
      </c>
      <c r="BH27" s="81"/>
      <c r="BI27" s="81"/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0"/>
        <v>0.111</v>
      </c>
      <c r="BU27" s="81" t="s">
        <v>392</v>
      </c>
      <c r="BV27" s="204">
        <v>0.111</v>
      </c>
      <c r="BZ27" s="211">
        <f t="shared" ref="BZ27:BZ28" si="21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>
        <v>89.38</v>
      </c>
      <c r="CL27" t="s">
        <v>505</v>
      </c>
      <c r="CM27" s="81"/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F27" s="81"/>
      <c r="DG27" s="81"/>
      <c r="DH27" s="81"/>
      <c r="DI27" s="81"/>
      <c r="DJ27" s="204"/>
      <c r="DK27" s="81"/>
      <c r="DL27" s="81" t="s">
        <v>412</v>
      </c>
      <c r="DM27" s="286">
        <f t="shared" si="0"/>
        <v>3.5885403835944164E-2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1.0900000000000001</v>
      </c>
      <c r="DT27" s="291">
        <v>1.24E-2</v>
      </c>
      <c r="DU27" s="290">
        <v>87.77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13500000</v>
      </c>
      <c r="EC27" s="212" t="s">
        <v>392</v>
      </c>
      <c r="EE27" s="160" t="s">
        <v>568</v>
      </c>
      <c r="EF27" s="306" t="s">
        <v>399</v>
      </c>
      <c r="EG27" s="306" t="s">
        <v>434</v>
      </c>
      <c r="EH27" s="310">
        <f>$AP12</f>
        <v>15401248.000000002</v>
      </c>
      <c r="EI27" s="160" t="s">
        <v>392</v>
      </c>
    </row>
    <row r="28" spans="1:139" ht="15" customHeight="1" thickTop="1" thickBot="1" x14ac:dyDescent="0.35">
      <c r="A28" s="220"/>
      <c r="B28" s="221"/>
      <c r="C28" s="222"/>
      <c r="D28" s="220"/>
      <c r="E28" s="221"/>
      <c r="F28" s="221"/>
      <c r="G28" s="221"/>
      <c r="H28" s="222"/>
      <c r="I28" s="221"/>
      <c r="K28" t="s">
        <v>102</v>
      </c>
      <c r="L28" s="250">
        <v>2</v>
      </c>
      <c r="M28" s="251">
        <v>2</v>
      </c>
      <c r="N28" s="251" t="s">
        <v>85</v>
      </c>
      <c r="O28" s="252">
        <f>SUM(O17:O20)</f>
        <v>28.240500000000004</v>
      </c>
      <c r="P28" s="253"/>
      <c r="Q28" s="30">
        <f t="shared" si="6"/>
        <v>1.7363344051446945</v>
      </c>
      <c r="R28" s="30">
        <f t="shared" si="7"/>
        <v>49.034951768488753</v>
      </c>
      <c r="S28" s="30">
        <f t="shared" si="16"/>
        <v>5574674.700000002</v>
      </c>
      <c r="T28" s="30">
        <f t="shared" si="17"/>
        <v>197400.00000000003</v>
      </c>
      <c r="U28" s="30">
        <f t="shared" si="18"/>
        <v>5574674.700000002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SUM(O21:O24)/SUM(O$17:O$25,2*O$28,O$26)</f>
        <v>3.5885403835944164E-2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D28" s="81"/>
      <c r="BE28" s="81"/>
      <c r="BF28" s="81" t="s">
        <v>449</v>
      </c>
      <c r="BG28" s="204">
        <f>BG26+BG27</f>
        <v>14629100.200712077</v>
      </c>
      <c r="BH28" s="81"/>
      <c r="BI28" s="81"/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0"/>
        <v>0.251</v>
      </c>
      <c r="BU28" s="81" t="s">
        <v>392</v>
      </c>
      <c r="BV28" s="204">
        <v>0.251</v>
      </c>
      <c r="BZ28" s="211">
        <f t="shared" si="21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>
        <v>148.78</v>
      </c>
      <c r="CL28" t="s">
        <v>505</v>
      </c>
      <c r="CM28" s="81"/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F28" s="81"/>
      <c r="DG28" s="81"/>
      <c r="DH28" s="81"/>
      <c r="DI28" s="81"/>
      <c r="DJ28" s="204"/>
      <c r="DK28" s="81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0.625</v>
      </c>
      <c r="DT28" s="291">
        <v>1.7399999999999999E-2</v>
      </c>
      <c r="DU28" s="290">
        <v>36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2">DS34</f>
        <v>2390000</v>
      </c>
      <c r="EC28" s="212" t="s">
        <v>392</v>
      </c>
      <c r="EE28" s="160" t="s">
        <v>568</v>
      </c>
      <c r="EF28" s="308" t="s">
        <v>396</v>
      </c>
      <c r="EG28" s="306" t="s">
        <v>434</v>
      </c>
      <c r="EH28" s="310">
        <f>$AP9</f>
        <v>2008375.4092879263</v>
      </c>
      <c r="EI28" s="160" t="s">
        <v>392</v>
      </c>
    </row>
    <row r="29" spans="1:139" ht="15" customHeight="1" thickTop="1" thickBot="1" x14ac:dyDescent="0.35">
      <c r="A29" s="220"/>
      <c r="B29" s="221"/>
      <c r="C29" s="222"/>
      <c r="D29" s="220"/>
      <c r="E29" s="221"/>
      <c r="F29" s="221"/>
      <c r="G29" s="221"/>
      <c r="H29" s="222"/>
      <c r="I29" s="221"/>
      <c r="L29" s="255"/>
      <c r="M29" s="256"/>
      <c r="N29" s="256"/>
      <c r="O29" s="256"/>
      <c r="P29" s="257"/>
      <c r="X29" s="271"/>
      <c r="Y29" s="272" t="s">
        <v>103</v>
      </c>
      <c r="Z29" s="272">
        <v>0.02</v>
      </c>
      <c r="AA29" s="272">
        <v>0.18</v>
      </c>
      <c r="AB29" s="272">
        <v>550</v>
      </c>
      <c r="AC29" s="272">
        <v>1880</v>
      </c>
      <c r="AD29" s="273">
        <f>Z29/AA29</f>
        <v>0.11111111111111112</v>
      </c>
      <c r="AE29" s="274">
        <f>Z29*AB29*AC29</f>
        <v>20680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D29" s="81"/>
      <c r="BE29" s="81"/>
      <c r="BF29" s="81" t="s">
        <v>450</v>
      </c>
      <c r="BG29" s="3">
        <f>BG24+BG25</f>
        <v>252.69604703888785</v>
      </c>
      <c r="BH29" s="81"/>
      <c r="BI29" s="81"/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>
        <v>192.86</v>
      </c>
      <c r="CL29" t="s">
        <v>505</v>
      </c>
      <c r="CM29" s="81"/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F29" s="81"/>
      <c r="DG29" s="81"/>
      <c r="DH29" s="81"/>
      <c r="DI29" s="81"/>
      <c r="DJ29" s="204"/>
      <c r="DK29" s="81"/>
      <c r="DL29" s="81" t="s">
        <v>413</v>
      </c>
      <c r="DM29" s="288">
        <f t="shared" si="0"/>
        <v>1730559.7907120739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8.7499999999999996E-8</v>
      </c>
      <c r="DT29" s="291">
        <v>5.3799999999999997E-7</v>
      </c>
      <c r="DU29" s="290">
        <v>0.16</v>
      </c>
      <c r="DV29" s="290">
        <v>0.87082000000000004</v>
      </c>
      <c r="DX29" s="81"/>
      <c r="DY29" s="212" t="s">
        <v>568</v>
      </c>
      <c r="DZ29" s="295" t="s">
        <v>397</v>
      </c>
      <c r="EA29" s="292" t="s">
        <v>434</v>
      </c>
      <c r="EB29" s="293">
        <f t="shared" si="22"/>
        <v>19700000</v>
      </c>
      <c r="EC29" s="212" t="s">
        <v>392</v>
      </c>
      <c r="EE29" s="160" t="s">
        <v>568</v>
      </c>
      <c r="EF29" s="308" t="s">
        <v>397</v>
      </c>
      <c r="EG29" s="306" t="s">
        <v>434</v>
      </c>
      <c r="EH29" s="310">
        <f>$AP10</f>
        <v>23146317.810000002</v>
      </c>
      <c r="EI29" s="160" t="s">
        <v>392</v>
      </c>
    </row>
    <row r="30" spans="1:139" ht="15" customHeight="1" thickTop="1" thickBot="1" x14ac:dyDescent="0.35">
      <c r="A30" s="237"/>
      <c r="B30" s="219"/>
      <c r="C30" s="242"/>
      <c r="D30" s="237"/>
      <c r="E30" s="219"/>
      <c r="F30" s="219"/>
      <c r="G30" s="219"/>
      <c r="H30" s="242"/>
      <c r="I30" s="221"/>
      <c r="L30"/>
      <c r="M30"/>
      <c r="N30"/>
      <c r="Q30"/>
      <c r="R30"/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1730559.7907120739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D30" s="81"/>
      <c r="BE30" s="81"/>
      <c r="BF30" s="81"/>
      <c r="BG30" s="81"/>
      <c r="BH30" s="81"/>
      <c r="BI30" s="81"/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0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>
        <v>148.13</v>
      </c>
      <c r="CL30" t="s">
        <v>505</v>
      </c>
      <c r="CM30" s="81"/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F30" s="81"/>
      <c r="DG30" s="81"/>
      <c r="DH30" s="81"/>
      <c r="DI30" s="81"/>
      <c r="DJ30" s="204"/>
      <c r="DK30" s="81"/>
      <c r="DL30" s="81" t="s">
        <v>414</v>
      </c>
      <c r="DM30" s="288">
        <f t="shared" si="0"/>
        <v>7323865.7100000009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0.64500000000000002</v>
      </c>
      <c r="DT30" s="291">
        <v>8.6700000000000006E-3</v>
      </c>
      <c r="DU30" s="290">
        <v>74.38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2"/>
        <v>26500000</v>
      </c>
      <c r="EC30" s="212" t="s">
        <v>392</v>
      </c>
      <c r="EE30" s="160" t="s">
        <v>568</v>
      </c>
      <c r="EF30" s="308" t="s">
        <v>398</v>
      </c>
      <c r="EG30" s="306" t="s">
        <v>434</v>
      </c>
      <c r="EH30" s="310">
        <f>$AP11</f>
        <v>34102725.300000004</v>
      </c>
      <c r="EI30" s="160" t="s">
        <v>392</v>
      </c>
    </row>
    <row r="31" spans="1:139" ht="15" customHeight="1" thickTop="1" thickBot="1" x14ac:dyDescent="0.35">
      <c r="C31" s="81"/>
      <c r="D31" s="81"/>
      <c r="E31" s="81"/>
      <c r="F31" s="81"/>
      <c r="G31" s="81"/>
      <c r="H31" s="81"/>
      <c r="K31" s="81"/>
      <c r="L31"/>
      <c r="M31"/>
      <c r="N31"/>
      <c r="Q31" s="69" t="s">
        <v>106</v>
      </c>
      <c r="R31" s="70">
        <f>SUM(R6:R9)+SUM(R10:R13)+0.5*R14+R16+SUM(R17:R24)+R25</f>
        <v>462.46263652964717</v>
      </c>
      <c r="S31" s="69" t="s">
        <v>107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7323865.7100000009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D31" s="81"/>
      <c r="BE31" s="81"/>
      <c r="BF31" s="81"/>
      <c r="BG31" s="81"/>
      <c r="BH31" s="81"/>
      <c r="BI31" s="81"/>
      <c r="BJ31" s="81"/>
      <c r="BK31" s="81"/>
      <c r="BQ31" s="154" t="s">
        <v>389</v>
      </c>
      <c r="BR31" s="81" t="s">
        <v>390</v>
      </c>
      <c r="BS31" s="81" t="s">
        <v>414</v>
      </c>
      <c r="BT31" s="204">
        <f t="shared" si="20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>
        <v>122.4</v>
      </c>
      <c r="CL31" t="s">
        <v>505</v>
      </c>
      <c r="CM31" s="81"/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3"/>
        <v>f1D</v>
      </c>
      <c r="DI31" s="81" t="s">
        <v>434</v>
      </c>
      <c r="DJ31" s="204">
        <f t="shared" si="14"/>
        <v>0.06</v>
      </c>
      <c r="DK31" s="81" t="s">
        <v>392</v>
      </c>
      <c r="DL31" s="81" t="s">
        <v>415</v>
      </c>
      <c r="DM31" s="288">
        <f t="shared" si="0"/>
        <v>5574674.700000002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0.51900000000000002</v>
      </c>
      <c r="DT31" s="291">
        <v>8.9200000000000008E-3</v>
      </c>
      <c r="DU31" s="290">
        <v>58.16</v>
      </c>
      <c r="DV31" s="290" t="s">
        <v>509</v>
      </c>
      <c r="DW31" s="291">
        <v>2E-16</v>
      </c>
      <c r="DX31" s="81" t="s">
        <v>510</v>
      </c>
      <c r="EA31" s="292"/>
      <c r="EE31" s="160"/>
      <c r="EF31" s="160"/>
      <c r="EG31" s="306"/>
      <c r="EH31" s="160"/>
      <c r="EI31" s="160"/>
    </row>
    <row r="32" spans="1:139" ht="15" customHeight="1" thickTop="1" thickBot="1" x14ac:dyDescent="0.35">
      <c r="C32" s="81"/>
      <c r="D32" s="81"/>
      <c r="E32" s="81"/>
      <c r="F32" s="81"/>
      <c r="G32" s="81"/>
      <c r="H32" s="81"/>
      <c r="K32" s="81"/>
      <c r="L32"/>
      <c r="M32"/>
      <c r="N32"/>
      <c r="Q32"/>
      <c r="R32">
        <f>G4*Z37</f>
        <v>26.785999999999998</v>
      </c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SUM(U28,U31)</f>
        <v>5574674.700000002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D32" s="81"/>
      <c r="BE32" s="81"/>
      <c r="BF32" s="81"/>
      <c r="BG32" s="81"/>
      <c r="BH32" s="81"/>
      <c r="BI32" s="81"/>
      <c r="BJ32" s="81" t="s">
        <v>281</v>
      </c>
      <c r="BK32" s="81">
        <f>BK4+BK5</f>
        <v>255.62059584596096</v>
      </c>
      <c r="BQ32" s="154" t="s">
        <v>389</v>
      </c>
      <c r="BR32" s="81" t="s">
        <v>390</v>
      </c>
      <c r="BS32" s="81" t="s">
        <v>415</v>
      </c>
      <c r="BT32" s="204">
        <f t="shared" si="20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>
        <v>98.59</v>
      </c>
      <c r="CL32" t="s">
        <v>505</v>
      </c>
      <c r="CM32" s="81"/>
      <c r="CN32" s="81"/>
      <c r="CO32" s="81"/>
      <c r="CP32" s="81"/>
      <c r="CQ32" s="81"/>
      <c r="CR32" s="81"/>
      <c r="CS32" s="81"/>
      <c r="CT32" s="81"/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3"/>
        <v>f1N</v>
      </c>
      <c r="DI32" s="81" t="s">
        <v>434</v>
      </c>
      <c r="DJ32" s="204">
        <f t="shared" si="14"/>
        <v>0.16</v>
      </c>
      <c r="DK32" s="81" t="s">
        <v>392</v>
      </c>
      <c r="DL32" s="81" t="s">
        <v>416</v>
      </c>
      <c r="DM32" s="286">
        <f t="shared" si="0"/>
        <v>0.10003675487397296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499000000</v>
      </c>
      <c r="DT32" s="291">
        <v>20700000</v>
      </c>
      <c r="DU32" s="290">
        <v>24.11</v>
      </c>
      <c r="DV32" s="290" t="s">
        <v>509</v>
      </c>
      <c r="DW32" s="291">
        <v>2E-16</v>
      </c>
      <c r="DX32" s="81" t="s">
        <v>510</v>
      </c>
      <c r="DY32" s="212" t="s">
        <v>568</v>
      </c>
      <c r="DZ32" s="295" t="s">
        <v>404</v>
      </c>
      <c r="EA32" s="292" t="s">
        <v>434</v>
      </c>
      <c r="EB32" s="293">
        <f>DS47</f>
        <v>306</v>
      </c>
      <c r="EC32" s="212" t="s">
        <v>392</v>
      </c>
      <c r="EE32" s="160" t="s">
        <v>568</v>
      </c>
      <c r="EF32" s="308" t="s">
        <v>404</v>
      </c>
      <c r="EG32" s="306" t="s">
        <v>434</v>
      </c>
      <c r="EH32" s="160">
        <f>$AP19</f>
        <v>502.91175202156336</v>
      </c>
      <c r="EI32" s="160" t="s">
        <v>392</v>
      </c>
    </row>
    <row r="33" spans="1:139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318" t="s">
        <v>112</v>
      </c>
      <c r="F33" s="319"/>
      <c r="G33" s="72" t="s">
        <v>113</v>
      </c>
      <c r="H33" s="81"/>
      <c r="K33" s="81"/>
      <c r="L33"/>
      <c r="M33"/>
      <c r="N33"/>
      <c r="Q33"/>
      <c r="R33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AP26*0.2</f>
        <v>0.10003675487397296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D33" s="81"/>
      <c r="BE33" s="81"/>
      <c r="BF33" s="81"/>
      <c r="BG33" s="81"/>
      <c r="BH33" s="81"/>
      <c r="BI33" s="81"/>
      <c r="BJ33" s="81" t="s">
        <v>282</v>
      </c>
      <c r="BK33" s="3">
        <f>BK6+BK7</f>
        <v>313.00240000000002</v>
      </c>
      <c r="BQ33" s="154" t="s">
        <v>389</v>
      </c>
      <c r="BR33" s="81" t="s">
        <v>390</v>
      </c>
      <c r="BS33" s="81" t="s">
        <v>416</v>
      </c>
      <c r="BT33" s="204">
        <f t="shared" si="20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>
        <v>136.51</v>
      </c>
      <c r="CL33" t="s">
        <v>505</v>
      </c>
      <c r="CM33" s="81"/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3"/>
        <v>f2N</v>
      </c>
      <c r="DI33" s="81" t="s">
        <v>434</v>
      </c>
      <c r="DJ33" s="204">
        <f t="shared" si="14"/>
        <v>5.2999999999999999E-2</v>
      </c>
      <c r="DK33" s="81" t="s">
        <v>392</v>
      </c>
      <c r="DL33" s="81" t="s">
        <v>417</v>
      </c>
      <c r="DM33" s="286">
        <f t="shared" si="0"/>
        <v>2.976275321671017E-2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13500000</v>
      </c>
      <c r="DT33" s="291">
        <v>145000</v>
      </c>
      <c r="DU33" s="290">
        <v>93.2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3">DS48</f>
        <v>209</v>
      </c>
      <c r="EC33" s="212" t="s">
        <v>392</v>
      </c>
      <c r="EE33" s="160" t="s">
        <v>568</v>
      </c>
      <c r="EF33" s="308" t="s">
        <v>405</v>
      </c>
      <c r="EG33" s="306" t="s">
        <v>434</v>
      </c>
      <c r="EH33" s="160">
        <f>$AP20</f>
        <v>441.63636363636368</v>
      </c>
      <c r="EI33" s="160" t="s">
        <v>392</v>
      </c>
    </row>
    <row r="34" spans="1:139" ht="15" customHeight="1" thickTop="1" thickBot="1" x14ac:dyDescent="0.35">
      <c r="A34" s="73">
        <v>1</v>
      </c>
      <c r="B34" s="74">
        <f>B7*B38</f>
        <v>381.64628482972142</v>
      </c>
      <c r="C34" s="73"/>
      <c r="D34" s="73" t="s">
        <v>42</v>
      </c>
      <c r="E34" s="195">
        <v>21</v>
      </c>
      <c r="F34" s="195"/>
      <c r="G34" s="76">
        <f>VLOOKUP(D34,A6:B22,2,0)</f>
        <v>138.80000000000001</v>
      </c>
      <c r="H34" s="81"/>
      <c r="K34" s="81"/>
      <c r="L34"/>
      <c r="M34"/>
      <c r="N34"/>
      <c r="Q34">
        <f>25+13+18</f>
        <v>56</v>
      </c>
      <c r="R34"/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AP27*0.2</f>
        <v>2.976275321671017E-2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D34" s="81"/>
      <c r="BE34" s="81"/>
      <c r="BF34" s="81"/>
      <c r="BG34" s="81"/>
      <c r="BH34" s="81"/>
      <c r="BI34" s="81"/>
      <c r="BJ34" s="81" t="s">
        <v>291</v>
      </c>
      <c r="BK34" s="204">
        <f>BK10+BK9</f>
        <v>36044858.220000006</v>
      </c>
      <c r="BQ34" s="154" t="s">
        <v>389</v>
      </c>
      <c r="BR34" s="81" t="s">
        <v>390</v>
      </c>
      <c r="BS34" s="81" t="s">
        <v>417</v>
      </c>
      <c r="BT34" s="204">
        <f t="shared" si="20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>
        <v>186.01</v>
      </c>
      <c r="CL34" t="s">
        <v>505</v>
      </c>
      <c r="CM34" s="81"/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3"/>
        <v>f3D</v>
      </c>
      <c r="DI34" s="81" t="s">
        <v>434</v>
      </c>
      <c r="DJ34" s="204">
        <f t="shared" si="14"/>
        <v>0.65</v>
      </c>
      <c r="DK34" s="81" t="s">
        <v>392</v>
      </c>
      <c r="DL34" s="81" t="s">
        <v>418</v>
      </c>
      <c r="DM34" s="286">
        <f t="shared" si="0"/>
        <v>0.80717708076718886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2390000</v>
      </c>
      <c r="DT34" s="291">
        <v>14200</v>
      </c>
      <c r="DU34" s="290">
        <v>168.42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3"/>
        <v>536</v>
      </c>
      <c r="EC34" s="212" t="s">
        <v>392</v>
      </c>
      <c r="EE34" s="160" t="s">
        <v>568</v>
      </c>
      <c r="EF34" s="309" t="s">
        <v>406</v>
      </c>
      <c r="EG34" s="306" t="s">
        <v>434</v>
      </c>
      <c r="EH34" s="160">
        <f>$AP21</f>
        <v>599.93652733118972</v>
      </c>
      <c r="EI34" s="160" t="s">
        <v>392</v>
      </c>
    </row>
    <row r="35" spans="1:139" ht="15" customHeight="1" thickTop="1" thickBot="1" x14ac:dyDescent="0.35">
      <c r="A35" s="73">
        <v>2</v>
      </c>
      <c r="B35" s="74">
        <f>B4-B34</f>
        <v>328.85371517027858</v>
      </c>
      <c r="C35" s="73"/>
      <c r="D35" s="73" t="s">
        <v>116</v>
      </c>
      <c r="E35" s="77">
        <v>18</v>
      </c>
      <c r="F35" s="77"/>
      <c r="G35" s="76">
        <f>VLOOKUP(D35,A7:B23,2,0)</f>
        <v>119.59999999999997</v>
      </c>
      <c r="H35" s="81"/>
      <c r="K35" s="81"/>
      <c r="L35"/>
      <c r="M35"/>
      <c r="N35" t="s">
        <v>114</v>
      </c>
      <c r="O35" s="3">
        <f>SUM(R6:R9,R15,R17:R20,R25)</f>
        <v>217.09487754444629</v>
      </c>
      <c r="P35" s="3"/>
      <c r="Q35">
        <f>Q34/5</f>
        <v>11.2</v>
      </c>
      <c r="R35"/>
      <c r="X35" s="260" t="s">
        <v>115</v>
      </c>
      <c r="Y35" s="261"/>
      <c r="Z35" s="262" t="s">
        <v>21</v>
      </c>
      <c r="AA35" s="275">
        <f>AD37*AD36+(1-AD37)*Z36</f>
        <v>3.5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AP28*0.2+0.8</f>
        <v>0.80717708076718886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D35" s="81"/>
      <c r="BE35" s="81"/>
      <c r="BF35" s="81"/>
      <c r="BG35" s="81"/>
      <c r="BH35" s="81"/>
      <c r="BI35" s="81"/>
      <c r="BJ35" s="81" t="s">
        <v>285</v>
      </c>
      <c r="BK35" s="81">
        <f>BK15+BK14</f>
        <v>698.00643086816717</v>
      </c>
      <c r="BQ35" s="154" t="s">
        <v>389</v>
      </c>
      <c r="BR35" s="81" t="s">
        <v>390</v>
      </c>
      <c r="BS35" s="81" t="s">
        <v>418</v>
      </c>
      <c r="BT35" s="204">
        <f t="shared" si="20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>
        <v>200.04</v>
      </c>
      <c r="CL35" t="s">
        <v>505</v>
      </c>
      <c r="CM35" s="81"/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3"/>
        <v>f3N</v>
      </c>
      <c r="DI35" s="81" t="s">
        <v>434</v>
      </c>
      <c r="DJ35" s="204">
        <f t="shared" si="14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19700000</v>
      </c>
      <c r="DT35" s="291">
        <v>256000</v>
      </c>
      <c r="DU35" s="290">
        <v>76.97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3"/>
        <v>200</v>
      </c>
      <c r="EC35" s="212" t="s">
        <v>392</v>
      </c>
      <c r="EE35" s="160" t="s">
        <v>568</v>
      </c>
      <c r="EF35" s="309" t="s">
        <v>407</v>
      </c>
      <c r="EG35" s="306" t="s">
        <v>434</v>
      </c>
      <c r="EH35" s="161">
        <f>$AP22</f>
        <v>212.6360105263158</v>
      </c>
      <c r="EI35" s="160" t="s">
        <v>392</v>
      </c>
    </row>
    <row r="36" spans="1:139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320" t="s">
        <v>119</v>
      </c>
      <c r="F36" s="314"/>
      <c r="G36" s="76">
        <f>B17</f>
        <v>0</v>
      </c>
      <c r="H36" s="81"/>
      <c r="K36" s="81"/>
      <c r="L36"/>
      <c r="M36"/>
      <c r="N36" t="s">
        <v>117</v>
      </c>
      <c r="O36" s="3">
        <f>SUM(R10:R13,R21:R24)</f>
        <v>158.9</v>
      </c>
      <c r="Q36"/>
      <c r="R36"/>
      <c r="X36" s="271"/>
      <c r="Y36" s="272" t="s">
        <v>16</v>
      </c>
      <c r="Z36" s="272">
        <v>3.15</v>
      </c>
      <c r="AA36" s="272" t="s">
        <v>5</v>
      </c>
      <c r="AB36" s="272"/>
      <c r="AC36" s="272" t="s">
        <v>608</v>
      </c>
      <c r="AD36" s="272">
        <f>(3.5-(1-AD37)*Z36)/0.25</f>
        <v>4.5500000000000007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D36" s="81"/>
      <c r="BE36" s="81"/>
      <c r="BF36" s="81"/>
      <c r="BG36" s="81"/>
      <c r="BH36" s="81"/>
      <c r="BI36" s="81"/>
      <c r="BJ36" s="81" t="s">
        <v>457</v>
      </c>
      <c r="BK36" s="3">
        <f>BK32+BK33</f>
        <v>568.62299584596099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>
        <v>-244.53</v>
      </c>
      <c r="CL36" t="s">
        <v>505</v>
      </c>
      <c r="CM36" s="81"/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3"/>
        <v>f5D</v>
      </c>
      <c r="DI36" s="81" t="s">
        <v>434</v>
      </c>
      <c r="DJ36" s="204">
        <f t="shared" si="14"/>
        <v>7.0000000000000007E-2</v>
      </c>
      <c r="DK36" s="81" t="s">
        <v>392</v>
      </c>
      <c r="DL36" s="81" t="s">
        <v>419</v>
      </c>
      <c r="DM36" s="289">
        <f t="shared" si="0"/>
        <v>192.60043361958299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26500000</v>
      </c>
      <c r="DT36" s="291">
        <v>232000</v>
      </c>
      <c r="DU36" s="290">
        <v>114.1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69.099999999999994</v>
      </c>
      <c r="EC36" s="212" t="s">
        <v>392</v>
      </c>
      <c r="EE36" s="160" t="s">
        <v>568</v>
      </c>
      <c r="EF36" s="311" t="s">
        <v>409</v>
      </c>
      <c r="EG36" s="306" t="s">
        <v>434</v>
      </c>
      <c r="EH36" s="160">
        <f>$AP24</f>
        <v>61.580281690140851</v>
      </c>
      <c r="EI36" s="160" t="s">
        <v>392</v>
      </c>
    </row>
    <row r="37" spans="1:139" ht="15" customHeight="1" thickTop="1" thickBot="1" x14ac:dyDescent="0.35">
      <c r="C37" s="81"/>
      <c r="D37" s="81"/>
      <c r="E37" s="81"/>
      <c r="F37" s="81"/>
      <c r="G37" s="81"/>
      <c r="H37" s="81"/>
      <c r="K37" s="81"/>
      <c r="L37"/>
      <c r="M37"/>
      <c r="N37" t="s">
        <v>120</v>
      </c>
      <c r="O37" s="3">
        <f>'Verwarming Tabula'!B60</f>
        <v>138.03320000000002</v>
      </c>
      <c r="Q37"/>
      <c r="R37"/>
      <c r="X37" s="237"/>
      <c r="Y37" s="219" t="s">
        <v>121</v>
      </c>
      <c r="Z37" s="219">
        <v>0.59</v>
      </c>
      <c r="AA37" s="219"/>
      <c r="AB37" s="219"/>
      <c r="AC37" s="219" t="s">
        <v>607</v>
      </c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SUM(O17:O20)*(1/(SUM(AD18:AD19)+1/8))+O25*(1/(SUM(AD9:AD10)+1/8))</f>
        <v>192.60043361958299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0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>
        <v>-234.52</v>
      </c>
      <c r="CL37" t="s">
        <v>505</v>
      </c>
      <c r="CM37" s="81"/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S37" s="81"/>
      <c r="CT37" s="81"/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3"/>
        <v>f5N</v>
      </c>
      <c r="DI37" s="81" t="s">
        <v>434</v>
      </c>
      <c r="DJ37" s="204">
        <f t="shared" si="14"/>
        <v>0.13</v>
      </c>
      <c r="DK37" s="81" t="s">
        <v>392</v>
      </c>
      <c r="DL37" s="81" t="s">
        <v>420</v>
      </c>
      <c r="DM37" s="289">
        <f t="shared" si="0"/>
        <v>98.069903536977506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-7.46</v>
      </c>
      <c r="DT37" s="291">
        <v>0.08</v>
      </c>
      <c r="DU37" s="290">
        <v>-93.21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128.86597938144328</v>
      </c>
      <c r="EC37" s="212" t="s">
        <v>392</v>
      </c>
      <c r="EE37" s="160" t="s">
        <v>568</v>
      </c>
      <c r="EF37" s="311" t="s">
        <v>408</v>
      </c>
      <c r="EG37" s="306" t="s">
        <v>434</v>
      </c>
      <c r="EH37" s="160">
        <f>$AP23</f>
        <v>129.98879175602485</v>
      </c>
      <c r="EI37" s="160" t="s">
        <v>392</v>
      </c>
    </row>
    <row r="38" spans="1:139" ht="15" customHeight="1" thickTop="1" thickBot="1" x14ac:dyDescent="0.35">
      <c r="B38" s="3">
        <f>B4/B6</f>
        <v>2.7496130030959756</v>
      </c>
      <c r="C38" s="81"/>
      <c r="D38" s="81"/>
      <c r="E38" s="81"/>
      <c r="F38" s="81"/>
      <c r="G38" s="81"/>
      <c r="H38" s="81"/>
      <c r="K38" s="81"/>
      <c r="L38"/>
      <c r="M38"/>
      <c r="N38"/>
      <c r="O38" s="3"/>
      <c r="Q38"/>
      <c r="R38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</f>
        <v>98.069903536977506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0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>
        <v>-191.49</v>
      </c>
      <c r="CL38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3"/>
        <v>hwD</v>
      </c>
      <c r="DI38" s="81" t="s">
        <v>434</v>
      </c>
      <c r="DJ38" s="204">
        <f t="shared" si="14"/>
        <v>281</v>
      </c>
      <c r="DK38" s="81" t="s">
        <v>392</v>
      </c>
      <c r="DL38" s="81" t="s">
        <v>421</v>
      </c>
      <c r="DM38" s="289">
        <f t="shared" si="0"/>
        <v>100.36638947368422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-18.5</v>
      </c>
      <c r="DT38" s="291">
        <v>18.399999999999999</v>
      </c>
      <c r="DU38" s="290">
        <v>-1.01</v>
      </c>
      <c r="DV38" s="290">
        <v>0.31457000000000002</v>
      </c>
      <c r="DX38" s="81"/>
      <c r="DY38" s="212" t="s">
        <v>568</v>
      </c>
      <c r="DZ38" s="294" t="s">
        <v>400</v>
      </c>
      <c r="EA38" s="292" t="s">
        <v>434</v>
      </c>
      <c r="EB38" s="293">
        <f>DS42</f>
        <v>6.3700000000000007E-2</v>
      </c>
      <c r="EC38" s="212" t="s">
        <v>392</v>
      </c>
      <c r="EE38" s="160" t="s">
        <v>568</v>
      </c>
      <c r="EF38" s="307" t="s">
        <v>400</v>
      </c>
      <c r="EG38" s="306" t="s">
        <v>434</v>
      </c>
      <c r="EH38" s="160">
        <f>$AP14</f>
        <v>4.2738000775550018E-2</v>
      </c>
      <c r="EI38" s="160" t="s">
        <v>392</v>
      </c>
    </row>
    <row r="39" spans="1:139" ht="15" customHeight="1" thickTop="1" thickBot="1" x14ac:dyDescent="0.35">
      <c r="C39" s="81"/>
      <c r="D39" s="81"/>
      <c r="E39" s="81"/>
      <c r="F39" s="81"/>
      <c r="G39" s="81"/>
      <c r="H39" s="81"/>
      <c r="K39" s="81"/>
      <c r="L39"/>
      <c r="M39"/>
      <c r="N39" t="s">
        <v>122</v>
      </c>
      <c r="O39" s="3">
        <f>B4*1.204*1012*5/1000000</f>
        <v>4.3285365199999992</v>
      </c>
      <c r="P39" t="s">
        <v>123</v>
      </c>
      <c r="R39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2zone'!B139+SUM(R21:R24)</f>
        <v>100.36638947368422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0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>
        <v>-254.34</v>
      </c>
      <c r="CL39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3"/>
        <v>hwiD</v>
      </c>
      <c r="DI39" s="81" t="s">
        <v>434</v>
      </c>
      <c r="DJ39" s="204">
        <f t="shared" si="14"/>
        <v>705</v>
      </c>
      <c r="DK39" s="81" t="s">
        <v>392</v>
      </c>
      <c r="DL39" s="81" t="s">
        <v>422</v>
      </c>
      <c r="DM39" s="289">
        <f t="shared" si="0"/>
        <v>728.53719184759279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-15.9</v>
      </c>
      <c r="DT39" s="291">
        <v>8.33</v>
      </c>
      <c r="DU39" s="290">
        <v>-1.91</v>
      </c>
      <c r="DV39" s="290">
        <v>5.5690000000000003E-2</v>
      </c>
      <c r="DW39" s="290" t="s">
        <v>557</v>
      </c>
      <c r="DX39" s="81"/>
      <c r="DY39" s="212" t="s">
        <v>568</v>
      </c>
      <c r="DZ39" s="295" t="s">
        <v>401</v>
      </c>
      <c r="EA39" s="292" t="s">
        <v>434</v>
      </c>
      <c r="EB39" s="293">
        <f t="shared" ref="EB39:EB42" si="24">DS43</f>
        <v>0.13500000000000001</v>
      </c>
      <c r="EC39" s="212" t="s">
        <v>392</v>
      </c>
      <c r="EE39" s="160" t="s">
        <v>568</v>
      </c>
      <c r="EF39" s="308" t="s">
        <v>401</v>
      </c>
      <c r="EG39" s="306" t="s">
        <v>434</v>
      </c>
      <c r="EH39" s="160">
        <f>$AP15</f>
        <v>8.5476001551100037E-2</v>
      </c>
      <c r="EI39" s="160" t="s">
        <v>392</v>
      </c>
    </row>
    <row r="40" spans="1:139" ht="15" customHeight="1" thickTop="1" thickBot="1" x14ac:dyDescent="0.35">
      <c r="A40" t="s">
        <v>271</v>
      </c>
      <c r="C40" s="81"/>
      <c r="D40" s="81"/>
      <c r="E40" s="81"/>
      <c r="F40" s="81"/>
      <c r="G40" s="81"/>
      <c r="H40" s="81"/>
      <c r="K40" s="81"/>
      <c r="L40"/>
      <c r="M40"/>
      <c r="N40" t="s">
        <v>124</v>
      </c>
      <c r="O40" s="3">
        <f>SUM(S6:S9,S15)/1000000</f>
        <v>43.693935393149999</v>
      </c>
      <c r="P40" t="s">
        <v>125</v>
      </c>
      <c r="Q40" s="3">
        <f>SUM(U6:U9,U15)/1000000</f>
        <v>26.686521330000001</v>
      </c>
      <c r="R40"/>
      <c r="X40" s="260" t="s">
        <v>63</v>
      </c>
      <c r="Y40" s="261"/>
      <c r="Z40" s="262" t="s">
        <v>21</v>
      </c>
      <c r="AA40" s="263">
        <f>1/(1/10+SUM(AD42:AD46))</f>
        <v>0.66596194503171247</v>
      </c>
      <c r="AB40" s="261" t="s">
        <v>5</v>
      </c>
      <c r="AC40" s="261"/>
      <c r="AD40" s="261" t="s">
        <v>22</v>
      </c>
      <c r="AE40" s="264">
        <f>SUM(AE42:AE46)</f>
        <v>465288.8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SUM(O17:O20)*1/(SUM(AD15:AD17)+1/23)+O25*1/(SUM(AD7:AD8)+1/23)</f>
        <v>728.53719184759279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0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>
        <v>-250.67</v>
      </c>
      <c r="CL40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3"/>
        <v>hwiN</v>
      </c>
      <c r="DI40" s="81" t="s">
        <v>434</v>
      </c>
      <c r="DJ40" s="204">
        <f t="shared" si="14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-15.7</v>
      </c>
      <c r="DT40" s="291">
        <v>8.0399999999999991</v>
      </c>
      <c r="DU40" s="290">
        <v>-1.95</v>
      </c>
      <c r="DV40" s="290">
        <v>5.0840000000000003E-2</v>
      </c>
      <c r="DW40" s="290" t="s">
        <v>557</v>
      </c>
      <c r="DX40" s="81"/>
      <c r="DY40" s="212" t="s">
        <v>568</v>
      </c>
      <c r="DZ40" s="295" t="s">
        <v>402</v>
      </c>
      <c r="EA40" s="292" t="s">
        <v>434</v>
      </c>
      <c r="EB40" s="293">
        <f t="shared" si="24"/>
        <v>0.72</v>
      </c>
      <c r="EC40" s="212" t="s">
        <v>392</v>
      </c>
      <c r="EE40" s="160" t="s">
        <v>568</v>
      </c>
      <c r="EF40" s="308" t="s">
        <v>402</v>
      </c>
      <c r="EG40" s="306" t="s">
        <v>434</v>
      </c>
      <c r="EH40" s="160">
        <f>$AP16</f>
        <v>0.8078618754085708</v>
      </c>
      <c r="EI40" s="160" t="s">
        <v>392</v>
      </c>
    </row>
    <row r="41" spans="1:139" ht="15" customHeight="1" thickTop="1" thickBot="1" x14ac:dyDescent="0.35">
      <c r="A41" s="148" t="s">
        <v>272</v>
      </c>
      <c r="C41" s="81"/>
      <c r="D41" s="81"/>
      <c r="E41" s="81"/>
      <c r="F41" s="81"/>
      <c r="G41" s="81"/>
      <c r="H41" s="81"/>
      <c r="K41" s="81"/>
      <c r="L41"/>
      <c r="M41"/>
      <c r="N41" t="s">
        <v>126</v>
      </c>
      <c r="O41" s="3">
        <f>SUM(S26:S27)/1000000</f>
        <v>89.781309299999975</v>
      </c>
      <c r="P41" t="s">
        <v>125</v>
      </c>
      <c r="Q41" s="3">
        <f>SUM(U26:U27)/1000000</f>
        <v>89.781309299999975</v>
      </c>
      <c r="R4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>
        <v>47.2</v>
      </c>
      <c r="CL4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3"/>
        <v>hwN</v>
      </c>
      <c r="DI41" s="81" t="s">
        <v>434</v>
      </c>
      <c r="DJ41" s="204">
        <f t="shared" si="14"/>
        <v>384</v>
      </c>
      <c r="DK41" s="81" t="s">
        <v>392</v>
      </c>
      <c r="DL41" s="81" t="s">
        <v>423</v>
      </c>
      <c r="DM41" s="286">
        <f t="shared" si="0"/>
        <v>0.14793585570564224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-16.7</v>
      </c>
      <c r="DT41" s="291">
        <v>10.9</v>
      </c>
      <c r="DU41" s="290">
        <v>-1.53</v>
      </c>
      <c r="DV41" s="290">
        <v>0.12518000000000001</v>
      </c>
      <c r="DX41" s="81"/>
      <c r="DY41" s="212" t="s">
        <v>568</v>
      </c>
      <c r="DZ41" s="292" t="s">
        <v>403</v>
      </c>
      <c r="EA41" s="292" t="s">
        <v>434</v>
      </c>
      <c r="EB41" s="293">
        <f t="shared" si="24"/>
        <v>5.8900000000000001E-2</v>
      </c>
      <c r="EC41" s="212" t="s">
        <v>392</v>
      </c>
      <c r="EE41" s="160" t="s">
        <v>568</v>
      </c>
      <c r="EF41" s="306" t="s">
        <v>403</v>
      </c>
      <c r="EG41" s="306" t="s">
        <v>434</v>
      </c>
      <c r="EH41" s="160">
        <f>$AP17</f>
        <v>3.4336951123650754E-2</v>
      </c>
      <c r="EI41" s="160" t="s">
        <v>392</v>
      </c>
    </row>
    <row r="42" spans="1:139" ht="15" customHeight="1" thickTop="1" thickBot="1" x14ac:dyDescent="0.35">
      <c r="A42" t="s">
        <v>273</v>
      </c>
      <c r="C42" s="81">
        <f>0.55</f>
        <v>0.55000000000000004</v>
      </c>
      <c r="D42" s="81"/>
      <c r="E42" s="81"/>
      <c r="F42" s="81"/>
      <c r="G42" s="81"/>
      <c r="H42" s="81"/>
      <c r="K42" s="81"/>
      <c r="L42"/>
      <c r="M42"/>
      <c r="N42" t="s">
        <v>127</v>
      </c>
      <c r="O42" s="3">
        <f>S14/1000000</f>
        <v>64.58208544</v>
      </c>
      <c r="Q42" s="3">
        <f>U14/1000000</f>
        <v>15.401248000000002</v>
      </c>
      <c r="R42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SUM(O26)/SUM($O$6:$O$14,$O$26,2*$O$27)</f>
        <v>0.14793585570564224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0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>
        <v>105.13</v>
      </c>
      <c r="CL42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3"/>
        <v>infD</v>
      </c>
      <c r="DI42" s="81" t="s">
        <v>434</v>
      </c>
      <c r="DJ42" s="204">
        <f t="shared" si="14"/>
        <v>53</v>
      </c>
      <c r="DK42" s="81" t="s">
        <v>392</v>
      </c>
      <c r="DL42" s="81" t="s">
        <v>424</v>
      </c>
      <c r="DM42" s="286">
        <f t="shared" si="0"/>
        <v>0.31511705571064025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6.3700000000000007E-2</v>
      </c>
      <c r="DT42" s="291">
        <v>3.8000000000000002E-4</v>
      </c>
      <c r="DU42" s="290">
        <v>167.76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24"/>
        <v>4.2000000000000003E-2</v>
      </c>
      <c r="EC42" s="212" t="s">
        <v>392</v>
      </c>
      <c r="EE42" s="160" t="s">
        <v>568</v>
      </c>
      <c r="EF42" s="306" t="s">
        <v>518</v>
      </c>
      <c r="EG42" s="306" t="s">
        <v>434</v>
      </c>
      <c r="EH42" s="160">
        <f>$AP46</f>
        <v>2.9587171141128452E-2</v>
      </c>
      <c r="EI42" s="160" t="s">
        <v>392</v>
      </c>
    </row>
    <row r="43" spans="1:139" ht="15" customHeight="1" thickTop="1" thickBot="1" x14ac:dyDescent="0.35">
      <c r="A43" t="s">
        <v>274</v>
      </c>
      <c r="C43" s="81">
        <v>0.99</v>
      </c>
      <c r="D43" s="81" t="s">
        <v>275</v>
      </c>
      <c r="E43" s="81"/>
      <c r="F43" s="81"/>
      <c r="G43" s="81"/>
      <c r="H43" s="81"/>
      <c r="K43" s="81"/>
      <c r="L43"/>
      <c r="M43"/>
      <c r="N43"/>
      <c r="Q43"/>
      <c r="R43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SUM(O26)/SUM(O$17:O$25,2*O$28,O$26)</f>
        <v>0.31511705571064025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0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>
        <v>0.11</v>
      </c>
      <c r="CL43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3"/>
        <v>infN</v>
      </c>
      <c r="DI43" s="81" t="s">
        <v>434</v>
      </c>
      <c r="DJ43" s="204">
        <f t="shared" si="14"/>
        <v>36.9</v>
      </c>
      <c r="DK43" s="81" t="s">
        <v>392</v>
      </c>
      <c r="DL43" s="81" t="s">
        <v>425</v>
      </c>
      <c r="DM43" s="288">
        <f t="shared" si="0"/>
        <v>27839291.999999993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0.13500000000000001</v>
      </c>
      <c r="DT43" s="291">
        <v>5.53E-4</v>
      </c>
      <c r="DU43" s="290">
        <v>245.13</v>
      </c>
      <c r="DV43" s="290" t="s">
        <v>509</v>
      </c>
      <c r="DW43" s="291">
        <v>2E-16</v>
      </c>
      <c r="DX43" s="81" t="s">
        <v>510</v>
      </c>
      <c r="EA43" s="292"/>
      <c r="EE43" s="160"/>
      <c r="EF43" s="160"/>
      <c r="EG43" s="306"/>
      <c r="EH43" s="160"/>
      <c r="EI43" s="160"/>
    </row>
    <row r="44" spans="1:139" ht="15" customHeight="1" thickTop="1" thickBot="1" x14ac:dyDescent="0.35">
      <c r="A44" t="s">
        <v>277</v>
      </c>
      <c r="C44" s="81">
        <v>0.7</v>
      </c>
      <c r="D44" s="81"/>
      <c r="E44" s="79"/>
      <c r="F44" s="81"/>
      <c r="G44" s="81"/>
      <c r="H44" s="81"/>
      <c r="K44" s="81"/>
      <c r="L44"/>
      <c r="M44"/>
      <c r="N44"/>
      <c r="Q44"/>
      <c r="R44"/>
      <c r="X44" s="220"/>
      <c r="Y44" s="221" t="s">
        <v>276</v>
      </c>
      <c r="Z44" s="221">
        <v>0.04</v>
      </c>
      <c r="AA44" s="221">
        <v>3.5999999999999997E-2</v>
      </c>
      <c r="AB44" s="221">
        <v>26</v>
      </c>
      <c r="AC44" s="221">
        <v>1470</v>
      </c>
      <c r="AD44" s="268">
        <f>Z44/AA44</f>
        <v>1.1111111111111112</v>
      </c>
      <c r="AE44" s="222">
        <f>Z44*AB44*AC44</f>
        <v>1528.8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27839291.999999993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0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>
        <v>35.75</v>
      </c>
      <c r="CL44" t="s">
        <v>505</v>
      </c>
      <c r="CN44" s="81" t="s">
        <v>497</v>
      </c>
      <c r="CO44" s="81" t="s">
        <v>512</v>
      </c>
      <c r="CP44" s="81"/>
      <c r="CQ44" s="81"/>
      <c r="CR44" s="81"/>
      <c r="CS44" s="81"/>
      <c r="CT44" s="81"/>
      <c r="CU44" s="81"/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F44" s="81"/>
      <c r="DG44" s="81"/>
      <c r="DH44" s="81"/>
      <c r="DI44" s="81"/>
      <c r="DJ44" s="204"/>
      <c r="DK44" s="81"/>
      <c r="DL44" s="81" t="s">
        <v>426</v>
      </c>
      <c r="DM44" s="288">
        <f t="shared" si="0"/>
        <v>27839291.999999993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0.72</v>
      </c>
      <c r="DT44" s="291">
        <v>1.5399999999999999E-3</v>
      </c>
      <c r="DU44" s="290">
        <v>468.68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8.5199999999999995E-7</v>
      </c>
      <c r="EC44" s="212" t="s">
        <v>392</v>
      </c>
      <c r="EE44" s="160" t="s">
        <v>568</v>
      </c>
      <c r="EF44" s="311" t="s">
        <v>590</v>
      </c>
      <c r="EG44" s="306" t="s">
        <v>434</v>
      </c>
      <c r="EH44" s="160">
        <f>$O$22*$Z$37*$AP$26</f>
        <v>0.98271106150447329</v>
      </c>
      <c r="EI44" s="160" t="s">
        <v>392</v>
      </c>
    </row>
    <row r="45" spans="1:139" ht="15" customHeight="1" thickTop="1" thickBot="1" x14ac:dyDescent="0.35">
      <c r="A45" t="s">
        <v>278</v>
      </c>
      <c r="C45" s="81">
        <v>0.7</v>
      </c>
      <c r="D45" s="81"/>
      <c r="E45" s="79"/>
      <c r="F45" s="81"/>
      <c r="G45" s="81"/>
      <c r="H45" s="81"/>
      <c r="K45" s="81"/>
      <c r="L45"/>
      <c r="M45"/>
      <c r="N45"/>
      <c r="Q45"/>
      <c r="R45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27839291.999999993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0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P45" s="81"/>
      <c r="CQ45" s="81"/>
      <c r="CR45" s="81"/>
      <c r="CS45" s="81"/>
      <c r="CT45" s="81"/>
      <c r="CU45" s="81"/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F45" s="81"/>
      <c r="DG45" s="81"/>
      <c r="DH45" s="81"/>
      <c r="DI45" s="81"/>
      <c r="DJ45" s="204"/>
      <c r="DK45" s="81"/>
      <c r="DL45" s="81" t="s">
        <v>427</v>
      </c>
      <c r="DM45" s="286">
        <f t="shared" si="0"/>
        <v>2.9587171141128452E-2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5.8900000000000001E-2</v>
      </c>
      <c r="DT45" s="291">
        <v>2.2100000000000001E-4</v>
      </c>
      <c r="DU45" s="290">
        <v>266.82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25">DS70</f>
        <v>0.152</v>
      </c>
      <c r="EC45" s="212" t="s">
        <v>392</v>
      </c>
      <c r="EE45" s="160" t="s">
        <v>568</v>
      </c>
      <c r="EF45" s="311" t="s">
        <v>591</v>
      </c>
      <c r="EG45" s="306" t="s">
        <v>434</v>
      </c>
      <c r="EH45" s="160">
        <f>$O$21*$Z$37*$AP$26</f>
        <v>0.87647202782831402</v>
      </c>
      <c r="EI45" s="160" t="s">
        <v>392</v>
      </c>
    </row>
    <row r="46" spans="1:139" ht="15" customHeight="1" thickTop="1" thickBot="1" x14ac:dyDescent="0.35">
      <c r="C46" s="81"/>
      <c r="D46" s="81"/>
      <c r="E46" s="81"/>
      <c r="F46" s="81"/>
      <c r="G46" s="81"/>
      <c r="H46" s="81"/>
      <c r="K46" s="81"/>
      <c r="L46"/>
      <c r="M46"/>
      <c r="N46"/>
      <c r="Q46"/>
      <c r="R46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AP42*0.2</f>
        <v>2.9587171141128452E-2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0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U46" s="81"/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F46" s="81"/>
      <c r="DG46" s="81"/>
      <c r="DH46" s="81"/>
      <c r="DI46" s="81"/>
      <c r="DJ46" s="204"/>
      <c r="DK46" s="81"/>
      <c r="DL46" s="81" t="s">
        <v>428</v>
      </c>
      <c r="DM46" s="286">
        <f t="shared" si="0"/>
        <v>6.3023411142128047E-2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4.2000000000000003E-2</v>
      </c>
      <c r="DT46" s="291">
        <v>1.3300000000000001E-4</v>
      </c>
      <c r="DU46" s="290">
        <v>315.97000000000003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25"/>
        <v>0.83799999999999997</v>
      </c>
      <c r="EC46" s="212" t="s">
        <v>392</v>
      </c>
      <c r="EE46" s="160" t="s">
        <v>568</v>
      </c>
      <c r="EF46" s="311" t="s">
        <v>592</v>
      </c>
      <c r="EG46" s="306" t="s">
        <v>434</v>
      </c>
      <c r="EH46" s="160">
        <f>$O$23*$Z$37*$AP$26</f>
        <v>1.1509228648250589</v>
      </c>
      <c r="EI46" s="160" t="s">
        <v>392</v>
      </c>
    </row>
    <row r="47" spans="1:139" ht="15" customHeight="1" thickTop="1" thickBot="1" x14ac:dyDescent="0.35">
      <c r="B47" s="3"/>
      <c r="C47" s="81"/>
      <c r="D47" s="81"/>
      <c r="E47" s="81"/>
      <c r="F47" s="81"/>
      <c r="G47" s="81"/>
      <c r="H47" s="81"/>
      <c r="K47" s="81"/>
      <c r="L47"/>
      <c r="M47"/>
      <c r="N47"/>
      <c r="Q47"/>
      <c r="R47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AP43*0.2</f>
        <v>6.3023411142128047E-2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0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F47" s="81"/>
      <c r="DG47" s="81"/>
      <c r="DH47" s="81"/>
      <c r="DI47" s="81"/>
      <c r="DJ47" s="204"/>
      <c r="DK47" s="81"/>
      <c r="DL47" s="81" t="s">
        <v>429</v>
      </c>
      <c r="DM47" s="289">
        <f t="shared" si="0"/>
        <v>696.05542725173189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306</v>
      </c>
      <c r="DT47" s="291">
        <v>1.19</v>
      </c>
      <c r="DU47" s="290">
        <v>256.10000000000002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25"/>
        <v>1.56</v>
      </c>
      <c r="EC47" s="212" t="s">
        <v>392</v>
      </c>
      <c r="EE47" s="160" t="s">
        <v>568</v>
      </c>
      <c r="EF47" s="311" t="s">
        <v>593</v>
      </c>
      <c r="EG47" s="306" t="s">
        <v>434</v>
      </c>
      <c r="EH47" s="160">
        <f>$O$24*$Z$37*$AP$26</f>
        <v>1.0092708199235132</v>
      </c>
      <c r="EI47" s="160" t="s">
        <v>392</v>
      </c>
    </row>
    <row r="48" spans="1:139" ht="15" customHeight="1" thickTop="1" thickBot="1" x14ac:dyDescent="0.35">
      <c r="B48" s="3"/>
      <c r="C48" s="81"/>
      <c r="D48" s="81"/>
      <c r="E48" s="81"/>
      <c r="F48" s="81"/>
      <c r="G48" s="81"/>
      <c r="H48" s="81"/>
      <c r="K48" s="81"/>
      <c r="L48"/>
      <c r="M48"/>
      <c r="N48"/>
      <c r="Q48"/>
      <c r="R48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696.05542725173189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0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F48" s="81"/>
      <c r="DG48" s="81"/>
      <c r="DH48" s="81"/>
      <c r="DI48" s="81"/>
      <c r="DJ48" s="204"/>
      <c r="DK48" s="81"/>
      <c r="DL48" s="81" t="s">
        <v>430</v>
      </c>
      <c r="DM48" s="289">
        <f t="shared" si="0"/>
        <v>348.02771362586594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209</v>
      </c>
      <c r="DT48" s="291">
        <v>0.73699999999999999</v>
      </c>
      <c r="DU48" s="290">
        <v>284.02999999999997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25"/>
        <v>0.55100000000000005</v>
      </c>
      <c r="EC48" s="212" t="s">
        <v>392</v>
      </c>
      <c r="EE48" s="160" t="s">
        <v>568</v>
      </c>
      <c r="EF48" s="311" t="s">
        <v>594</v>
      </c>
      <c r="EG48" s="306" t="s">
        <v>434</v>
      </c>
      <c r="EH48" s="160">
        <f>$O$22*$Z$37*$AP$27</f>
        <v>0.29237440622435235</v>
      </c>
      <c r="EI48" s="160" t="s">
        <v>392</v>
      </c>
    </row>
    <row r="49" spans="1:139" ht="15" customHeight="1" thickTop="1" thickBot="1" x14ac:dyDescent="0.35">
      <c r="B49" s="3"/>
      <c r="C49" s="81"/>
      <c r="D49" s="81"/>
      <c r="E49" s="81"/>
      <c r="F49" s="81"/>
      <c r="G49" s="81"/>
      <c r="H49" s="81"/>
      <c r="K49" s="81"/>
      <c r="L49"/>
      <c r="M49"/>
      <c r="N49"/>
      <c r="Q49"/>
      <c r="R49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348.02771362586594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0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F49" s="81"/>
      <c r="DG49" s="81"/>
      <c r="DH49" s="81"/>
      <c r="DI49" s="81"/>
      <c r="DJ49" s="204"/>
      <c r="DK49" s="81"/>
      <c r="DL49" s="81" t="s">
        <v>431</v>
      </c>
      <c r="DM49" s="289">
        <f t="shared" si="0"/>
        <v>696.05542725173189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536</v>
      </c>
      <c r="DT49" s="291">
        <v>2.02</v>
      </c>
      <c r="DU49" s="290">
        <v>265.45999999999998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25"/>
        <v>0.4</v>
      </c>
      <c r="EC49" s="212" t="s">
        <v>392</v>
      </c>
      <c r="EE49" s="160" t="s">
        <v>568</v>
      </c>
      <c r="EF49" s="311" t="s">
        <v>595</v>
      </c>
      <c r="EG49" s="306" t="s">
        <v>434</v>
      </c>
      <c r="EH49" s="160">
        <f>$O$21*$Z$37*$AP$27</f>
        <v>0.26076636230820616</v>
      </c>
      <c r="EI49" s="160" t="s">
        <v>392</v>
      </c>
    </row>
    <row r="50" spans="1:139" ht="15" customHeight="1" thickTop="1" thickBot="1" x14ac:dyDescent="0.35">
      <c r="C50" s="81"/>
      <c r="D50" s="81"/>
      <c r="E50" s="81"/>
      <c r="F50" s="81"/>
      <c r="G50" s="81"/>
      <c r="H50" s="81"/>
      <c r="K50" s="81"/>
      <c r="L50"/>
      <c r="M50"/>
      <c r="N50"/>
      <c r="Q50"/>
      <c r="R50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696.05542725173189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0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F50" s="81"/>
      <c r="DG50" s="81"/>
      <c r="DH50" s="81"/>
      <c r="DI50" s="81"/>
      <c r="DJ50" s="204"/>
      <c r="DK50" s="81"/>
      <c r="DQ50" s="290" t="s">
        <v>506</v>
      </c>
      <c r="DR50" s="290" t="s">
        <v>120</v>
      </c>
      <c r="DS50" s="291">
        <v>200</v>
      </c>
      <c r="DT50" s="291">
        <v>0.37</v>
      </c>
      <c r="DU50" s="290">
        <v>541.83000000000004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25"/>
        <v>0.54900000000000004</v>
      </c>
      <c r="EC50" s="212" t="s">
        <v>392</v>
      </c>
      <c r="EE50" s="160" t="s">
        <v>568</v>
      </c>
      <c r="EF50" s="311" t="s">
        <v>596</v>
      </c>
      <c r="EG50" s="306" t="s">
        <v>434</v>
      </c>
      <c r="EH50" s="160">
        <f>$O$23*$Z$37*$AP$27</f>
        <v>0.34242047575825052</v>
      </c>
      <c r="EI50" s="160" t="s">
        <v>392</v>
      </c>
    </row>
    <row r="51" spans="1:139" ht="15" customHeight="1" thickTop="1" thickBot="1" x14ac:dyDescent="0.35">
      <c r="C51" s="81"/>
      <c r="D51" s="81"/>
      <c r="E51" s="81"/>
      <c r="F51" s="81"/>
      <c r="G51" s="81"/>
      <c r="H51" s="81"/>
      <c r="K51" s="81"/>
      <c r="L51"/>
      <c r="M51"/>
      <c r="N51"/>
      <c r="Q51"/>
      <c r="R5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U51" s="81"/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F51" s="81"/>
      <c r="DG51" s="81"/>
      <c r="DH51" s="81"/>
      <c r="DI51" s="81"/>
      <c r="DJ51" s="204"/>
      <c r="DK51" s="81"/>
      <c r="DQ51" s="290" t="s">
        <v>506</v>
      </c>
      <c r="DR51" s="290" t="s">
        <v>488</v>
      </c>
      <c r="DS51" s="291">
        <v>-6.29</v>
      </c>
      <c r="DT51" s="291">
        <v>1.6899999999999998E-2</v>
      </c>
      <c r="DU51" s="290">
        <v>-372.16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25"/>
        <v>0.25800000000000001</v>
      </c>
      <c r="EC51" s="212" t="s">
        <v>392</v>
      </c>
      <c r="EE51" s="160" t="s">
        <v>568</v>
      </c>
      <c r="EF51" s="311" t="s">
        <v>597</v>
      </c>
      <c r="EG51" s="306" t="s">
        <v>434</v>
      </c>
      <c r="EH51" s="160">
        <f>$O$24*$Z$37*$AP$27</f>
        <v>0.30027641720338893</v>
      </c>
      <c r="EI51" s="160" t="s">
        <v>392</v>
      </c>
    </row>
    <row r="52" spans="1:139" thickTop="1" thickBot="1" x14ac:dyDescent="0.35">
      <c r="C52" s="81"/>
      <c r="D52" s="81"/>
      <c r="E52" s="81"/>
      <c r="F52" s="81"/>
      <c r="G52" s="81"/>
      <c r="H52" s="81"/>
      <c r="K52" s="81"/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3"/>
        <v>UfDN</v>
      </c>
      <c r="DI52" s="81" t="s">
        <v>434</v>
      </c>
      <c r="DJ52" s="204">
        <f t="shared" si="14"/>
        <v>532</v>
      </c>
      <c r="DK52" s="81" t="s">
        <v>392</v>
      </c>
      <c r="DQ52" s="290" t="s">
        <v>506</v>
      </c>
      <c r="DR52" s="290" t="s">
        <v>489</v>
      </c>
      <c r="DS52" s="291">
        <v>-6.8</v>
      </c>
      <c r="DT52" s="291">
        <v>1.6500000000000001E-2</v>
      </c>
      <c r="DU52" s="290">
        <v>-412.24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25"/>
        <v>0.14799999999999999</v>
      </c>
      <c r="EC52" s="212" t="s">
        <v>392</v>
      </c>
      <c r="EE52" s="160" t="s">
        <v>568</v>
      </c>
      <c r="EF52" s="311" t="s">
        <v>598</v>
      </c>
      <c r="EG52" s="306" t="s">
        <v>434</v>
      </c>
      <c r="EH52" s="160">
        <f>$O$22*$Z$37*$AP$28</f>
        <v>7.0504052916479501E-2</v>
      </c>
      <c r="EI52" s="160" t="s">
        <v>392</v>
      </c>
    </row>
    <row r="53" spans="1:139" thickTop="1" thickBot="1" x14ac:dyDescent="0.35">
      <c r="C53" s="81"/>
      <c r="D53" s="81"/>
      <c r="E53" s="81"/>
      <c r="F53" s="81"/>
      <c r="G53" s="81"/>
      <c r="H53" s="81"/>
      <c r="K53" s="81"/>
      <c r="CN53" s="81">
        <v>17</v>
      </c>
      <c r="CO53" s="81"/>
      <c r="CP53" s="81"/>
      <c r="CQ53" s="81"/>
      <c r="CR53" s="81"/>
      <c r="CS53" s="81"/>
      <c r="CT53" s="81"/>
      <c r="CU53" s="81"/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3"/>
        <v>Ufi</v>
      </c>
      <c r="DI53" s="81" t="s">
        <v>434</v>
      </c>
      <c r="DJ53" s="204">
        <f t="shared" si="14"/>
        <v>1</v>
      </c>
      <c r="DK53" s="81" t="s">
        <v>392</v>
      </c>
      <c r="DQ53" s="290" t="s">
        <v>506</v>
      </c>
      <c r="DR53" s="290" t="s">
        <v>490</v>
      </c>
      <c r="DS53" s="291">
        <v>-6.96</v>
      </c>
      <c r="DT53" s="291">
        <v>1.95E-2</v>
      </c>
      <c r="DU53" s="290">
        <v>-358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25"/>
        <v>4.9999999999999998E-7</v>
      </c>
      <c r="EC53" s="212" t="s">
        <v>392</v>
      </c>
      <c r="EE53" s="160" t="s">
        <v>568</v>
      </c>
      <c r="EF53" s="311" t="s">
        <v>599</v>
      </c>
      <c r="EG53" s="306" t="s">
        <v>434</v>
      </c>
      <c r="EH53" s="160">
        <f>$O$21*$Z$37*$AP$28</f>
        <v>6.2881993141724962E-2</v>
      </c>
      <c r="EI53" s="160" t="s">
        <v>392</v>
      </c>
    </row>
    <row r="54" spans="1:139" thickTop="1" thickBot="1" x14ac:dyDescent="0.35">
      <c r="C54" s="81"/>
      <c r="D54" s="81"/>
      <c r="E54" s="81"/>
      <c r="F54" s="81"/>
      <c r="G54" s="81"/>
      <c r="H54" s="81"/>
      <c r="K54" s="81"/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U54" s="81"/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3"/>
        <v>UfND</v>
      </c>
      <c r="DI54" s="81" t="s">
        <v>434</v>
      </c>
      <c r="DJ54" s="204">
        <f t="shared" si="14"/>
        <v>351</v>
      </c>
      <c r="DK54" s="81" t="s">
        <v>392</v>
      </c>
      <c r="DQ54" s="290" t="s">
        <v>506</v>
      </c>
      <c r="DR54" s="290" t="s">
        <v>491</v>
      </c>
      <c r="DS54" s="291">
        <v>-6.17</v>
      </c>
      <c r="DT54" s="291">
        <v>1.46E-2</v>
      </c>
      <c r="DU54" s="290">
        <v>-423.12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25"/>
        <v>0.14199999999999999</v>
      </c>
      <c r="EC54" s="212" t="s">
        <v>392</v>
      </c>
      <c r="EE54" s="160" t="s">
        <v>568</v>
      </c>
      <c r="EF54" s="311" t="s">
        <v>600</v>
      </c>
      <c r="EG54" s="306" t="s">
        <v>434</v>
      </c>
      <c r="EH54" s="160">
        <f>$O$23*$Z$37*$AP$28</f>
        <v>8.2572314226507529E-2</v>
      </c>
      <c r="EI54" s="160" t="s">
        <v>392</v>
      </c>
    </row>
    <row r="55" spans="1:139" thickTop="1" thickBot="1" x14ac:dyDescent="0.35">
      <c r="C55" s="81"/>
      <c r="D55" s="81"/>
      <c r="E55" s="81"/>
      <c r="F55" s="81"/>
      <c r="G55" s="81"/>
      <c r="H55" s="81"/>
      <c r="K55" s="81"/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T55" s="81"/>
      <c r="CU55" s="81"/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3"/>
        <v>UwD</v>
      </c>
      <c r="DI55" s="81" t="s">
        <v>434</v>
      </c>
      <c r="DJ55" s="204">
        <f t="shared" si="14"/>
        <v>61.2</v>
      </c>
      <c r="DK55" s="81" t="s">
        <v>392</v>
      </c>
      <c r="DQ55" s="290" t="s">
        <v>506</v>
      </c>
      <c r="DR55" s="290" t="s">
        <v>492</v>
      </c>
      <c r="DS55" s="291">
        <v>-6.99</v>
      </c>
      <c r="DT55" s="291">
        <v>1.7600000000000001E-2</v>
      </c>
      <c r="DU55" s="290">
        <v>-397.81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25"/>
        <v>0.17399999999999999</v>
      </c>
      <c r="EC55" s="212" t="s">
        <v>392</v>
      </c>
      <c r="EE55" s="160" t="s">
        <v>568</v>
      </c>
      <c r="EF55" s="311" t="s">
        <v>601</v>
      </c>
      <c r="EG55" s="306" t="s">
        <v>434</v>
      </c>
      <c r="EH55" s="160">
        <f>$O$24*$Z$37*$AP$28</f>
        <v>7.2409567860168139E-2</v>
      </c>
      <c r="EI55" s="160" t="s">
        <v>392</v>
      </c>
    </row>
    <row r="56" spans="1:139" thickTop="1" thickBot="1" x14ac:dyDescent="0.35">
      <c r="C56" s="81"/>
      <c r="D56" s="81"/>
      <c r="E56" s="81"/>
      <c r="F56" s="81"/>
      <c r="G56" s="81"/>
      <c r="H56" s="81"/>
      <c r="K56" s="81"/>
      <c r="AO56" s="160" t="s">
        <v>433</v>
      </c>
      <c r="AP56" s="160">
        <f>SUM(AP46,AP14:AP17)</f>
        <v>1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3"/>
        <v>UwN</v>
      </c>
      <c r="DI56" s="81" t="s">
        <v>434</v>
      </c>
      <c r="DJ56" s="204">
        <f t="shared" si="14"/>
        <v>50</v>
      </c>
      <c r="DK56" s="81" t="s">
        <v>392</v>
      </c>
      <c r="DQ56" s="290" t="s">
        <v>506</v>
      </c>
      <c r="DR56" s="290" t="s">
        <v>493</v>
      </c>
      <c r="DS56" s="291">
        <v>7.7600000000000004E-3</v>
      </c>
      <c r="DT56" s="291">
        <v>6.41E-5</v>
      </c>
      <c r="DU56" s="290">
        <v>121.04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25"/>
        <v>1.41</v>
      </c>
      <c r="EC56" s="212" t="s">
        <v>392</v>
      </c>
      <c r="EE56" s="160" t="s">
        <v>568</v>
      </c>
      <c r="EF56" s="311" t="s">
        <v>602</v>
      </c>
      <c r="EG56" s="306" t="s">
        <v>434</v>
      </c>
      <c r="EH56" s="160">
        <f>$O$22*$Z$37*$AP$43</f>
        <v>0.61911047935469488</v>
      </c>
      <c r="EI56" s="160" t="s">
        <v>392</v>
      </c>
    </row>
    <row r="57" spans="1:139" thickTop="1" thickBot="1" x14ac:dyDescent="0.35">
      <c r="A57" s="328" t="s">
        <v>611</v>
      </c>
      <c r="B57" s="328"/>
      <c r="C57" s="329"/>
      <c r="D57" s="329"/>
      <c r="E57" s="329"/>
      <c r="F57" s="81"/>
      <c r="G57" s="81"/>
      <c r="H57" s="81"/>
      <c r="K57" s="81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F57" s="81"/>
      <c r="DG57" s="81"/>
      <c r="DH57" s="81"/>
      <c r="DI57" s="81"/>
      <c r="DJ57" s="204"/>
      <c r="DK57" s="81"/>
      <c r="DQ57" s="290" t="s">
        <v>506</v>
      </c>
      <c r="DR57" s="290" t="s">
        <v>494</v>
      </c>
      <c r="DS57" s="291">
        <v>79</v>
      </c>
      <c r="DT57" s="291">
        <v>0.44</v>
      </c>
      <c r="DU57" s="290">
        <v>179.38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25"/>
        <v>1.79</v>
      </c>
      <c r="EC57" s="212" t="s">
        <v>392</v>
      </c>
      <c r="EE57" s="160" t="s">
        <v>568</v>
      </c>
      <c r="EF57" s="311" t="s">
        <v>603</v>
      </c>
      <c r="EG57" s="306" t="s">
        <v>434</v>
      </c>
      <c r="EH57" s="160">
        <f>$O$21*$Z$37*$AP$43</f>
        <v>0.55217961672175497</v>
      </c>
      <c r="EI57" s="160" t="s">
        <v>392</v>
      </c>
    </row>
    <row r="58" spans="1:139" thickTop="1" thickBot="1" x14ac:dyDescent="0.35">
      <c r="A58" s="330" t="s">
        <v>122</v>
      </c>
      <c r="B58" s="331">
        <f>B4*1008*1.204*5</f>
        <v>4311427.68</v>
      </c>
      <c r="C58" s="331">
        <f>B34*1008*1.204*5</f>
        <v>2315890.7197523224</v>
      </c>
      <c r="D58" s="331">
        <f>B58-C58</f>
        <v>1995536.9602476773</v>
      </c>
      <c r="E58" s="329"/>
      <c r="K58" s="81"/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F58" s="81"/>
      <c r="DG58" s="81"/>
      <c r="DH58" s="81"/>
      <c r="DI58" s="81"/>
      <c r="DJ58" s="204"/>
      <c r="DK58" s="81"/>
      <c r="DQ58" s="290" t="s">
        <v>506</v>
      </c>
      <c r="DR58" s="290" t="s">
        <v>495</v>
      </c>
      <c r="DS58" s="291">
        <v>9940</v>
      </c>
      <c r="DT58" s="291">
        <v>172</v>
      </c>
      <c r="DU58" s="290">
        <v>57.73</v>
      </c>
      <c r="DV58" s="291" t="s">
        <v>509</v>
      </c>
      <c r="DW58" s="291">
        <v>2E-16</v>
      </c>
      <c r="DX58" s="81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25"/>
        <v>1.41</v>
      </c>
      <c r="EC58" s="212" t="s">
        <v>392</v>
      </c>
      <c r="EE58" s="160" t="s">
        <v>568</v>
      </c>
      <c r="EF58" s="311" t="s">
        <v>604</v>
      </c>
      <c r="EG58" s="306" t="s">
        <v>434</v>
      </c>
      <c r="EH58" s="160">
        <f>$O$23*$Z$37*$AP$43</f>
        <v>0.72508434519018328</v>
      </c>
      <c r="EI58" s="160" t="s">
        <v>392</v>
      </c>
    </row>
    <row r="59" spans="1:139" thickTop="1" thickBot="1" x14ac:dyDescent="0.35">
      <c r="A59" s="330" t="s">
        <v>152</v>
      </c>
      <c r="B59" s="332">
        <f>'Tabula data'!B21</f>
        <v>1.2730693424117541</v>
      </c>
      <c r="C59" s="332">
        <f>B59</f>
        <v>1.2730693424117541</v>
      </c>
      <c r="D59" s="332">
        <f>B59</f>
        <v>1.2730693424117541</v>
      </c>
      <c r="E59" s="329"/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F59" s="81"/>
      <c r="DG59" s="81"/>
      <c r="DH59" s="81"/>
      <c r="DI59" s="81"/>
      <c r="DJ59" s="204"/>
      <c r="DK59" s="81"/>
      <c r="DQ59" s="290" t="s">
        <v>506</v>
      </c>
      <c r="DR59" s="290" t="s">
        <v>496</v>
      </c>
      <c r="DS59" s="291">
        <v>69.099999999999994</v>
      </c>
      <c r="DT59" s="291">
        <v>1.21</v>
      </c>
      <c r="DU59" s="290">
        <v>56.88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25"/>
        <v>0.48099999999999998</v>
      </c>
      <c r="EC59" s="212" t="s">
        <v>392</v>
      </c>
      <c r="EE59" s="160" t="s">
        <v>568</v>
      </c>
      <c r="EF59" s="311" t="s">
        <v>605</v>
      </c>
      <c r="EG59" s="306" t="s">
        <v>434</v>
      </c>
      <c r="EH59" s="160">
        <f>$O$24*$Z$37*$AP$43</f>
        <v>0.63584319501292996</v>
      </c>
      <c r="EI59" s="160" t="s">
        <v>392</v>
      </c>
    </row>
    <row r="60" spans="1:139" thickTop="1" thickBot="1" x14ac:dyDescent="0.35">
      <c r="A60" s="330" t="s">
        <v>612</v>
      </c>
      <c r="B60" s="331">
        <f>SUM(S6:S28)</f>
        <v>220503830.65999997</v>
      </c>
      <c r="C60" s="331">
        <f>SUM(S6:S14,S16,S26/2,S27)</f>
        <v>170638018.13315001</v>
      </c>
      <c r="D60" s="331">
        <f>SUM(S17:S25,S26/2,S28)</f>
        <v>49865812.52685</v>
      </c>
      <c r="E60" s="329"/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F60" s="81"/>
      <c r="DG60" s="81"/>
      <c r="DH60" s="81"/>
      <c r="DI60" s="81"/>
      <c r="DJ60" s="204"/>
      <c r="DK60" s="81"/>
      <c r="DZ60" s="297"/>
      <c r="EA60" s="292"/>
      <c r="EB60" s="293"/>
      <c r="EE60" s="160"/>
      <c r="EF60" s="311"/>
      <c r="EG60" s="306"/>
      <c r="EH60" s="160"/>
      <c r="EI60" s="160"/>
    </row>
    <row r="61" spans="1:139" thickTop="1" thickBot="1" x14ac:dyDescent="0.35">
      <c r="A61" s="330" t="s">
        <v>613</v>
      </c>
      <c r="B61" s="330">
        <f>Z18</f>
        <v>0.1</v>
      </c>
      <c r="C61" s="330">
        <f>B61</f>
        <v>0.1</v>
      </c>
      <c r="D61" s="330">
        <f>C61</f>
        <v>0.1</v>
      </c>
      <c r="E61" s="329"/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F61" s="81"/>
      <c r="DG61" s="81"/>
      <c r="DH61" s="81"/>
      <c r="DI61" s="81"/>
      <c r="DJ61" s="204"/>
      <c r="DK61" s="81"/>
      <c r="DY61" s="212" t="s">
        <v>568</v>
      </c>
      <c r="DZ61" s="297" t="s">
        <v>413</v>
      </c>
      <c r="EA61" s="292" t="s">
        <v>434</v>
      </c>
      <c r="EB61" s="293">
        <f>DS86</f>
        <v>2090000</v>
      </c>
      <c r="EC61" s="212" t="s">
        <v>392</v>
      </c>
      <c r="EE61" s="160" t="s">
        <v>568</v>
      </c>
      <c r="EF61" s="311" t="s">
        <v>413</v>
      </c>
      <c r="EG61" s="306" t="s">
        <v>434</v>
      </c>
      <c r="EH61" s="310">
        <f>AP30</f>
        <v>1730559.7907120739</v>
      </c>
      <c r="EI61" s="160" t="s">
        <v>392</v>
      </c>
    </row>
    <row r="62" spans="1:139" thickTop="1" thickBot="1" x14ac:dyDescent="0.35">
      <c r="A62" s="330" t="s">
        <v>614</v>
      </c>
      <c r="B62" s="330">
        <f>0.15</f>
        <v>0.15</v>
      </c>
      <c r="C62" s="330">
        <f>B62</f>
        <v>0.15</v>
      </c>
      <c r="D62" s="330">
        <f>C62</f>
        <v>0.15</v>
      </c>
      <c r="E62" s="329"/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F62" s="81"/>
      <c r="DG62" s="81"/>
      <c r="DH62" s="81"/>
      <c r="DI62" s="81"/>
      <c r="DJ62" s="204"/>
      <c r="DK62" s="81"/>
      <c r="DQ62" s="290" t="s">
        <v>506</v>
      </c>
      <c r="DR62" s="290" t="s">
        <v>497</v>
      </c>
      <c r="DS62" s="290" t="s">
        <v>558</v>
      </c>
      <c r="DX62" s="81"/>
      <c r="DY62" s="212" t="s">
        <v>568</v>
      </c>
      <c r="DZ62" s="297" t="s">
        <v>414</v>
      </c>
      <c r="EA62" s="292" t="s">
        <v>434</v>
      </c>
      <c r="EB62" s="293">
        <f t="shared" ref="EB62:EB63" si="26">DS87</f>
        <v>3770000</v>
      </c>
      <c r="EC62" s="212" t="s">
        <v>392</v>
      </c>
      <c r="EE62" s="160" t="s">
        <v>568</v>
      </c>
      <c r="EF62" s="311" t="s">
        <v>414</v>
      </c>
      <c r="EG62" s="306" t="s">
        <v>434</v>
      </c>
      <c r="EH62" s="310">
        <f>AP31</f>
        <v>7323865.7100000009</v>
      </c>
      <c r="EI62" s="160" t="s">
        <v>392</v>
      </c>
    </row>
    <row r="63" spans="1:139" thickTop="1" thickBot="1" x14ac:dyDescent="0.35">
      <c r="A63" s="330" t="s">
        <v>615</v>
      </c>
      <c r="B63" s="330">
        <v>1</v>
      </c>
      <c r="C63" s="330">
        <v>1</v>
      </c>
      <c r="D63" s="330">
        <v>1</v>
      </c>
      <c r="E63" s="329"/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290" t="s">
        <v>506</v>
      </c>
      <c r="DR63" s="290" t="s">
        <v>499</v>
      </c>
      <c r="DX63" s="81"/>
      <c r="DY63" s="212" t="s">
        <v>568</v>
      </c>
      <c r="DZ63" s="297" t="s">
        <v>415</v>
      </c>
      <c r="EA63" s="292" t="s">
        <v>434</v>
      </c>
      <c r="EB63" s="293">
        <f t="shared" si="26"/>
        <v>4270000</v>
      </c>
      <c r="EC63" s="212" t="s">
        <v>392</v>
      </c>
      <c r="EE63" s="160" t="s">
        <v>568</v>
      </c>
      <c r="EF63" s="311" t="s">
        <v>415</v>
      </c>
      <c r="EG63" s="306" t="s">
        <v>434</v>
      </c>
      <c r="EH63" s="310">
        <f>AP32</f>
        <v>5574674.700000002</v>
      </c>
      <c r="EI63" s="160" t="s">
        <v>392</v>
      </c>
    </row>
    <row r="64" spans="1:139" thickTop="1" thickBot="1" x14ac:dyDescent="0.35">
      <c r="A64" s="330" t="s">
        <v>616</v>
      </c>
      <c r="B64" s="332">
        <f>C64+D64</f>
        <v>550.22770017581115</v>
      </c>
      <c r="C64" s="332">
        <f>'Verwarming Tabula 2zone'!B42+'Verwarming Tabula 2zone'!B60</f>
        <v>356.13589337839181</v>
      </c>
      <c r="D64" s="332">
        <f>'Verwarming Tabula 2zone'!B121+'Verwarming Tabula 2zone'!B139</f>
        <v>194.09180679741939</v>
      </c>
      <c r="E64" s="329"/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DX64" s="81"/>
      <c r="EA64" s="292"/>
      <c r="EE64" s="160"/>
      <c r="EF64" s="160"/>
      <c r="EG64" s="306"/>
      <c r="EH64" s="160"/>
      <c r="EI64" s="160"/>
    </row>
    <row r="65" spans="1:139" thickTop="1" thickBot="1" x14ac:dyDescent="0.35">
      <c r="A65" s="330" t="s">
        <v>617</v>
      </c>
      <c r="B65" s="331">
        <f>B64/B60</f>
        <v>2.495320369396304E-6</v>
      </c>
      <c r="C65" s="331">
        <f t="shared" ref="C65:D65" si="27">C64/C60</f>
        <v>2.0870840934198879E-6</v>
      </c>
      <c r="D65" s="331">
        <f t="shared" si="27"/>
        <v>3.8922820457986445E-6</v>
      </c>
      <c r="E65" s="329"/>
      <c r="DQ65" s="290" t="s">
        <v>506</v>
      </c>
      <c r="DR65" s="290" t="s">
        <v>465</v>
      </c>
      <c r="DS65" s="291">
        <v>292</v>
      </c>
      <c r="DT65" s="291">
        <v>3.5499999999999997E-2</v>
      </c>
      <c r="DU65" s="290">
        <v>8213.9</v>
      </c>
      <c r="DV65" s="290" t="s">
        <v>505</v>
      </c>
      <c r="DW65" s="291" t="s">
        <v>510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0.161</v>
      </c>
      <c r="EC65" s="212" t="s">
        <v>392</v>
      </c>
      <c r="EE65" s="160" t="s">
        <v>568</v>
      </c>
      <c r="EF65" s="311" t="s">
        <v>416</v>
      </c>
      <c r="EG65" s="306" t="s">
        <v>434</v>
      </c>
      <c r="EH65" s="160">
        <f>AP33</f>
        <v>0.10003675487397296</v>
      </c>
      <c r="EI65" s="160" t="s">
        <v>392</v>
      </c>
    </row>
    <row r="66" spans="1:139" thickTop="1" thickBot="1" x14ac:dyDescent="0.35">
      <c r="A66" s="330" t="s">
        <v>618</v>
      </c>
      <c r="B66" s="330">
        <v>2</v>
      </c>
      <c r="C66" s="330">
        <v>2</v>
      </c>
      <c r="D66" s="330">
        <v>2</v>
      </c>
      <c r="E66" s="329"/>
      <c r="DQ66" s="290" t="s">
        <v>506</v>
      </c>
      <c r="DR66" s="290" t="s">
        <v>466</v>
      </c>
      <c r="DS66" s="291">
        <v>288</v>
      </c>
      <c r="DT66" s="291">
        <v>0.123</v>
      </c>
      <c r="DU66" s="290">
        <v>2330.59</v>
      </c>
      <c r="DV66" s="290" t="s">
        <v>505</v>
      </c>
      <c r="DW66" s="291" t="s">
        <v>510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28">DS94</f>
        <v>4.2799999999999998E-2</v>
      </c>
      <c r="EC66" s="212" t="s">
        <v>392</v>
      </c>
      <c r="EE66" s="160" t="s">
        <v>568</v>
      </c>
      <c r="EF66" s="311" t="s">
        <v>417</v>
      </c>
      <c r="EG66" s="306" t="s">
        <v>434</v>
      </c>
      <c r="EH66" s="160">
        <f>AP34</f>
        <v>2.976275321671017E-2</v>
      </c>
      <c r="EI66" s="160" t="s">
        <v>392</v>
      </c>
    </row>
    <row r="67" spans="1:139" thickTop="1" thickBot="1" x14ac:dyDescent="0.35">
      <c r="A67" s="330"/>
      <c r="B67" s="330"/>
      <c r="C67" s="330"/>
      <c r="D67" s="330"/>
      <c r="E67" s="329"/>
      <c r="DQ67" s="290" t="s">
        <v>506</v>
      </c>
      <c r="DR67" s="290" t="s">
        <v>467</v>
      </c>
      <c r="DS67" s="291">
        <v>293</v>
      </c>
      <c r="DT67" s="291">
        <v>5.7700000000000001E-2</v>
      </c>
      <c r="DU67" s="290">
        <v>5068.45</v>
      </c>
      <c r="DV67" s="290" t="s">
        <v>505</v>
      </c>
      <c r="DW67" s="291" t="s">
        <v>510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28"/>
        <v>0.69599999999999995</v>
      </c>
      <c r="EC67" s="212" t="s">
        <v>392</v>
      </c>
      <c r="EE67" s="160" t="s">
        <v>568</v>
      </c>
      <c r="EF67" s="311" t="s">
        <v>418</v>
      </c>
      <c r="EG67" s="306" t="s">
        <v>434</v>
      </c>
      <c r="EH67" s="160">
        <f>$AP35</f>
        <v>0.80717708076718886</v>
      </c>
      <c r="EI67" s="160" t="s">
        <v>392</v>
      </c>
    </row>
    <row r="68" spans="1:139" thickTop="1" thickBot="1" x14ac:dyDescent="0.35">
      <c r="A68" s="329"/>
      <c r="B68" s="329"/>
      <c r="C68" s="329"/>
      <c r="D68" s="329"/>
      <c r="E68" s="329"/>
      <c r="DQ68" s="290" t="s">
        <v>506</v>
      </c>
      <c r="DR68" s="290" t="s">
        <v>468</v>
      </c>
      <c r="DS68" s="291">
        <v>295</v>
      </c>
      <c r="DT68" s="291">
        <v>8.5000000000000006E-2</v>
      </c>
      <c r="DU68" s="290">
        <v>3470.15</v>
      </c>
      <c r="DV68" s="290" t="s">
        <v>505</v>
      </c>
      <c r="DW68" s="291" t="s">
        <v>510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28"/>
        <v>8.8700000000000001E-2</v>
      </c>
      <c r="EC68" s="212" t="s">
        <v>392</v>
      </c>
      <c r="EE68" s="160" t="s">
        <v>568</v>
      </c>
      <c r="EF68" s="311" t="s">
        <v>519</v>
      </c>
      <c r="EG68" s="306" t="s">
        <v>434</v>
      </c>
      <c r="EH68" s="160">
        <f>$AP47</f>
        <v>6.3023411142128047E-2</v>
      </c>
      <c r="EI68" s="160" t="s">
        <v>392</v>
      </c>
    </row>
    <row r="69" spans="1:139" thickTop="1" thickBot="1" x14ac:dyDescent="0.35">
      <c r="A69" s="329"/>
      <c r="B69" s="329"/>
      <c r="C69" s="329"/>
      <c r="D69" s="329"/>
      <c r="E69" s="329"/>
      <c r="DQ69" s="290" t="s">
        <v>506</v>
      </c>
      <c r="DR69" s="290" t="s">
        <v>541</v>
      </c>
      <c r="DS69" s="291">
        <v>8.5199999999999995E-7</v>
      </c>
      <c r="DT69" s="291">
        <v>5.8199999999999998E-5</v>
      </c>
      <c r="DU69" s="290">
        <v>0.01</v>
      </c>
      <c r="DV69" s="291">
        <v>0.98829999999999996</v>
      </c>
      <c r="DX69" s="81"/>
      <c r="EA69" s="292"/>
      <c r="EE69" s="160"/>
      <c r="EF69" s="160"/>
      <c r="EG69" s="306"/>
      <c r="EH69" s="160"/>
      <c r="EI69" s="160"/>
    </row>
    <row r="70" spans="1:139" thickTop="1" thickBot="1" x14ac:dyDescent="0.35">
      <c r="DQ70" s="290" t="s">
        <v>506</v>
      </c>
      <c r="DR70" s="290" t="s">
        <v>410</v>
      </c>
      <c r="DS70" s="291">
        <v>0.152</v>
      </c>
      <c r="DT70" s="291">
        <v>0.152</v>
      </c>
      <c r="DU70" s="290">
        <v>1</v>
      </c>
      <c r="DV70" s="290">
        <v>0.31769999999999998</v>
      </c>
      <c r="DX70" s="81"/>
      <c r="DY70" s="212" t="s">
        <v>568</v>
      </c>
      <c r="DZ70" s="297" t="s">
        <v>419</v>
      </c>
      <c r="EA70" s="292" t="s">
        <v>434</v>
      </c>
      <c r="EB70" s="293">
        <f>DS97</f>
        <v>228</v>
      </c>
      <c r="EC70" s="212" t="s">
        <v>392</v>
      </c>
      <c r="EE70" s="160" t="s">
        <v>568</v>
      </c>
      <c r="EF70" s="311" t="s">
        <v>419</v>
      </c>
      <c r="EG70" s="306" t="s">
        <v>434</v>
      </c>
      <c r="EH70" s="160">
        <f>$AP37</f>
        <v>192.60043361958299</v>
      </c>
      <c r="EI70" s="160" t="s">
        <v>392</v>
      </c>
    </row>
    <row r="71" spans="1:139" thickTop="1" thickBot="1" x14ac:dyDescent="0.35">
      <c r="DQ71" s="290" t="s">
        <v>506</v>
      </c>
      <c r="DR71" s="290" t="s">
        <v>542</v>
      </c>
      <c r="DS71" s="291">
        <v>0.83799999999999997</v>
      </c>
      <c r="DT71" s="291">
        <v>4.48E-2</v>
      </c>
      <c r="DU71" s="290">
        <v>18.690000000000001</v>
      </c>
      <c r="DV71" s="290" t="s">
        <v>505</v>
      </c>
      <c r="DW71" s="291" t="s">
        <v>510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29">DS98</f>
        <v>87.4</v>
      </c>
      <c r="EC71" s="212" t="s">
        <v>392</v>
      </c>
      <c r="EE71" s="160" t="s">
        <v>568</v>
      </c>
      <c r="EF71" s="311" t="s">
        <v>420</v>
      </c>
      <c r="EG71" s="306" t="s">
        <v>434</v>
      </c>
      <c r="EH71" s="160">
        <f>$AP38</f>
        <v>98.069903536977506</v>
      </c>
      <c r="EI71" s="160" t="s">
        <v>392</v>
      </c>
    </row>
    <row r="72" spans="1:139" thickTop="1" thickBot="1" x14ac:dyDescent="0.35">
      <c r="DQ72" s="290" t="s">
        <v>506</v>
      </c>
      <c r="DR72" s="290" t="s">
        <v>543</v>
      </c>
      <c r="DS72" s="291">
        <v>1.56</v>
      </c>
      <c r="DT72" s="291">
        <v>3.6299999999999999E-2</v>
      </c>
      <c r="DU72" s="290">
        <v>42.88</v>
      </c>
      <c r="DV72" s="290" t="s">
        <v>505</v>
      </c>
      <c r="DW72" s="291" t="s">
        <v>510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29"/>
        <v>87.6</v>
      </c>
      <c r="EC72" s="212" t="s">
        <v>392</v>
      </c>
      <c r="EE72" s="160" t="s">
        <v>568</v>
      </c>
      <c r="EF72" s="311" t="s">
        <v>421</v>
      </c>
      <c r="EG72" s="306" t="s">
        <v>434</v>
      </c>
      <c r="EH72" s="161">
        <f>$AP39</f>
        <v>100.36638947368422</v>
      </c>
      <c r="EI72" s="160" t="s">
        <v>392</v>
      </c>
    </row>
    <row r="73" spans="1:139" thickTop="1" thickBot="1" x14ac:dyDescent="0.35">
      <c r="DQ73" s="290" t="s">
        <v>506</v>
      </c>
      <c r="DR73" s="290" t="s">
        <v>544</v>
      </c>
      <c r="DS73" s="291">
        <v>0.55100000000000005</v>
      </c>
      <c r="DT73" s="291">
        <v>2.1999999999999999E-2</v>
      </c>
      <c r="DU73" s="290">
        <v>25.06</v>
      </c>
      <c r="DV73" s="290" t="s">
        <v>505</v>
      </c>
      <c r="DW73" s="291" t="s">
        <v>510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196.85039370078738</v>
      </c>
      <c r="EC73" s="212" t="s">
        <v>392</v>
      </c>
      <c r="EE73" s="160" t="s">
        <v>568</v>
      </c>
      <c r="EF73" s="311" t="s">
        <v>422</v>
      </c>
      <c r="EG73" s="306" t="s">
        <v>434</v>
      </c>
      <c r="EH73" s="160">
        <f>$AP40</f>
        <v>728.53719184759279</v>
      </c>
      <c r="EI73" s="160" t="s">
        <v>392</v>
      </c>
    </row>
    <row r="74" spans="1:139" thickTop="1" thickBot="1" x14ac:dyDescent="0.35">
      <c r="DQ74" s="290" t="s">
        <v>506</v>
      </c>
      <c r="DR74" s="290" t="s">
        <v>411</v>
      </c>
      <c r="DS74" s="291">
        <v>0.4</v>
      </c>
      <c r="DT74" s="291">
        <v>4.7899999999999998E-2</v>
      </c>
      <c r="DU74" s="290">
        <v>8.35</v>
      </c>
      <c r="DV74" s="291" t="s">
        <v>505</v>
      </c>
      <c r="DW74" s="290" t="s">
        <v>510</v>
      </c>
      <c r="DX74" s="81"/>
      <c r="EA74" s="292"/>
      <c r="EE74" s="160"/>
      <c r="EF74" s="160"/>
      <c r="EG74" s="306"/>
      <c r="EH74" s="160"/>
      <c r="EI74" s="160"/>
    </row>
    <row r="75" spans="1:139" thickTop="1" thickBot="1" x14ac:dyDescent="0.35">
      <c r="DQ75" s="290" t="s">
        <v>506</v>
      </c>
      <c r="DR75" s="290" t="s">
        <v>545</v>
      </c>
      <c r="DS75" s="291">
        <v>0.54900000000000004</v>
      </c>
      <c r="DT75" s="291">
        <v>9.9600000000000001E-3</v>
      </c>
      <c r="DU75" s="290">
        <v>55.15</v>
      </c>
      <c r="DV75" s="290" t="s">
        <v>505</v>
      </c>
      <c r="DW75" s="291" t="s">
        <v>510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992000000</v>
      </c>
      <c r="EC75" s="212" t="s">
        <v>392</v>
      </c>
      <c r="EE75" s="160" t="s">
        <v>568</v>
      </c>
      <c r="EF75" s="311" t="s">
        <v>515</v>
      </c>
      <c r="EG75" s="306" t="s">
        <v>434</v>
      </c>
      <c r="EH75" s="160">
        <f>$AP44</f>
        <v>27839291.999999993</v>
      </c>
      <c r="EI75" s="160" t="s">
        <v>392</v>
      </c>
    </row>
    <row r="76" spans="1:139" thickTop="1" thickBot="1" x14ac:dyDescent="0.35">
      <c r="DQ76" s="290" t="s">
        <v>506</v>
      </c>
      <c r="DR76" s="290" t="s">
        <v>546</v>
      </c>
      <c r="DS76" s="291">
        <v>0.25800000000000001</v>
      </c>
      <c r="DT76" s="291">
        <v>7.9699999999999997E-3</v>
      </c>
      <c r="DU76" s="290">
        <v>32.36</v>
      </c>
      <c r="DV76" s="290" t="s">
        <v>505</v>
      </c>
      <c r="DW76" s="291" t="s">
        <v>510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996000000</v>
      </c>
      <c r="EC76" s="212" t="s">
        <v>392</v>
      </c>
      <c r="EE76" s="160" t="s">
        <v>568</v>
      </c>
      <c r="EF76" s="311" t="s">
        <v>426</v>
      </c>
      <c r="EG76" s="306" t="s">
        <v>434</v>
      </c>
      <c r="EH76" s="160">
        <f>$AP45</f>
        <v>27839291.999999993</v>
      </c>
      <c r="EI76" s="160" t="s">
        <v>392</v>
      </c>
    </row>
    <row r="77" spans="1:139" thickTop="1" thickBot="1" x14ac:dyDescent="0.35">
      <c r="DQ77" s="290" t="s">
        <v>506</v>
      </c>
      <c r="DR77" s="290" t="s">
        <v>547</v>
      </c>
      <c r="DS77" s="291">
        <v>0.14799999999999999</v>
      </c>
      <c r="DT77" s="291">
        <v>0.121</v>
      </c>
      <c r="DU77" s="290">
        <v>1.22</v>
      </c>
      <c r="DV77" s="290">
        <v>0.22389999999999999</v>
      </c>
      <c r="DX77" s="81"/>
      <c r="DY77" s="212" t="s">
        <v>568</v>
      </c>
      <c r="DZ77" s="297" t="s">
        <v>429</v>
      </c>
      <c r="EA77" s="292" t="s">
        <v>434</v>
      </c>
      <c r="EB77" s="293">
        <f>DS124</f>
        <v>74.400000000000006</v>
      </c>
      <c r="EC77" s="212" t="s">
        <v>392</v>
      </c>
      <c r="EE77" s="160" t="s">
        <v>568</v>
      </c>
      <c r="EF77" s="311" t="s">
        <v>429</v>
      </c>
      <c r="EG77" s="306" t="s">
        <v>434</v>
      </c>
      <c r="EH77" s="160">
        <f>$AP48</f>
        <v>696.05542725173189</v>
      </c>
      <c r="EI77" s="160" t="s">
        <v>392</v>
      </c>
    </row>
    <row r="78" spans="1:139" thickTop="1" thickBot="1" x14ac:dyDescent="0.35">
      <c r="DQ78" s="290" t="s">
        <v>506</v>
      </c>
      <c r="DR78" s="290" t="s">
        <v>412</v>
      </c>
      <c r="DS78" s="291">
        <v>4.9999999999999998E-7</v>
      </c>
      <c r="DT78" s="291">
        <v>2.9300000000000001E-5</v>
      </c>
      <c r="DU78" s="290">
        <v>0.02</v>
      </c>
      <c r="DV78" s="290">
        <v>0.98640000000000005</v>
      </c>
      <c r="DX78" s="81"/>
      <c r="DY78" s="212" t="s">
        <v>568</v>
      </c>
      <c r="DZ78" s="297" t="s">
        <v>430</v>
      </c>
      <c r="EA78" s="292" t="s">
        <v>434</v>
      </c>
      <c r="EB78" s="293">
        <f t="shared" ref="EB78:EB79" si="30">DS125</f>
        <v>388</v>
      </c>
      <c r="EC78" s="212" t="s">
        <v>392</v>
      </c>
      <c r="EE78" s="160" t="s">
        <v>568</v>
      </c>
      <c r="EF78" s="311" t="s">
        <v>430</v>
      </c>
      <c r="EG78" s="306" t="s">
        <v>434</v>
      </c>
      <c r="EH78" s="160">
        <f>$AP49</f>
        <v>348.02771362586594</v>
      </c>
      <c r="EI78" s="160" t="s">
        <v>392</v>
      </c>
    </row>
    <row r="79" spans="1:139" thickTop="1" thickBot="1" x14ac:dyDescent="0.35">
      <c r="DQ79" s="290" t="s">
        <v>506</v>
      </c>
      <c r="DR79" s="290" t="s">
        <v>548</v>
      </c>
      <c r="DS79" s="291">
        <v>0.14199999999999999</v>
      </c>
      <c r="DT79" s="291">
        <v>6.2700000000000006E-2</v>
      </c>
      <c r="DU79" s="290">
        <v>2.27</v>
      </c>
      <c r="DV79" s="290">
        <v>2.3099999999999999E-2</v>
      </c>
      <c r="DW79" s="290" t="s">
        <v>511</v>
      </c>
      <c r="DX79" s="81"/>
      <c r="DY79" s="212" t="s">
        <v>568</v>
      </c>
      <c r="DZ79" s="297" t="s">
        <v>431</v>
      </c>
      <c r="EA79" s="292" t="s">
        <v>434</v>
      </c>
      <c r="EB79" s="293">
        <f t="shared" si="30"/>
        <v>184</v>
      </c>
      <c r="EC79" s="212" t="s">
        <v>392</v>
      </c>
      <c r="EE79" s="160" t="s">
        <v>568</v>
      </c>
      <c r="EF79" s="311" t="s">
        <v>431</v>
      </c>
      <c r="EG79" s="306" t="s">
        <v>434</v>
      </c>
      <c r="EH79" s="160">
        <f>$AP50</f>
        <v>696.05542725173189</v>
      </c>
      <c r="EI79" s="160" t="s">
        <v>392</v>
      </c>
    </row>
    <row r="80" spans="1:139" thickTop="1" thickBot="1" x14ac:dyDescent="0.35">
      <c r="DQ80" s="290" t="s">
        <v>506</v>
      </c>
      <c r="DR80" s="290" t="s">
        <v>549</v>
      </c>
      <c r="DS80" s="291">
        <v>0.17399999999999999</v>
      </c>
      <c r="DT80" s="291">
        <v>5.3199999999999997E-2</v>
      </c>
      <c r="DU80" s="290">
        <v>3.28</v>
      </c>
      <c r="DV80" s="290">
        <v>1.1000000000000001E-3</v>
      </c>
      <c r="DW80" s="290" t="s">
        <v>516</v>
      </c>
      <c r="DX80" s="81"/>
    </row>
    <row r="81" spans="121:128" thickTop="1" thickBot="1" x14ac:dyDescent="0.35">
      <c r="DQ81" s="290" t="s">
        <v>506</v>
      </c>
      <c r="DR81" s="290" t="s">
        <v>550</v>
      </c>
      <c r="DS81" s="291">
        <v>1.41</v>
      </c>
      <c r="DT81" s="291">
        <v>6.2399999999999997E-2</v>
      </c>
      <c r="DU81" s="290">
        <v>22.65</v>
      </c>
      <c r="DV81" s="290" t="s">
        <v>505</v>
      </c>
      <c r="DW81" s="291" t="s">
        <v>510</v>
      </c>
      <c r="DX81" s="81" t="s">
        <v>510</v>
      </c>
    </row>
    <row r="82" spans="121:128" thickTop="1" thickBot="1" x14ac:dyDescent="0.35">
      <c r="DQ82" s="290" t="s">
        <v>506</v>
      </c>
      <c r="DR82" s="290" t="s">
        <v>551</v>
      </c>
      <c r="DS82" s="291">
        <v>1.79</v>
      </c>
      <c r="DT82" s="291">
        <v>0.121</v>
      </c>
      <c r="DU82" s="290">
        <v>14.87</v>
      </c>
      <c r="DV82" s="290" t="s">
        <v>505</v>
      </c>
      <c r="DW82" s="291" t="s">
        <v>510</v>
      </c>
      <c r="DX82" s="81" t="s">
        <v>510</v>
      </c>
    </row>
    <row r="83" spans="121:128" thickTop="1" thickBot="1" x14ac:dyDescent="0.35">
      <c r="DQ83" s="290" t="s">
        <v>506</v>
      </c>
      <c r="DR83" s="290" t="s">
        <v>552</v>
      </c>
      <c r="DS83" s="291">
        <v>1.41</v>
      </c>
      <c r="DT83" s="291">
        <v>2.8799999999999999E-2</v>
      </c>
      <c r="DU83" s="290">
        <v>49.09</v>
      </c>
      <c r="DV83" s="290" t="s">
        <v>505</v>
      </c>
      <c r="DW83" s="291" t="s">
        <v>510</v>
      </c>
      <c r="DX83" s="81" t="s">
        <v>510</v>
      </c>
    </row>
    <row r="84" spans="121:128" thickTop="1" thickBot="1" x14ac:dyDescent="0.35">
      <c r="DQ84" s="290" t="s">
        <v>506</v>
      </c>
      <c r="DR84" s="290" t="s">
        <v>553</v>
      </c>
      <c r="DS84" s="291">
        <v>0.48099999999999998</v>
      </c>
      <c r="DT84" s="291">
        <v>2.3900000000000001E-2</v>
      </c>
      <c r="DU84" s="290">
        <v>20.12</v>
      </c>
      <c r="DV84" s="291" t="s">
        <v>505</v>
      </c>
      <c r="DW84" s="290" t="s">
        <v>510</v>
      </c>
      <c r="DX84" s="81"/>
    </row>
    <row r="85" spans="121:128" thickTop="1" thickBot="1" x14ac:dyDescent="0.35">
      <c r="DQ85" s="290" t="s">
        <v>506</v>
      </c>
      <c r="DR85" s="290" t="s">
        <v>298</v>
      </c>
      <c r="DS85" s="291">
        <v>995000000</v>
      </c>
      <c r="DT85" s="291">
        <v>21900000</v>
      </c>
      <c r="DU85" s="290">
        <v>45.35</v>
      </c>
      <c r="DV85" s="290" t="s">
        <v>505</v>
      </c>
      <c r="DW85" s="291" t="s">
        <v>510</v>
      </c>
      <c r="DX85" s="81" t="s">
        <v>510</v>
      </c>
    </row>
    <row r="86" spans="121:128" thickTop="1" thickBot="1" x14ac:dyDescent="0.35">
      <c r="DQ86" s="290" t="s">
        <v>506</v>
      </c>
      <c r="DR86" s="290" t="s">
        <v>475</v>
      </c>
      <c r="DS86" s="291">
        <v>2090000</v>
      </c>
      <c r="DT86" s="291">
        <v>14400</v>
      </c>
      <c r="DU86" s="290">
        <v>145.41999999999999</v>
      </c>
      <c r="DV86" s="290" t="s">
        <v>505</v>
      </c>
      <c r="DW86" s="291" t="s">
        <v>510</v>
      </c>
      <c r="DX86" s="81" t="s">
        <v>510</v>
      </c>
    </row>
    <row r="87" spans="121:128" thickTop="1" thickBot="1" x14ac:dyDescent="0.35">
      <c r="DQ87" s="290" t="s">
        <v>506</v>
      </c>
      <c r="DR87" s="290" t="s">
        <v>291</v>
      </c>
      <c r="DS87" s="291">
        <v>3770000</v>
      </c>
      <c r="DT87" s="291">
        <v>122000</v>
      </c>
      <c r="DU87" s="290">
        <v>30.97</v>
      </c>
      <c r="DV87" s="290" t="s">
        <v>505</v>
      </c>
      <c r="DW87" s="291" t="s">
        <v>510</v>
      </c>
      <c r="DX87" s="81" t="s">
        <v>510</v>
      </c>
    </row>
    <row r="88" spans="121:128" thickTop="1" thickBot="1" x14ac:dyDescent="0.35">
      <c r="DQ88" s="290" t="s">
        <v>506</v>
      </c>
      <c r="DR88" s="290" t="s">
        <v>293</v>
      </c>
      <c r="DS88" s="291">
        <v>4270000</v>
      </c>
      <c r="DT88" s="291">
        <v>157000</v>
      </c>
      <c r="DU88" s="290">
        <v>27.26</v>
      </c>
      <c r="DV88" s="291" t="s">
        <v>505</v>
      </c>
      <c r="DW88" s="290" t="s">
        <v>510</v>
      </c>
      <c r="DX88" s="81"/>
    </row>
    <row r="89" spans="121:128" thickTop="1" thickBot="1" x14ac:dyDescent="0.35">
      <c r="DQ89" s="290" t="s">
        <v>506</v>
      </c>
      <c r="DR89" s="290" t="s">
        <v>476</v>
      </c>
      <c r="DS89" s="291">
        <v>-31.4</v>
      </c>
      <c r="DT89" s="291">
        <v>61.7</v>
      </c>
      <c r="DU89" s="290">
        <v>-0.51</v>
      </c>
      <c r="DV89" s="290">
        <v>0.61040000000000005</v>
      </c>
      <c r="DW89" s="291"/>
      <c r="DX89" s="81" t="s">
        <v>510</v>
      </c>
    </row>
    <row r="90" spans="121:128" thickTop="1" thickBot="1" x14ac:dyDescent="0.35">
      <c r="DQ90" s="290" t="s">
        <v>506</v>
      </c>
      <c r="DR90" s="290" t="s">
        <v>477</v>
      </c>
      <c r="DS90" s="291">
        <v>-14.4</v>
      </c>
      <c r="DT90" s="291">
        <v>132</v>
      </c>
      <c r="DU90" s="290">
        <v>-0.11</v>
      </c>
      <c r="DV90" s="290">
        <v>0.9133</v>
      </c>
      <c r="DX90" s="81"/>
    </row>
    <row r="91" spans="121:128" thickTop="1" thickBot="1" x14ac:dyDescent="0.35">
      <c r="DQ91" s="290" t="s">
        <v>506</v>
      </c>
      <c r="DR91" s="290" t="s">
        <v>478</v>
      </c>
      <c r="DS91" s="291">
        <v>-16.8</v>
      </c>
      <c r="DT91" s="291">
        <v>465</v>
      </c>
      <c r="DU91" s="290">
        <v>-0.04</v>
      </c>
      <c r="DV91" s="290">
        <v>0.97119999999999995</v>
      </c>
      <c r="DX91" s="81"/>
    </row>
    <row r="92" spans="121:128" thickTop="1" thickBot="1" x14ac:dyDescent="0.35">
      <c r="DQ92" s="290" t="s">
        <v>506</v>
      </c>
      <c r="DR92" s="290" t="s">
        <v>479</v>
      </c>
      <c r="DS92" s="291">
        <v>-15</v>
      </c>
      <c r="DT92" s="291">
        <v>210</v>
      </c>
      <c r="DU92" s="290">
        <v>-7.0000000000000007E-2</v>
      </c>
      <c r="DV92" s="290">
        <v>0.94289999999999996</v>
      </c>
      <c r="DX92" s="81"/>
    </row>
    <row r="93" spans="121:128" thickTop="1" thickBot="1" x14ac:dyDescent="0.35">
      <c r="DQ93" s="290" t="s">
        <v>506</v>
      </c>
      <c r="DR93" s="290" t="s">
        <v>481</v>
      </c>
      <c r="DS93" s="291">
        <v>0.161</v>
      </c>
      <c r="DT93" s="291">
        <v>1E-3</v>
      </c>
      <c r="DU93" s="290">
        <v>159.9</v>
      </c>
      <c r="DV93" s="290" t="s">
        <v>505</v>
      </c>
      <c r="DW93" s="291" t="s">
        <v>510</v>
      </c>
      <c r="DX93" s="81" t="s">
        <v>510</v>
      </c>
    </row>
    <row r="94" spans="121:128" thickTop="1" thickBot="1" x14ac:dyDescent="0.35">
      <c r="DQ94" s="290" t="s">
        <v>506</v>
      </c>
      <c r="DR94" s="290" t="s">
        <v>482</v>
      </c>
      <c r="DS94" s="291">
        <v>4.2799999999999998E-2</v>
      </c>
      <c r="DT94" s="291">
        <v>2.0799999999999999E-4</v>
      </c>
      <c r="DU94" s="290">
        <v>205.83</v>
      </c>
      <c r="DV94" s="290" t="s">
        <v>505</v>
      </c>
      <c r="DW94" s="291" t="s">
        <v>510</v>
      </c>
      <c r="DX94" s="81" t="s">
        <v>510</v>
      </c>
    </row>
    <row r="95" spans="121:128" thickTop="1" thickBot="1" x14ac:dyDescent="0.35">
      <c r="DQ95" s="290" t="s">
        <v>506</v>
      </c>
      <c r="DR95" s="290" t="s">
        <v>483</v>
      </c>
      <c r="DS95" s="291">
        <v>0.69599999999999995</v>
      </c>
      <c r="DT95" s="291">
        <v>3.16E-3</v>
      </c>
      <c r="DU95" s="290">
        <v>220.46</v>
      </c>
      <c r="DV95" s="290" t="s">
        <v>505</v>
      </c>
      <c r="DW95" s="291" t="s">
        <v>510</v>
      </c>
      <c r="DX95" s="81" t="s">
        <v>510</v>
      </c>
    </row>
    <row r="96" spans="121:128" thickTop="1" thickBot="1" x14ac:dyDescent="0.35">
      <c r="DQ96" s="290" t="s">
        <v>506</v>
      </c>
      <c r="DR96" s="290" t="s">
        <v>484</v>
      </c>
      <c r="DS96" s="291">
        <v>8.8700000000000001E-2</v>
      </c>
      <c r="DT96" s="291">
        <v>5.62E-4</v>
      </c>
      <c r="DU96" s="290">
        <v>157.94999999999999</v>
      </c>
      <c r="DV96" s="290" t="s">
        <v>505</v>
      </c>
      <c r="DW96" s="291" t="s">
        <v>510</v>
      </c>
      <c r="DX96" s="81" t="s">
        <v>510</v>
      </c>
    </row>
    <row r="97" spans="121:134" thickTop="1" thickBot="1" x14ac:dyDescent="0.35">
      <c r="DQ97" s="290" t="s">
        <v>506</v>
      </c>
      <c r="DR97" s="290" t="s">
        <v>486</v>
      </c>
      <c r="DS97" s="291">
        <v>228</v>
      </c>
      <c r="DT97" s="291">
        <v>3.32</v>
      </c>
      <c r="DU97" s="290">
        <v>68.58</v>
      </c>
      <c r="DV97" s="290" t="s">
        <v>505</v>
      </c>
      <c r="DW97" s="291" t="s">
        <v>510</v>
      </c>
      <c r="DX97" s="81" t="s">
        <v>510</v>
      </c>
    </row>
    <row r="98" spans="121:134" thickTop="1" thickBot="1" x14ac:dyDescent="0.35">
      <c r="DQ98" s="290" t="s">
        <v>506</v>
      </c>
      <c r="DR98" s="290" t="s">
        <v>285</v>
      </c>
      <c r="DS98" s="291">
        <v>87.4</v>
      </c>
      <c r="DT98" s="291">
        <v>0.69299999999999995</v>
      </c>
      <c r="DU98" s="290">
        <v>126.18</v>
      </c>
      <c r="DV98" s="290" t="s">
        <v>505</v>
      </c>
      <c r="DW98" s="291" t="s">
        <v>510</v>
      </c>
      <c r="DX98" s="81" t="s">
        <v>510</v>
      </c>
    </row>
    <row r="99" spans="121:134" thickTop="1" thickBot="1" x14ac:dyDescent="0.35">
      <c r="DQ99" s="290" t="s">
        <v>506</v>
      </c>
      <c r="DR99" s="290" t="s">
        <v>120</v>
      </c>
      <c r="DS99" s="291">
        <v>87.6</v>
      </c>
      <c r="DT99" s="291">
        <v>0.57799999999999996</v>
      </c>
      <c r="DU99" s="290">
        <v>151.53</v>
      </c>
      <c r="DV99" s="290" t="s">
        <v>505</v>
      </c>
      <c r="DW99" s="291" t="s">
        <v>510</v>
      </c>
      <c r="DX99" s="81" t="s">
        <v>510</v>
      </c>
    </row>
    <row r="100" spans="121:134" thickTop="1" thickBot="1" x14ac:dyDescent="0.35">
      <c r="DQ100" s="290" t="s">
        <v>506</v>
      </c>
      <c r="DR100" s="290" t="s">
        <v>488</v>
      </c>
      <c r="DS100" s="291">
        <v>-6.61</v>
      </c>
      <c r="DT100" s="291">
        <v>1.7899999999999999E-2</v>
      </c>
      <c r="DU100" s="290">
        <v>-369.7</v>
      </c>
      <c r="DV100" s="290" t="s">
        <v>505</v>
      </c>
      <c r="DW100" s="291" t="s">
        <v>510</v>
      </c>
      <c r="DX100" s="81" t="s">
        <v>510</v>
      </c>
    </row>
    <row r="101" spans="121:134" thickTop="1" thickBot="1" x14ac:dyDescent="0.35">
      <c r="DQ101" s="290" t="s">
        <v>506</v>
      </c>
      <c r="DR101" s="290" t="s">
        <v>489</v>
      </c>
      <c r="DS101" s="291">
        <v>-5.63</v>
      </c>
      <c r="DT101" s="291">
        <v>1.9400000000000001E-2</v>
      </c>
      <c r="DU101" s="290">
        <v>-290.3</v>
      </c>
      <c r="DV101" s="290" t="s">
        <v>505</v>
      </c>
      <c r="DW101" s="291" t="s">
        <v>510</v>
      </c>
      <c r="DX101" s="81" t="s">
        <v>510</v>
      </c>
    </row>
    <row r="102" spans="121:134" thickTop="1" thickBot="1" x14ac:dyDescent="0.35">
      <c r="DQ102" s="290" t="s">
        <v>506</v>
      </c>
      <c r="DR102" s="290" t="s">
        <v>490</v>
      </c>
      <c r="DS102" s="291">
        <v>-6.27</v>
      </c>
      <c r="DT102" s="291">
        <v>1.6400000000000001E-2</v>
      </c>
      <c r="DU102" s="290">
        <v>-381.96</v>
      </c>
      <c r="DV102" s="290" t="s">
        <v>505</v>
      </c>
      <c r="DW102" s="291" t="s">
        <v>510</v>
      </c>
      <c r="DX102" s="81" t="s">
        <v>510</v>
      </c>
    </row>
    <row r="103" spans="121:134" thickTop="1" thickBot="1" x14ac:dyDescent="0.35">
      <c r="DQ103" s="290" t="s">
        <v>506</v>
      </c>
      <c r="DR103" s="290" t="s">
        <v>491</v>
      </c>
      <c r="DS103" s="291">
        <v>-5.95</v>
      </c>
      <c r="DT103" s="291">
        <v>1.8200000000000001E-2</v>
      </c>
      <c r="DU103" s="290">
        <v>-326.89999999999998</v>
      </c>
      <c r="DV103" s="290" t="s">
        <v>505</v>
      </c>
      <c r="DW103" s="291" t="s">
        <v>510</v>
      </c>
      <c r="DX103" s="81" t="s">
        <v>510</v>
      </c>
    </row>
    <row r="104" spans="121:134" thickTop="1" thickBot="1" x14ac:dyDescent="0.35">
      <c r="DQ104" s="290" t="s">
        <v>506</v>
      </c>
      <c r="DR104" s="290" t="s">
        <v>493</v>
      </c>
      <c r="DS104" s="291">
        <v>5.0800000000000003E-3</v>
      </c>
      <c r="DT104" s="291">
        <v>5.5800000000000001E-5</v>
      </c>
      <c r="DU104" s="290">
        <v>91.09</v>
      </c>
      <c r="DV104" s="290" t="s">
        <v>505</v>
      </c>
      <c r="DW104" s="291" t="s">
        <v>510</v>
      </c>
      <c r="DX104" s="81" t="s">
        <v>510</v>
      </c>
    </row>
    <row r="105" spans="121:134" thickTop="1" thickBot="1" x14ac:dyDescent="0.35">
      <c r="DQ105" s="290" t="s">
        <v>506</v>
      </c>
      <c r="DR105" s="290" t="s">
        <v>494</v>
      </c>
      <c r="DS105" s="291">
        <v>184</v>
      </c>
      <c r="DT105" s="291">
        <v>1.83</v>
      </c>
      <c r="DU105" s="290">
        <v>100.19</v>
      </c>
      <c r="DV105" s="290" t="s">
        <v>505</v>
      </c>
      <c r="DW105" s="291" t="s">
        <v>510</v>
      </c>
      <c r="DX105" s="81" t="s">
        <v>510</v>
      </c>
    </row>
    <row r="106" spans="121:134" thickTop="1" thickBot="1" x14ac:dyDescent="0.35">
      <c r="DQ106" s="290" t="s">
        <v>506</v>
      </c>
      <c r="DR106" s="290" t="s">
        <v>495</v>
      </c>
      <c r="DS106" s="291">
        <v>1.24E-3</v>
      </c>
      <c r="DT106" s="291">
        <v>0.122</v>
      </c>
      <c r="DU106" s="290">
        <v>0.01</v>
      </c>
      <c r="DV106" s="290">
        <v>0.9919</v>
      </c>
      <c r="DX106" s="81"/>
    </row>
    <row r="107" spans="121:134" thickTop="1" thickBot="1" x14ac:dyDescent="0.35">
      <c r="DS107" s="291"/>
      <c r="DT107" s="291"/>
    </row>
    <row r="108" spans="121:134" thickTop="1" thickBot="1" x14ac:dyDescent="0.35">
      <c r="DQ108" s="290" t="s">
        <v>565</v>
      </c>
    </row>
    <row r="109" spans="121:134" thickTop="1" thickBot="1" x14ac:dyDescent="0.35">
      <c r="DQ109" s="290" t="s">
        <v>506</v>
      </c>
      <c r="DR109" s="290" t="s">
        <v>499</v>
      </c>
    </row>
    <row r="110" spans="121:134" thickTop="1" thickBot="1" x14ac:dyDescent="0.35">
      <c r="DQ110" s="290" t="s">
        <v>506</v>
      </c>
      <c r="DR110" s="290" t="s">
        <v>500</v>
      </c>
      <c r="DS110" s="290" t="s">
        <v>501</v>
      </c>
      <c r="DT110" s="290" t="s">
        <v>502</v>
      </c>
      <c r="DU110" s="290" t="s">
        <v>503</v>
      </c>
      <c r="DV110" s="290" t="s">
        <v>504</v>
      </c>
      <c r="DW110" s="290" t="s">
        <v>508</v>
      </c>
      <c r="DX110" s="81" t="s">
        <v>510</v>
      </c>
      <c r="ED110" s="81"/>
    </row>
    <row r="111" spans="121:134" thickTop="1" thickBot="1" x14ac:dyDescent="0.35">
      <c r="DQ111" s="290" t="s">
        <v>506</v>
      </c>
      <c r="DR111" s="290" t="s">
        <v>513</v>
      </c>
      <c r="DS111" s="291">
        <v>290</v>
      </c>
      <c r="DT111" s="291">
        <v>0.10299999999999999</v>
      </c>
      <c r="DU111" s="290">
        <v>2824.55</v>
      </c>
      <c r="DV111" s="290" t="s">
        <v>505</v>
      </c>
      <c r="DW111" s="290" t="s">
        <v>510</v>
      </c>
      <c r="DX111" s="81" t="s">
        <v>510</v>
      </c>
      <c r="ED111" s="81"/>
    </row>
    <row r="112" spans="121:134" thickTop="1" thickBot="1" x14ac:dyDescent="0.35">
      <c r="DQ112" s="290" t="s">
        <v>506</v>
      </c>
      <c r="DR112" s="290" t="s">
        <v>514</v>
      </c>
      <c r="DS112" s="291">
        <v>295</v>
      </c>
      <c r="DT112" s="291">
        <v>0.108</v>
      </c>
      <c r="DU112" s="290">
        <v>2731.3</v>
      </c>
      <c r="DV112" s="290" t="s">
        <v>505</v>
      </c>
      <c r="DW112" s="291" t="s">
        <v>510</v>
      </c>
      <c r="DX112" s="81" t="s">
        <v>510</v>
      </c>
      <c r="ED112" s="81"/>
    </row>
    <row r="113" spans="121:134" thickTop="1" thickBot="1" x14ac:dyDescent="0.35">
      <c r="DQ113" s="290" t="s">
        <v>506</v>
      </c>
      <c r="DR113" s="290" t="s">
        <v>423</v>
      </c>
      <c r="DS113" s="291">
        <v>8.9599999999999999E-2</v>
      </c>
      <c r="DT113" s="291">
        <v>8.4000000000000003E-4</v>
      </c>
      <c r="DU113" s="290">
        <v>106.74</v>
      </c>
      <c r="DV113" s="290" t="s">
        <v>505</v>
      </c>
      <c r="DW113" s="291" t="s">
        <v>510</v>
      </c>
      <c r="DX113" s="81"/>
      <c r="ED113" s="81"/>
    </row>
    <row r="114" spans="121:134" thickTop="1" thickBot="1" x14ac:dyDescent="0.35">
      <c r="DQ114" s="290" t="s">
        <v>506</v>
      </c>
      <c r="DR114" s="290" t="s">
        <v>424</v>
      </c>
      <c r="DS114" s="291">
        <v>0.378</v>
      </c>
      <c r="DT114" s="291">
        <v>5.7099999999999998E-3</v>
      </c>
      <c r="DU114" s="290">
        <v>66.260000000000005</v>
      </c>
      <c r="DV114" s="290" t="s">
        <v>505</v>
      </c>
      <c r="DW114" s="291" t="s">
        <v>510</v>
      </c>
      <c r="DX114" s="81" t="s">
        <v>510</v>
      </c>
      <c r="ED114" s="81"/>
    </row>
    <row r="115" spans="121:134" thickTop="1" thickBot="1" x14ac:dyDescent="0.35">
      <c r="DQ115" s="290" t="s">
        <v>506</v>
      </c>
      <c r="DR115" s="290" t="s">
        <v>515</v>
      </c>
      <c r="DS115" s="291">
        <v>992000000</v>
      </c>
      <c r="DT115" s="291">
        <v>44600000</v>
      </c>
      <c r="DU115" s="290">
        <v>22.27</v>
      </c>
      <c r="DV115" s="291" t="s">
        <v>505</v>
      </c>
      <c r="DW115" s="290" t="s">
        <v>510</v>
      </c>
      <c r="DX115" s="81"/>
      <c r="ED115" s="81"/>
    </row>
    <row r="116" spans="121:134" thickTop="1" thickBot="1" x14ac:dyDescent="0.35">
      <c r="DQ116" s="290" t="s">
        <v>506</v>
      </c>
      <c r="DR116" s="290" t="s">
        <v>426</v>
      </c>
      <c r="DS116" s="291">
        <v>996000000</v>
      </c>
      <c r="DT116" s="291">
        <v>18800000</v>
      </c>
      <c r="DU116" s="290">
        <v>52.93</v>
      </c>
      <c r="DV116" s="290" t="s">
        <v>505</v>
      </c>
      <c r="DW116" s="291" t="s">
        <v>510</v>
      </c>
      <c r="DX116" s="81"/>
      <c r="ED116" s="81"/>
    </row>
    <row r="117" spans="121:134" thickTop="1" thickBot="1" x14ac:dyDescent="0.35">
      <c r="DQ117" s="290" t="s">
        <v>506</v>
      </c>
      <c r="DR117" s="290" t="s">
        <v>480</v>
      </c>
      <c r="DS117" s="291">
        <v>-16</v>
      </c>
      <c r="DT117" s="291">
        <v>231</v>
      </c>
      <c r="DU117" s="290">
        <v>-7.0000000000000007E-2</v>
      </c>
      <c r="DV117" s="290">
        <v>0.94</v>
      </c>
      <c r="DX117" s="81" t="s">
        <v>510</v>
      </c>
      <c r="ED117" s="81"/>
    </row>
    <row r="118" spans="121:134" thickTop="1" thickBot="1" x14ac:dyDescent="0.35">
      <c r="DQ118" s="290" t="s">
        <v>506</v>
      </c>
      <c r="DR118" s="290" t="s">
        <v>517</v>
      </c>
      <c r="DS118" s="291">
        <v>-14.6</v>
      </c>
      <c r="DT118" s="291">
        <v>461</v>
      </c>
      <c r="DU118" s="290">
        <v>-0.03</v>
      </c>
      <c r="DV118" s="290">
        <v>0.97</v>
      </c>
      <c r="DX118" s="81" t="s">
        <v>510</v>
      </c>
      <c r="ED118" s="81"/>
    </row>
    <row r="119" spans="121:134" thickTop="1" thickBot="1" x14ac:dyDescent="0.35">
      <c r="DQ119" s="290" t="s">
        <v>506</v>
      </c>
      <c r="DR119" s="290" t="s">
        <v>518</v>
      </c>
      <c r="DS119" s="291">
        <v>4.1500000000000002E-2</v>
      </c>
      <c r="DT119" s="291">
        <v>9.8300000000000004E-5</v>
      </c>
      <c r="DU119" s="290">
        <v>422.47</v>
      </c>
      <c r="DV119" s="290" t="s">
        <v>505</v>
      </c>
      <c r="DW119" s="291" t="s">
        <v>510</v>
      </c>
      <c r="DX119" s="81" t="s">
        <v>510</v>
      </c>
      <c r="ED119" s="81"/>
    </row>
    <row r="120" spans="121:134" thickTop="1" thickBot="1" x14ac:dyDescent="0.35">
      <c r="DQ120" s="290" t="s">
        <v>506</v>
      </c>
      <c r="DR120" s="290" t="s">
        <v>519</v>
      </c>
      <c r="DS120" s="291">
        <v>8.6499999999999994E-2</v>
      </c>
      <c r="DT120" s="291">
        <v>4.9299999999999995E-4</v>
      </c>
      <c r="DU120" s="290">
        <v>175.53</v>
      </c>
      <c r="DV120" s="290" t="s">
        <v>505</v>
      </c>
      <c r="DW120" s="291" t="s">
        <v>510</v>
      </c>
      <c r="DX120" s="81" t="s">
        <v>510</v>
      </c>
      <c r="ED120" s="81"/>
    </row>
    <row r="121" spans="121:134" thickTop="1" thickBot="1" x14ac:dyDescent="0.35">
      <c r="DQ121" s="290">
        <v>45</v>
      </c>
      <c r="DS121" s="291"/>
      <c r="DT121" s="291"/>
      <c r="DW121" s="291"/>
      <c r="DX121" s="81" t="s">
        <v>510</v>
      </c>
      <c r="ED121" s="81"/>
    </row>
    <row r="122" spans="121:134" thickTop="1" thickBot="1" x14ac:dyDescent="0.35">
      <c r="DQ122" s="290" t="s">
        <v>506</v>
      </c>
      <c r="DR122" s="290" t="s">
        <v>492</v>
      </c>
      <c r="DS122" s="291">
        <v>-5.67</v>
      </c>
      <c r="DT122" s="291">
        <v>1.84E-2</v>
      </c>
      <c r="DU122" s="290">
        <v>-308.82</v>
      </c>
      <c r="DV122" s="290" t="s">
        <v>505</v>
      </c>
      <c r="DW122" s="291" t="s">
        <v>510</v>
      </c>
      <c r="DX122" s="81" t="s">
        <v>510</v>
      </c>
      <c r="ED122" s="81"/>
    </row>
    <row r="123" spans="121:134" thickTop="1" thickBot="1" x14ac:dyDescent="0.35">
      <c r="DQ123" s="290" t="s">
        <v>506</v>
      </c>
      <c r="DR123" s="290" t="s">
        <v>520</v>
      </c>
      <c r="DS123" s="291">
        <v>-5.73</v>
      </c>
      <c r="DT123" s="291">
        <v>1.5900000000000001E-2</v>
      </c>
      <c r="DU123" s="290">
        <v>-360.63</v>
      </c>
      <c r="DV123" s="290" t="s">
        <v>505</v>
      </c>
      <c r="DW123" s="291" t="s">
        <v>510</v>
      </c>
      <c r="DX123" s="81" t="s">
        <v>510</v>
      </c>
      <c r="ED123" s="81"/>
    </row>
    <row r="124" spans="121:134" thickTop="1" thickBot="1" x14ac:dyDescent="0.35">
      <c r="DQ124" s="290" t="s">
        <v>506</v>
      </c>
      <c r="DR124" s="290" t="s">
        <v>429</v>
      </c>
      <c r="DS124" s="291">
        <v>74.400000000000006</v>
      </c>
      <c r="DT124" s="291">
        <v>0.49</v>
      </c>
      <c r="DU124" s="290">
        <v>151.78</v>
      </c>
      <c r="DV124" s="290" t="s">
        <v>505</v>
      </c>
      <c r="DW124" s="291" t="s">
        <v>510</v>
      </c>
      <c r="DX124" s="81"/>
      <c r="ED124" s="81"/>
    </row>
    <row r="125" spans="121:134" thickTop="1" thickBot="1" x14ac:dyDescent="0.35">
      <c r="DQ125" s="290" t="s">
        <v>506</v>
      </c>
      <c r="DR125" s="290" t="s">
        <v>430</v>
      </c>
      <c r="DS125" s="291">
        <v>388</v>
      </c>
      <c r="DT125" s="291">
        <v>479</v>
      </c>
      <c r="DU125" s="290">
        <v>0.81</v>
      </c>
      <c r="DV125" s="290">
        <v>0.42</v>
      </c>
      <c r="DW125" s="291"/>
      <c r="DX125" s="81">
        <v>0.01</v>
      </c>
      <c r="ED125" s="81" t="s">
        <v>564</v>
      </c>
    </row>
    <row r="126" spans="121:134" thickTop="1" thickBot="1" x14ac:dyDescent="0.35">
      <c r="DQ126" s="290" t="s">
        <v>506</v>
      </c>
      <c r="DR126" s="290" t="s">
        <v>431</v>
      </c>
      <c r="DS126" s="291">
        <v>184</v>
      </c>
      <c r="DT126" s="291">
        <v>2.13</v>
      </c>
      <c r="DU126" s="290">
        <v>86.48</v>
      </c>
      <c r="DV126" s="290" t="s">
        <v>505</v>
      </c>
      <c r="DW126" s="290" t="s">
        <v>510</v>
      </c>
    </row>
    <row r="127" spans="121:134" thickTop="1" thickBot="1" x14ac:dyDescent="0.35">
      <c r="DQ127" s="290" t="s">
        <v>506</v>
      </c>
      <c r="DR127" s="290" t="s">
        <v>560</v>
      </c>
      <c r="DS127" s="290" t="s">
        <v>561</v>
      </c>
      <c r="DT127" s="290">
        <v>0</v>
      </c>
      <c r="DU127" s="290" t="s">
        <v>562</v>
      </c>
      <c r="DV127" s="290">
        <v>1E-3</v>
      </c>
      <c r="DW127" s="290" t="s">
        <v>563</v>
      </c>
    </row>
  </sheetData>
  <mergeCells count="7">
    <mergeCell ref="W3:AH3"/>
    <mergeCell ref="E33:F33"/>
    <mergeCell ref="E36:F36"/>
    <mergeCell ref="A1:G1"/>
    <mergeCell ref="A3:H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127"/>
  <sheetViews>
    <sheetView zoomScale="55" zoomScaleNormal="55" workbookViewId="0">
      <selection sqref="A1:G1"/>
    </sheetView>
  </sheetViews>
  <sheetFormatPr defaultColWidth="9.109375" defaultRowHeight="15.6" thickTop="1" thickBottom="1" x14ac:dyDescent="0.35"/>
  <cols>
    <col min="1" max="5" width="9.109375" style="81"/>
    <col min="6" max="6" width="8.33203125" style="81" bestFit="1" customWidth="1"/>
    <col min="7" max="7" width="6.88671875" style="81" bestFit="1" customWidth="1"/>
    <col min="8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3"/>
    <col min="18" max="20" width="9.109375" style="81"/>
    <col min="21" max="21" width="9.109375" style="1"/>
    <col min="22" max="34" width="9.109375" style="81"/>
    <col min="35" max="36" width="9.109375" style="173"/>
    <col min="37" max="37" width="9.109375" style="154"/>
    <col min="38" max="38" width="10.33203125" style="154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99"/>
    <col min="51" max="51" width="16.109375" style="206" customWidth="1"/>
    <col min="52" max="52" width="9.109375" style="199"/>
    <col min="53" max="64" width="9.109375" style="81" customWidth="1"/>
    <col min="65" max="66" width="9.109375" style="173"/>
    <col min="67" max="67" width="9.109375" style="154"/>
    <col min="68" max="68" width="10.33203125" style="154" bestFit="1" customWidth="1"/>
    <col min="69" max="70" width="9.109375" style="81"/>
    <col min="71" max="71" width="12.6640625" style="81" bestFit="1" customWidth="1"/>
    <col min="72" max="73" width="12.6640625" style="81" customWidth="1"/>
    <col min="74" max="76" width="9.109375" style="81"/>
    <col min="77" max="77" width="10.44140625" style="210" bestFit="1" customWidth="1"/>
    <col min="78" max="78" width="10.44140625" style="210" customWidth="1"/>
    <col min="79" max="79" width="9.109375" style="81"/>
    <col min="80" max="80" width="10.5546875" style="81" bestFit="1" customWidth="1"/>
    <col min="81" max="85" width="9.109375" style="81"/>
    <col min="86" max="86" width="11" style="81" customWidth="1"/>
    <col min="87" max="91" width="9.109375" style="81"/>
    <col min="92" max="92" width="19.44140625" style="81" bestFit="1" customWidth="1"/>
    <col min="93" max="93" width="12" style="81" customWidth="1"/>
    <col min="94" max="94" width="11" style="81" customWidth="1"/>
    <col min="95" max="98" width="9.109375" style="81"/>
    <col min="99" max="99" width="9.109375" style="212"/>
    <col min="100" max="100" width="9.109375" style="81"/>
    <col min="101" max="101" width="19.44140625" style="81" bestFit="1" customWidth="1"/>
    <col min="102" max="112" width="9.109375" style="81"/>
    <col min="113" max="113" width="9.6640625" style="81" bestFit="1" customWidth="1"/>
    <col min="114" max="115" width="9.109375" style="81"/>
    <col min="116" max="118" width="9.88671875" style="81" bestFit="1" customWidth="1"/>
    <col min="119" max="119" width="9.109375" style="81"/>
    <col min="120" max="126" width="9.109375" style="290"/>
    <col min="127" max="127" width="9.109375" style="81"/>
    <col min="128" max="128" width="15.5546875" style="212" bestFit="1" customWidth="1"/>
    <col min="129" max="132" width="9.109375" style="212"/>
    <col min="133" max="16384" width="9.109375" style="81"/>
  </cols>
  <sheetData>
    <row r="1" spans="1:132" ht="20.25" customHeight="1" thickTop="1" thickBot="1" x14ac:dyDescent="0.45">
      <c r="A1" s="315" t="s">
        <v>0</v>
      </c>
      <c r="B1" s="315"/>
      <c r="C1" s="315"/>
      <c r="D1" s="315"/>
      <c r="E1" s="315"/>
      <c r="F1" s="315"/>
      <c r="G1" s="315"/>
      <c r="AN1" s="191" t="s">
        <v>384</v>
      </c>
      <c r="BC1" s="81" t="s">
        <v>435</v>
      </c>
      <c r="BD1" s="191"/>
      <c r="BE1" s="191" t="s">
        <v>436</v>
      </c>
      <c r="BR1" s="191" t="s">
        <v>384</v>
      </c>
    </row>
    <row r="2" spans="1:132" thickTop="1" thickBot="1" x14ac:dyDescent="0.35">
      <c r="AN2" s="81" t="s">
        <v>385</v>
      </c>
      <c r="BR2" s="81" t="s">
        <v>385</v>
      </c>
      <c r="DK2" s="81" t="s">
        <v>386</v>
      </c>
      <c r="DL2" s="79" t="s">
        <v>534</v>
      </c>
      <c r="DM2" s="79" t="s">
        <v>535</v>
      </c>
      <c r="DN2" s="79" t="s">
        <v>536</v>
      </c>
      <c r="DP2" s="290" t="s">
        <v>537</v>
      </c>
    </row>
    <row r="3" spans="1:132" thickTop="1" thickBot="1" x14ac:dyDescent="0.35">
      <c r="A3" s="321" t="s">
        <v>1</v>
      </c>
      <c r="B3" s="322"/>
      <c r="C3" s="322"/>
      <c r="D3" s="322"/>
      <c r="E3" s="322"/>
      <c r="F3" s="322"/>
      <c r="G3" s="322"/>
      <c r="H3" s="323"/>
      <c r="J3" s="312" t="s">
        <v>2</v>
      </c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4"/>
      <c r="V3" s="312" t="s">
        <v>3</v>
      </c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N3" s="200" t="s">
        <v>386</v>
      </c>
      <c r="AO3" s="201" t="s">
        <v>387</v>
      </c>
      <c r="AP3" s="201"/>
      <c r="AQ3" s="209" t="s">
        <v>458</v>
      </c>
      <c r="AR3" s="202"/>
      <c r="AS3" s="202"/>
      <c r="AU3" s="203" t="s">
        <v>388</v>
      </c>
      <c r="BD3" s="208"/>
      <c r="BE3" s="208" t="s">
        <v>437</v>
      </c>
      <c r="BI3" s="208" t="s">
        <v>438</v>
      </c>
      <c r="BJ3" s="208"/>
      <c r="BR3" s="200" t="s">
        <v>386</v>
      </c>
      <c r="BS3" s="201" t="s">
        <v>387</v>
      </c>
      <c r="BT3" s="201"/>
      <c r="BU3" s="213" t="s">
        <v>533</v>
      </c>
      <c r="CA3" s="81" t="s">
        <v>465</v>
      </c>
      <c r="CB3" s="204">
        <v>292</v>
      </c>
      <c r="CC3" s="204">
        <v>0.10299999999999999</v>
      </c>
      <c r="DK3" s="81" t="s">
        <v>391</v>
      </c>
      <c r="DL3" s="286">
        <f>AO4</f>
        <v>0.27176305138123541</v>
      </c>
      <c r="DM3" s="286">
        <f>BU4</f>
        <v>0.1641929</v>
      </c>
      <c r="DN3" s="286">
        <f>BY4</f>
        <v>0.19500000000000001</v>
      </c>
      <c r="DX3" s="212" t="s">
        <v>567</v>
      </c>
    </row>
    <row r="4" spans="1:132" ht="15.75" customHeight="1" thickTop="1" thickBot="1" x14ac:dyDescent="0.35">
      <c r="A4" s="214" t="s">
        <v>6</v>
      </c>
      <c r="B4" s="215">
        <f>'Tabula data'!B5</f>
        <v>710.5</v>
      </c>
      <c r="C4" s="215" t="s">
        <v>7</v>
      </c>
      <c r="D4" s="214" t="s">
        <v>8</v>
      </c>
      <c r="E4" s="215"/>
      <c r="F4" s="215"/>
      <c r="G4" s="216">
        <f>SUM(H6:H13)</f>
        <v>45.4</v>
      </c>
      <c r="H4" s="217" t="s">
        <v>9</v>
      </c>
      <c r="K4" s="324" t="s">
        <v>2</v>
      </c>
      <c r="L4" s="325"/>
      <c r="M4" s="325"/>
      <c r="N4" s="325"/>
      <c r="O4" s="326"/>
      <c r="W4" s="258"/>
      <c r="X4" s="258"/>
      <c r="Y4" s="259" t="s">
        <v>4</v>
      </c>
      <c r="Z4" s="259">
        <v>0.6</v>
      </c>
      <c r="AA4" s="259" t="s">
        <v>5</v>
      </c>
      <c r="AB4" s="258"/>
      <c r="AC4" s="258"/>
      <c r="AD4" s="258"/>
      <c r="AL4" s="154" t="s">
        <v>389</v>
      </c>
      <c r="AM4" s="81" t="s">
        <v>390</v>
      </c>
      <c r="AN4" s="81" t="s">
        <v>391</v>
      </c>
      <c r="AO4" s="81">
        <f>SUM(N6:N9)/SUM($N$6:$N$14,$N$26:$N$27)</f>
        <v>0.27176305138123541</v>
      </c>
      <c r="AP4" s="81" t="s">
        <v>392</v>
      </c>
      <c r="AQ4" s="204">
        <v>0.1641929</v>
      </c>
      <c r="AU4" s="205" t="s">
        <v>389</v>
      </c>
      <c r="AV4" s="205" t="s">
        <v>390</v>
      </c>
      <c r="AW4" s="205" t="s">
        <v>391</v>
      </c>
      <c r="AX4" s="207" t="s">
        <v>434</v>
      </c>
      <c r="AY4" s="206">
        <f>BY4</f>
        <v>0.19500000000000001</v>
      </c>
      <c r="AZ4" s="205" t="s">
        <v>392</v>
      </c>
      <c r="BE4" s="81" t="s">
        <v>281</v>
      </c>
      <c r="BF4" s="81">
        <f>1/(1/AO19+1/AO23)</f>
        <v>62.992234568807348</v>
      </c>
      <c r="BI4" s="81" t="s">
        <v>439</v>
      </c>
      <c r="BJ4" s="81">
        <f>BF4</f>
        <v>62.992234568807348</v>
      </c>
      <c r="BP4" s="154" t="s">
        <v>389</v>
      </c>
      <c r="BQ4" s="81" t="s">
        <v>390</v>
      </c>
      <c r="BR4" s="81" t="s">
        <v>391</v>
      </c>
      <c r="BS4" s="204">
        <f>AQ4</f>
        <v>0.1641929</v>
      </c>
      <c r="BT4" s="81" t="s">
        <v>392</v>
      </c>
      <c r="BU4" s="204">
        <v>0.1641929</v>
      </c>
      <c r="BY4" s="211">
        <f>CB8</f>
        <v>0.19500000000000001</v>
      </c>
      <c r="BZ4" s="211"/>
      <c r="CA4" s="81" t="s">
        <v>466</v>
      </c>
      <c r="CB4" s="204">
        <v>291</v>
      </c>
      <c r="CC4" s="204">
        <v>0.105</v>
      </c>
      <c r="CG4" s="81" t="s">
        <v>497</v>
      </c>
      <c r="CH4" s="81" t="s">
        <v>498</v>
      </c>
      <c r="CM4" s="81" t="s">
        <v>497</v>
      </c>
      <c r="CN4" s="81" t="s">
        <v>507</v>
      </c>
      <c r="DK4" s="81" t="s">
        <v>393</v>
      </c>
      <c r="DL4" s="286">
        <f t="shared" ref="DL4:DL49" si="0">AO5</f>
        <v>0.27176305138123541</v>
      </c>
      <c r="DM4" s="286">
        <f t="shared" ref="DM4:DM49" si="1">BU5</f>
        <v>0.32600000000000001</v>
      </c>
      <c r="DN4" s="286">
        <f t="shared" ref="DN4:DN48" si="2">BY5</f>
        <v>0.38800000000000001</v>
      </c>
      <c r="DP4" s="290" t="s">
        <v>506</v>
      </c>
      <c r="DQ4" s="290" t="s">
        <v>497</v>
      </c>
      <c r="DR4" s="290" t="s">
        <v>540</v>
      </c>
    </row>
    <row r="5" spans="1:132" ht="15" customHeight="1" thickTop="1" thickBot="1" x14ac:dyDescent="0.35">
      <c r="A5" s="218"/>
      <c r="B5" s="219"/>
      <c r="C5" s="219"/>
      <c r="D5" s="220"/>
      <c r="E5" s="221"/>
      <c r="F5" s="221"/>
      <c r="G5" s="221"/>
      <c r="H5" s="222"/>
      <c r="J5" s="81" t="s">
        <v>10</v>
      </c>
      <c r="K5" s="243" t="s">
        <v>11</v>
      </c>
      <c r="L5" s="244" t="s">
        <v>12</v>
      </c>
      <c r="M5" s="244" t="s">
        <v>13</v>
      </c>
      <c r="N5" s="244" t="s">
        <v>14</v>
      </c>
      <c r="O5" s="245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60" t="s">
        <v>20</v>
      </c>
      <c r="X5" s="261"/>
      <c r="Y5" s="262" t="s">
        <v>21</v>
      </c>
      <c r="Z5" s="263">
        <f>1/(1/10+SUM(AC7:AC10)+1/23)</f>
        <v>0.27062537995411134</v>
      </c>
      <c r="AA5" s="261" t="s">
        <v>5</v>
      </c>
      <c r="AB5" s="261"/>
      <c r="AC5" s="261" t="s">
        <v>22</v>
      </c>
      <c r="AD5" s="264">
        <f>SUM(AD7:AD10)</f>
        <v>66192</v>
      </c>
      <c r="AE5" s="14" t="s">
        <v>23</v>
      </c>
      <c r="AF5" s="14">
        <f>SUM(AD9:AD10)</f>
        <v>30492</v>
      </c>
      <c r="AG5" s="14"/>
      <c r="AL5" s="154" t="s">
        <v>389</v>
      </c>
      <c r="AM5" s="81" t="s">
        <v>390</v>
      </c>
      <c r="AN5" s="81" t="s">
        <v>393</v>
      </c>
      <c r="AO5" s="81">
        <f>SUM(N27)/SUM($N$6:$N$14,$N$26:$N$27)</f>
        <v>0.27176305138123541</v>
      </c>
      <c r="AP5" s="81" t="s">
        <v>392</v>
      </c>
      <c r="AQ5" s="204">
        <v>0.32600000000000001</v>
      </c>
      <c r="AU5" s="205" t="s">
        <v>389</v>
      </c>
      <c r="AV5" s="205" t="s">
        <v>390</v>
      </c>
      <c r="AW5" s="205" t="s">
        <v>393</v>
      </c>
      <c r="AX5" s="207" t="s">
        <v>434</v>
      </c>
      <c r="AY5" s="206">
        <f t="shared" ref="AY5:AY50" si="3">BY5</f>
        <v>0.38800000000000001</v>
      </c>
      <c r="AZ5" s="205" t="s">
        <v>392</v>
      </c>
      <c r="BE5" s="81" t="s">
        <v>291</v>
      </c>
      <c r="BF5" s="204">
        <f>AO10</f>
        <v>23146317.810000002</v>
      </c>
      <c r="BI5" s="81" t="s">
        <v>440</v>
      </c>
      <c r="BJ5" s="81">
        <f>BF24</f>
        <v>44.466714311117791</v>
      </c>
      <c r="BP5" s="154" t="s">
        <v>389</v>
      </c>
      <c r="BQ5" s="81" t="s">
        <v>390</v>
      </c>
      <c r="BR5" s="81" t="s">
        <v>393</v>
      </c>
      <c r="BS5" s="204">
        <f t="shared" ref="BS5:BS7" si="4">AQ5</f>
        <v>0.32600000000000001</v>
      </c>
      <c r="BT5" s="81" t="s">
        <v>392</v>
      </c>
      <c r="BU5" s="204">
        <v>0.32600000000000001</v>
      </c>
      <c r="BY5" s="211">
        <f>CB9</f>
        <v>0.38800000000000001</v>
      </c>
      <c r="BZ5" s="211"/>
      <c r="CA5" s="81" t="s">
        <v>467</v>
      </c>
      <c r="CB5" s="204">
        <v>294</v>
      </c>
      <c r="CC5" s="204">
        <v>5.4199999999999998E-2</v>
      </c>
      <c r="CG5" s="81" t="s">
        <v>499</v>
      </c>
      <c r="CM5" s="81" t="s">
        <v>499</v>
      </c>
      <c r="DK5" s="81" t="s">
        <v>394</v>
      </c>
      <c r="DL5" s="286">
        <f t="shared" si="0"/>
        <v>4.9992213295915196E-2</v>
      </c>
      <c r="DM5" s="286">
        <f t="shared" si="1"/>
        <v>0.251</v>
      </c>
      <c r="DN5" s="286">
        <f t="shared" si="2"/>
        <v>6.13E-2</v>
      </c>
      <c r="DP5" s="290" t="s">
        <v>506</v>
      </c>
      <c r="DQ5" s="290" t="s">
        <v>499</v>
      </c>
      <c r="DX5" s="212" t="s">
        <v>568</v>
      </c>
      <c r="DY5" s="292" t="s">
        <v>569</v>
      </c>
      <c r="DZ5" s="292" t="s">
        <v>434</v>
      </c>
      <c r="EA5" s="293">
        <f>DR12</f>
        <v>1.43</v>
      </c>
      <c r="EB5" s="212" t="s">
        <v>392</v>
      </c>
    </row>
    <row r="6" spans="1:132" ht="15" customHeight="1" thickTop="1" thickBot="1" x14ac:dyDescent="0.35">
      <c r="A6" s="223" t="s">
        <v>34</v>
      </c>
      <c r="B6" s="224">
        <f>'Tabula data'!B4</f>
        <v>258.39999999999998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0.1526431718061674</v>
      </c>
      <c r="G6" s="221"/>
      <c r="H6" s="228">
        <f>'Tabula data'!B16*'Tabula 2zone Ref 1'!C45</f>
        <v>6.93</v>
      </c>
      <c r="J6" s="81" t="s">
        <v>24</v>
      </c>
      <c r="K6" s="246">
        <v>0</v>
      </c>
      <c r="L6" s="247">
        <v>1</v>
      </c>
      <c r="M6" s="247" t="s">
        <v>25</v>
      </c>
      <c r="N6" s="248">
        <f>'Tabula data'!B10*C42/2*C43</f>
        <v>54.722250000000003</v>
      </c>
      <c r="O6" s="249" t="s">
        <v>26</v>
      </c>
      <c r="P6" s="30">
        <f t="shared" ref="P6:P28" si="6">VLOOKUP(M6,$W$5:$Z$391,4,0)</f>
        <v>0.36462385321100915</v>
      </c>
      <c r="Q6" s="30">
        <f t="shared" ref="Q6:Q28" si="7">P6*N6</f>
        <v>19.953037651376146</v>
      </c>
      <c r="R6" s="30">
        <f t="shared" ref="R6:R14" si="8">VLOOKUP(M6,$W$5:$AD$391,8,0)*N6</f>
        <v>13934342.4066</v>
      </c>
      <c r="S6" s="30">
        <f t="shared" ref="S6:S14" si="9">R6/N6</f>
        <v>254637.6</v>
      </c>
      <c r="T6" s="30">
        <f t="shared" ref="T6:T14" si="10">VLOOKUP(M6,$W$5:$AF$391,10,0)*N6</f>
        <v>7331687.0550000006</v>
      </c>
      <c r="U6" s="31"/>
      <c r="V6" s="3"/>
      <c r="W6" s="265"/>
      <c r="X6" s="266" t="s">
        <v>27</v>
      </c>
      <c r="Y6" s="266" t="s">
        <v>28</v>
      </c>
      <c r="Z6" s="266" t="s">
        <v>29</v>
      </c>
      <c r="AA6" s="266" t="s">
        <v>30</v>
      </c>
      <c r="AB6" s="266" t="s">
        <v>31</v>
      </c>
      <c r="AC6" s="266" t="s">
        <v>32</v>
      </c>
      <c r="AD6" s="267" t="s">
        <v>33</v>
      </c>
      <c r="AE6" s="14"/>
      <c r="AF6" s="14"/>
      <c r="AG6" s="14"/>
      <c r="AL6" s="154" t="s">
        <v>389</v>
      </c>
      <c r="AM6" s="81" t="s">
        <v>390</v>
      </c>
      <c r="AN6" s="81" t="s">
        <v>394</v>
      </c>
      <c r="AO6" s="81">
        <f>SUM(N10:N13)/SUM($N$6:$N$14,$N$26:$N$27)</f>
        <v>4.9992213295915196E-2</v>
      </c>
      <c r="AP6" s="81" t="s">
        <v>392</v>
      </c>
      <c r="AQ6" s="204">
        <v>0.251</v>
      </c>
      <c r="AU6" s="205" t="s">
        <v>389</v>
      </c>
      <c r="AV6" s="205" t="s">
        <v>390</v>
      </c>
      <c r="AW6" s="205" t="s">
        <v>394</v>
      </c>
      <c r="AX6" s="207" t="s">
        <v>434</v>
      </c>
      <c r="AY6" s="206">
        <f t="shared" si="3"/>
        <v>6.13E-2</v>
      </c>
      <c r="AZ6" s="205" t="s">
        <v>392</v>
      </c>
      <c r="BE6" s="81" t="s">
        <v>282</v>
      </c>
      <c r="BF6" s="3">
        <f>AO22</f>
        <v>124.71601052631581</v>
      </c>
      <c r="BI6" s="81" t="s">
        <v>441</v>
      </c>
      <c r="BJ6" s="3">
        <f>BF6</f>
        <v>124.71601052631581</v>
      </c>
      <c r="BP6" s="154" t="s">
        <v>389</v>
      </c>
      <c r="BQ6" s="81" t="s">
        <v>390</v>
      </c>
      <c r="BR6" s="81" t="s">
        <v>394</v>
      </c>
      <c r="BS6" s="204">
        <f t="shared" si="4"/>
        <v>0.251</v>
      </c>
      <c r="BT6" s="81" t="s">
        <v>392</v>
      </c>
      <c r="BU6" s="204">
        <v>0.251</v>
      </c>
      <c r="BY6" s="211">
        <f>CB10</f>
        <v>6.13E-2</v>
      </c>
      <c r="BZ6" s="211"/>
      <c r="CA6" s="81" t="s">
        <v>468</v>
      </c>
      <c r="CB6" s="204">
        <v>290</v>
      </c>
      <c r="CC6" s="204">
        <v>0.111</v>
      </c>
      <c r="CG6" s="81" t="s">
        <v>500</v>
      </c>
      <c r="CH6" s="81" t="s">
        <v>501</v>
      </c>
      <c r="CI6" s="81" t="s">
        <v>502</v>
      </c>
      <c r="CJ6" s="81" t="s">
        <v>503</v>
      </c>
      <c r="CK6" s="81" t="s">
        <v>504</v>
      </c>
      <c r="CM6" s="81" t="s">
        <v>500</v>
      </c>
      <c r="CN6" s="81" t="s">
        <v>501</v>
      </c>
      <c r="CO6" s="81" t="s">
        <v>502</v>
      </c>
      <c r="CP6" s="81" t="s">
        <v>503</v>
      </c>
      <c r="CQ6" s="81" t="s">
        <v>504</v>
      </c>
      <c r="CR6" s="81" t="s">
        <v>508</v>
      </c>
      <c r="CU6" s="212" t="s">
        <v>506</v>
      </c>
      <c r="CV6" s="81" t="s">
        <v>497</v>
      </c>
      <c r="CW6" s="81" t="s">
        <v>521</v>
      </c>
      <c r="DK6" s="81" t="s">
        <v>395</v>
      </c>
      <c r="DL6" s="286">
        <f t="shared" si="0"/>
        <v>0.2183423286807121</v>
      </c>
      <c r="DM6" s="286">
        <f t="shared" si="1"/>
        <v>0.13800000000000001</v>
      </c>
      <c r="DN6" s="286">
        <f t="shared" si="2"/>
        <v>0.17799999999999999</v>
      </c>
      <c r="DP6" s="290" t="s">
        <v>506</v>
      </c>
      <c r="DQ6" s="290" t="s">
        <v>500</v>
      </c>
      <c r="DR6" s="290" t="s">
        <v>501</v>
      </c>
      <c r="DS6" s="290" t="s">
        <v>502</v>
      </c>
      <c r="DT6" s="290" t="s">
        <v>503</v>
      </c>
      <c r="DU6" s="290" t="s">
        <v>504</v>
      </c>
      <c r="DV6" s="290" t="s">
        <v>508</v>
      </c>
      <c r="DX6" s="212" t="s">
        <v>568</v>
      </c>
      <c r="DY6" s="292" t="s">
        <v>570</v>
      </c>
      <c r="DZ6" s="292" t="s">
        <v>434</v>
      </c>
      <c r="EA6" s="293">
        <f t="shared" ref="EA6:EA24" si="11">DR13</f>
        <v>1.26</v>
      </c>
      <c r="EB6" s="212" t="s">
        <v>392</v>
      </c>
    </row>
    <row r="7" spans="1:132" ht="15" customHeight="1" thickTop="1" thickBot="1" x14ac:dyDescent="0.35">
      <c r="A7" s="226" t="s">
        <v>42</v>
      </c>
      <c r="B7" s="229">
        <f>'Tabula data'!B14</f>
        <v>138.80000000000001</v>
      </c>
      <c r="C7" s="230" t="s">
        <v>9</v>
      </c>
      <c r="D7" s="226" t="s">
        <v>43</v>
      </c>
      <c r="E7" s="221" t="s">
        <v>36</v>
      </c>
      <c r="F7" s="227">
        <f t="shared" si="5"/>
        <v>0.17114537444933919</v>
      </c>
      <c r="G7" s="221"/>
      <c r="H7" s="228">
        <f>'Tabula data'!B17*'Tabula 2zone Ref 1'!C45</f>
        <v>7.77</v>
      </c>
      <c r="J7" s="81" t="s">
        <v>38</v>
      </c>
      <c r="K7" s="250">
        <v>0</v>
      </c>
      <c r="L7" s="251">
        <v>1</v>
      </c>
      <c r="M7" s="251" t="s">
        <v>25</v>
      </c>
      <c r="N7" s="252">
        <f>'Tabula data'!B10*(1-C42)/2*C44</f>
        <v>31.657499999999995</v>
      </c>
      <c r="O7" s="253" t="s">
        <v>39</v>
      </c>
      <c r="P7" s="30">
        <f t="shared" si="6"/>
        <v>0.36462385321100915</v>
      </c>
      <c r="Q7" s="30">
        <f t="shared" si="7"/>
        <v>11.543079633027521</v>
      </c>
      <c r="R7" s="30">
        <f t="shared" si="8"/>
        <v>8061189.8219999988</v>
      </c>
      <c r="S7" s="30">
        <f t="shared" si="9"/>
        <v>254637.6</v>
      </c>
      <c r="T7" s="30">
        <f t="shared" si="10"/>
        <v>4241471.8499999996</v>
      </c>
      <c r="U7" s="31"/>
      <c r="V7" s="3"/>
      <c r="W7" s="220"/>
      <c r="X7" s="221" t="s">
        <v>40</v>
      </c>
      <c r="Y7" s="221">
        <v>2.5000000000000001E-2</v>
      </c>
      <c r="Z7" s="221">
        <v>1</v>
      </c>
      <c r="AA7" s="221">
        <v>1700</v>
      </c>
      <c r="AB7" s="221">
        <v>840</v>
      </c>
      <c r="AC7" s="268">
        <f>Y7/Z7</f>
        <v>2.5000000000000001E-2</v>
      </c>
      <c r="AD7" s="222">
        <f>Y7*AA7*AB7</f>
        <v>35700</v>
      </c>
      <c r="AE7" s="14" t="s">
        <v>41</v>
      </c>
      <c r="AF7" s="14"/>
      <c r="AG7" s="14"/>
      <c r="AL7" s="154" t="s">
        <v>389</v>
      </c>
      <c r="AM7" s="81" t="s">
        <v>390</v>
      </c>
      <c r="AN7" s="81" t="s">
        <v>395</v>
      </c>
      <c r="AO7" s="81">
        <f>SUM(N14)/SUM(N6:N14,N27,N26)</f>
        <v>0.2183423286807121</v>
      </c>
      <c r="AP7" s="81" t="s">
        <v>392</v>
      </c>
      <c r="AQ7" s="204">
        <v>0.13800000000000001</v>
      </c>
      <c r="AU7" s="205" t="s">
        <v>389</v>
      </c>
      <c r="AV7" s="205" t="s">
        <v>390</v>
      </c>
      <c r="AW7" s="205" t="s">
        <v>395</v>
      </c>
      <c r="AX7" s="207" t="s">
        <v>434</v>
      </c>
      <c r="AY7" s="206">
        <f t="shared" si="3"/>
        <v>0.17799999999999999</v>
      </c>
      <c r="AZ7" s="205" t="s">
        <v>392</v>
      </c>
      <c r="BE7" s="81" t="s">
        <v>122</v>
      </c>
      <c r="BF7" s="204">
        <f>AO9</f>
        <v>2008375.4092879263</v>
      </c>
      <c r="BI7" s="81" t="s">
        <v>442</v>
      </c>
      <c r="BJ7" s="3">
        <f>BF25</f>
        <v>79.936389473684216</v>
      </c>
      <c r="BP7" s="154" t="s">
        <v>389</v>
      </c>
      <c r="BQ7" s="81" t="s">
        <v>390</v>
      </c>
      <c r="BR7" s="81" t="s">
        <v>395</v>
      </c>
      <c r="BS7" s="204">
        <f t="shared" si="4"/>
        <v>0.13800000000000001</v>
      </c>
      <c r="BT7" s="81" t="s">
        <v>392</v>
      </c>
      <c r="BU7" s="204">
        <v>0.13800000000000001</v>
      </c>
      <c r="BY7" s="211">
        <f>CB11</f>
        <v>0.17799999999999999</v>
      </c>
      <c r="BZ7" s="211"/>
      <c r="CA7" s="81" t="s">
        <v>469</v>
      </c>
      <c r="CB7" s="204">
        <v>292</v>
      </c>
      <c r="CC7" s="204">
        <v>6.6199999999999995E-2</v>
      </c>
      <c r="CG7" s="81" t="s">
        <v>465</v>
      </c>
      <c r="CH7" s="204">
        <v>292</v>
      </c>
      <c r="CI7" s="204">
        <v>0.10299999999999999</v>
      </c>
      <c r="CJ7" s="81">
        <v>2836.8</v>
      </c>
      <c r="CK7" s="81" t="s">
        <v>505</v>
      </c>
      <c r="CM7" s="81" t="s">
        <v>465</v>
      </c>
      <c r="CN7" s="204">
        <v>290</v>
      </c>
      <c r="CO7" s="204">
        <v>0.23599999999999999</v>
      </c>
      <c r="CP7" s="81">
        <v>1228.6600000000001</v>
      </c>
      <c r="CQ7" s="81" t="s">
        <v>509</v>
      </c>
      <c r="CR7" s="204">
        <v>2E-16</v>
      </c>
      <c r="CS7" s="81" t="s">
        <v>510</v>
      </c>
      <c r="CU7" s="212" t="s">
        <v>506</v>
      </c>
      <c r="CV7" s="81" t="s">
        <v>499</v>
      </c>
      <c r="DL7" s="287">
        <f t="shared" si="0"/>
        <v>0</v>
      </c>
      <c r="DM7" s="287">
        <f t="shared" si="1"/>
        <v>0</v>
      </c>
      <c r="DN7" s="287">
        <f t="shared" si="2"/>
        <v>0</v>
      </c>
      <c r="DP7" s="290" t="s">
        <v>506</v>
      </c>
      <c r="DQ7" s="290" t="s">
        <v>465</v>
      </c>
      <c r="DR7" s="291">
        <v>293</v>
      </c>
      <c r="DS7" s="291">
        <v>3.5200000000000002E-2</v>
      </c>
      <c r="DT7" s="290">
        <v>8328.66</v>
      </c>
      <c r="DU7" s="290" t="s">
        <v>509</v>
      </c>
      <c r="DV7" s="291">
        <v>2E-16</v>
      </c>
      <c r="DW7" s="81" t="s">
        <v>510</v>
      </c>
      <c r="DX7" s="212" t="s">
        <v>568</v>
      </c>
      <c r="DY7" s="294" t="s">
        <v>571</v>
      </c>
      <c r="DZ7" s="292" t="s">
        <v>434</v>
      </c>
      <c r="EA7" s="293">
        <f t="shared" si="11"/>
        <v>1.51</v>
      </c>
      <c r="EB7" s="212" t="s">
        <v>392</v>
      </c>
    </row>
    <row r="8" spans="1:132" ht="15" customHeight="1" thickTop="1" thickBot="1" x14ac:dyDescent="0.35">
      <c r="A8" s="226" t="s">
        <v>47</v>
      </c>
      <c r="B8" s="229">
        <f>B6-B7</f>
        <v>119.59999999999997</v>
      </c>
      <c r="C8" s="221"/>
      <c r="D8" s="226" t="s">
        <v>48</v>
      </c>
      <c r="E8" s="221" t="s">
        <v>36</v>
      </c>
      <c r="F8" s="227">
        <f t="shared" si="5"/>
        <v>0.20044052863436124</v>
      </c>
      <c r="G8" s="221"/>
      <c r="H8" s="228">
        <f>'Tabula data'!B18*C45</f>
        <v>9.1</v>
      </c>
      <c r="J8" s="81" t="s">
        <v>44</v>
      </c>
      <c r="K8" s="250">
        <v>0</v>
      </c>
      <c r="L8" s="251">
        <v>1</v>
      </c>
      <c r="M8" s="251" t="s">
        <v>25</v>
      </c>
      <c r="N8" s="252">
        <f>'Tabula data'!B10*C42/2*C43</f>
        <v>54.722250000000003</v>
      </c>
      <c r="O8" s="253" t="s">
        <v>45</v>
      </c>
      <c r="P8" s="30">
        <f t="shared" si="6"/>
        <v>0.36462385321100915</v>
      </c>
      <c r="Q8" s="30">
        <f t="shared" si="7"/>
        <v>19.953037651376146</v>
      </c>
      <c r="R8" s="30">
        <f t="shared" si="8"/>
        <v>13934342.4066</v>
      </c>
      <c r="S8" s="30">
        <f t="shared" si="9"/>
        <v>254637.6</v>
      </c>
      <c r="T8" s="30">
        <f t="shared" si="10"/>
        <v>7331687.0550000006</v>
      </c>
      <c r="U8" s="31"/>
      <c r="V8" s="3"/>
      <c r="W8" s="220"/>
      <c r="X8" s="221" t="s">
        <v>46</v>
      </c>
      <c r="Y8" s="221">
        <v>0</v>
      </c>
      <c r="Z8" s="221">
        <v>0</v>
      </c>
      <c r="AA8" s="221">
        <v>0</v>
      </c>
      <c r="AB8" s="221">
        <v>0</v>
      </c>
      <c r="AC8" s="268">
        <v>0.16</v>
      </c>
      <c r="AD8" s="222">
        <f>Y8*AA8*AB8</f>
        <v>0</v>
      </c>
      <c r="AE8" s="14"/>
      <c r="AF8" s="14"/>
      <c r="AG8" s="14"/>
      <c r="AP8" s="81" t="s">
        <v>392</v>
      </c>
      <c r="AQ8" s="204"/>
      <c r="AU8" s="205"/>
      <c r="AV8" s="205"/>
      <c r="AW8" s="205"/>
      <c r="AX8" s="207"/>
      <c r="AZ8" s="205"/>
      <c r="BS8" s="204">
        <f>AQ8</f>
        <v>0</v>
      </c>
      <c r="BT8" s="81" t="s">
        <v>392</v>
      </c>
      <c r="BU8" s="204"/>
      <c r="CA8" s="81" t="s">
        <v>470</v>
      </c>
      <c r="CB8" s="204">
        <v>0.19500000000000001</v>
      </c>
      <c r="CC8" s="204">
        <v>1.0499999999999999E-3</v>
      </c>
      <c r="CG8" s="81" t="s">
        <v>466</v>
      </c>
      <c r="CH8" s="204">
        <v>291</v>
      </c>
      <c r="CI8" s="204">
        <v>0.105</v>
      </c>
      <c r="CJ8" s="81">
        <v>2780.29</v>
      </c>
      <c r="CK8" s="81" t="s">
        <v>505</v>
      </c>
      <c r="CM8" s="81" t="s">
        <v>466</v>
      </c>
      <c r="CN8" s="204">
        <v>285</v>
      </c>
      <c r="CO8" s="204">
        <v>0.35499999999999998</v>
      </c>
      <c r="CP8" s="81">
        <v>802.92</v>
      </c>
      <c r="CQ8" s="81" t="s">
        <v>509</v>
      </c>
      <c r="CR8" s="204">
        <v>2E-16</v>
      </c>
      <c r="CS8" s="81" t="s">
        <v>510</v>
      </c>
      <c r="CU8" s="212" t="s">
        <v>506</v>
      </c>
      <c r="CV8" s="81" t="s">
        <v>500</v>
      </c>
      <c r="CW8" s="81" t="s">
        <v>501</v>
      </c>
      <c r="CX8" s="81" t="s">
        <v>502</v>
      </c>
      <c r="CY8" s="81" t="s">
        <v>503</v>
      </c>
      <c r="CZ8" s="81" t="s">
        <v>504</v>
      </c>
      <c r="DA8" s="81" t="s">
        <v>508</v>
      </c>
      <c r="DK8" s="81" t="s">
        <v>396</v>
      </c>
      <c r="DL8" s="288">
        <f t="shared" si="0"/>
        <v>2008375.4092879263</v>
      </c>
      <c r="DM8" s="288">
        <f t="shared" si="1"/>
        <v>2850000</v>
      </c>
      <c r="DN8" s="288">
        <f t="shared" si="2"/>
        <v>3460000</v>
      </c>
      <c r="DP8" s="290" t="s">
        <v>506</v>
      </c>
      <c r="DQ8" s="290" t="s">
        <v>466</v>
      </c>
      <c r="DR8" s="291">
        <v>293</v>
      </c>
      <c r="DS8" s="291">
        <v>2.6200000000000001E-2</v>
      </c>
      <c r="DT8" s="290">
        <v>11156.56</v>
      </c>
      <c r="DU8" s="290" t="s">
        <v>509</v>
      </c>
      <c r="DV8" s="291">
        <v>2E-16</v>
      </c>
      <c r="DW8" s="81" t="s">
        <v>510</v>
      </c>
      <c r="DX8" s="212" t="s">
        <v>568</v>
      </c>
      <c r="DY8" s="295" t="s">
        <v>572</v>
      </c>
      <c r="DZ8" s="292" t="s">
        <v>434</v>
      </c>
      <c r="EA8" s="293">
        <f t="shared" si="11"/>
        <v>1.1299999999999999</v>
      </c>
      <c r="EB8" s="212" t="s">
        <v>392</v>
      </c>
    </row>
    <row r="9" spans="1:132" ht="15" customHeight="1" thickTop="1" thickBot="1" x14ac:dyDescent="0.35">
      <c r="A9" s="220"/>
      <c r="B9" s="221"/>
      <c r="C9" s="221"/>
      <c r="D9" s="226" t="s">
        <v>52</v>
      </c>
      <c r="E9" s="231" t="s">
        <v>36</v>
      </c>
      <c r="F9" s="227">
        <f t="shared" si="5"/>
        <v>0.17577092511013215</v>
      </c>
      <c r="G9" s="221"/>
      <c r="H9" s="228">
        <f>'Tabula data'!B19*'Tabula 2zone Ref 1'!C45</f>
        <v>7.9799999999999995</v>
      </c>
      <c r="J9" s="81" t="s">
        <v>49</v>
      </c>
      <c r="K9" s="250">
        <v>0</v>
      </c>
      <c r="L9" s="251">
        <v>1</v>
      </c>
      <c r="M9" s="251" t="s">
        <v>25</v>
      </c>
      <c r="N9" s="252">
        <f>'Tabula data'!B10*(1-C42)/2*C44</f>
        <v>31.657499999999995</v>
      </c>
      <c r="O9" s="253" t="s">
        <v>50</v>
      </c>
      <c r="P9" s="30">
        <f t="shared" si="6"/>
        <v>0.36462385321100915</v>
      </c>
      <c r="Q9" s="30">
        <f t="shared" si="7"/>
        <v>11.543079633027521</v>
      </c>
      <c r="R9" s="30">
        <f t="shared" si="8"/>
        <v>8061189.8219999988</v>
      </c>
      <c r="S9" s="30">
        <f t="shared" si="9"/>
        <v>254637.6</v>
      </c>
      <c r="T9" s="30">
        <f t="shared" si="10"/>
        <v>4241471.8499999996</v>
      </c>
      <c r="U9" s="31"/>
      <c r="V9" s="3"/>
      <c r="W9" s="220"/>
      <c r="X9" s="231" t="s">
        <v>267</v>
      </c>
      <c r="Y9" s="303">
        <v>0.12</v>
      </c>
      <c r="Z9" s="221">
        <v>3.5999999999999997E-2</v>
      </c>
      <c r="AA9" s="221">
        <v>80</v>
      </c>
      <c r="AB9" s="221">
        <v>1470</v>
      </c>
      <c r="AC9" s="268">
        <f>Y9/Z9</f>
        <v>3.3333333333333335</v>
      </c>
      <c r="AD9" s="222">
        <f>Y9*AA9*AB9</f>
        <v>14112</v>
      </c>
      <c r="AE9" s="14"/>
      <c r="AF9" s="14"/>
      <c r="AG9" s="14"/>
      <c r="AL9" s="154" t="s">
        <v>389</v>
      </c>
      <c r="AM9" s="81" t="s">
        <v>390</v>
      </c>
      <c r="AN9" s="81" t="s">
        <v>396</v>
      </c>
      <c r="AO9" s="204">
        <f>B34*1.04*1012*5</f>
        <v>2008375.4092879263</v>
      </c>
      <c r="AP9" s="81" t="s">
        <v>392</v>
      </c>
      <c r="AQ9" s="204">
        <v>2850000</v>
      </c>
      <c r="AU9" s="205" t="s">
        <v>389</v>
      </c>
      <c r="AV9" s="205" t="s">
        <v>390</v>
      </c>
      <c r="AW9" s="205" t="s">
        <v>396</v>
      </c>
      <c r="AX9" s="207" t="s">
        <v>434</v>
      </c>
      <c r="AY9" s="206">
        <f t="shared" si="3"/>
        <v>3460000</v>
      </c>
      <c r="AZ9" s="205" t="s">
        <v>392</v>
      </c>
      <c r="BE9" s="81" t="s">
        <v>285</v>
      </c>
      <c r="BF9" s="81">
        <f>AO21</f>
        <v>1199.8730546623794</v>
      </c>
      <c r="BI9" s="81" t="s">
        <v>443</v>
      </c>
      <c r="BJ9" s="204">
        <f>BF5</f>
        <v>23146317.810000002</v>
      </c>
      <c r="BP9" s="154" t="s">
        <v>389</v>
      </c>
      <c r="BQ9" s="81" t="s">
        <v>390</v>
      </c>
      <c r="BR9" s="81" t="s">
        <v>396</v>
      </c>
      <c r="BS9" s="204">
        <f>AQ9</f>
        <v>2850000</v>
      </c>
      <c r="BT9" s="81" t="s">
        <v>392</v>
      </c>
      <c r="BU9" s="204">
        <v>2850000</v>
      </c>
      <c r="BY9" s="211">
        <f>CB15</f>
        <v>3460000</v>
      </c>
      <c r="BZ9" s="211"/>
      <c r="CA9" s="81" t="s">
        <v>471</v>
      </c>
      <c r="CB9" s="204">
        <v>0.38800000000000001</v>
      </c>
      <c r="CC9" s="204">
        <v>1.15E-3</v>
      </c>
      <c r="CG9" s="81" t="s">
        <v>467</v>
      </c>
      <c r="CH9" s="204">
        <v>294</v>
      </c>
      <c r="CI9" s="204">
        <v>5.4199999999999998E-2</v>
      </c>
      <c r="CJ9" s="81">
        <v>5435.78</v>
      </c>
      <c r="CK9" s="81" t="s">
        <v>505</v>
      </c>
      <c r="CM9" s="81" t="s">
        <v>467</v>
      </c>
      <c r="CN9" s="204">
        <v>291</v>
      </c>
      <c r="CO9" s="204">
        <v>0.127</v>
      </c>
      <c r="CP9" s="81">
        <v>2291.35</v>
      </c>
      <c r="CQ9" s="81" t="s">
        <v>509</v>
      </c>
      <c r="CR9" s="204">
        <v>2E-16</v>
      </c>
      <c r="CS9" s="81" t="s">
        <v>510</v>
      </c>
      <c r="CU9" s="212" t="s">
        <v>506</v>
      </c>
      <c r="CV9" s="81" t="s">
        <v>522</v>
      </c>
      <c r="CW9" s="204">
        <v>294</v>
      </c>
      <c r="CX9" s="204">
        <v>3.8399999999999998E-5</v>
      </c>
      <c r="CY9" s="81">
        <v>7667965</v>
      </c>
      <c r="CZ9" s="81" t="s">
        <v>505</v>
      </c>
      <c r="DA9" s="81" t="s">
        <v>510</v>
      </c>
      <c r="DK9" s="81" t="s">
        <v>397</v>
      </c>
      <c r="DL9" s="288">
        <f t="shared" si="0"/>
        <v>23146317.810000002</v>
      </c>
      <c r="DM9" s="288">
        <f t="shared" si="1"/>
        <v>19700000</v>
      </c>
      <c r="DN9" s="288">
        <f t="shared" si="2"/>
        <v>23000000</v>
      </c>
      <c r="DP9" s="290" t="s">
        <v>506</v>
      </c>
      <c r="DQ9" s="290" t="s">
        <v>467</v>
      </c>
      <c r="DR9" s="291">
        <v>295</v>
      </c>
      <c r="DS9" s="291">
        <v>2.4500000000000001E-2</v>
      </c>
      <c r="DT9" s="290">
        <v>12028.78</v>
      </c>
      <c r="DU9" s="290" t="s">
        <v>509</v>
      </c>
      <c r="DV9" s="291">
        <v>2E-16</v>
      </c>
      <c r="DW9" s="81" t="s">
        <v>510</v>
      </c>
      <c r="DX9" s="212" t="s">
        <v>568</v>
      </c>
      <c r="DY9" s="295" t="s">
        <v>573</v>
      </c>
      <c r="DZ9" s="292" t="s">
        <v>434</v>
      </c>
      <c r="EA9" s="293">
        <f t="shared" si="11"/>
        <v>2.75</v>
      </c>
      <c r="EB9" s="212" t="s">
        <v>392</v>
      </c>
    </row>
    <row r="10" spans="1:132" ht="15" customHeight="1" thickTop="1" thickBot="1" x14ac:dyDescent="0.35">
      <c r="A10" s="220"/>
      <c r="B10" s="221"/>
      <c r="C10" s="221"/>
      <c r="D10" s="226" t="s">
        <v>35</v>
      </c>
      <c r="E10" s="231" t="s">
        <v>56</v>
      </c>
      <c r="F10" s="227">
        <f t="shared" si="5"/>
        <v>6.5418502202643183E-2</v>
      </c>
      <c r="G10" s="221"/>
      <c r="H10" s="232">
        <f>'Tabula data'!B16*(1-C45)</f>
        <v>2.9700000000000006</v>
      </c>
      <c r="J10" s="81" t="s">
        <v>53</v>
      </c>
      <c r="K10" s="250">
        <v>0</v>
      </c>
      <c r="L10" s="251">
        <v>1</v>
      </c>
      <c r="M10" s="251" t="s">
        <v>54</v>
      </c>
      <c r="N10" s="252">
        <f>H6</f>
        <v>6.93</v>
      </c>
      <c r="O10" s="253" t="s">
        <v>26</v>
      </c>
      <c r="P10" s="30">
        <f t="shared" si="6"/>
        <v>2</v>
      </c>
      <c r="Q10" s="30">
        <f t="shared" si="7"/>
        <v>13.86</v>
      </c>
      <c r="R10" s="30">
        <f t="shared" si="8"/>
        <v>0</v>
      </c>
      <c r="S10" s="30">
        <f t="shared" si="9"/>
        <v>0</v>
      </c>
      <c r="T10" s="30">
        <f t="shared" si="10"/>
        <v>0</v>
      </c>
      <c r="U10" s="31"/>
      <c r="V10" s="3"/>
      <c r="W10" s="237"/>
      <c r="X10" s="219" t="s">
        <v>58</v>
      </c>
      <c r="Y10" s="219">
        <v>0.02</v>
      </c>
      <c r="Z10" s="219">
        <v>0.6</v>
      </c>
      <c r="AA10" s="219">
        <v>975</v>
      </c>
      <c r="AB10" s="219">
        <v>840</v>
      </c>
      <c r="AC10" s="269">
        <f>Y10/Z10</f>
        <v>3.3333333333333333E-2</v>
      </c>
      <c r="AD10" s="242">
        <f>Y10*AA10*AB10</f>
        <v>16380</v>
      </c>
      <c r="AE10" s="14"/>
      <c r="AF10" s="14"/>
      <c r="AG10" s="14"/>
      <c r="AL10" s="154" t="s">
        <v>389</v>
      </c>
      <c r="AM10" s="81" t="s">
        <v>390</v>
      </c>
      <c r="AN10" s="81" t="s">
        <v>397</v>
      </c>
      <c r="AO10" s="204">
        <f>SUM(T6:T9)</f>
        <v>23146317.810000002</v>
      </c>
      <c r="AP10" s="81" t="s">
        <v>392</v>
      </c>
      <c r="AQ10" s="204">
        <v>19700000</v>
      </c>
      <c r="AU10" s="205" t="s">
        <v>389</v>
      </c>
      <c r="AV10" s="205" t="s">
        <v>390</v>
      </c>
      <c r="AW10" s="205" t="s">
        <v>397</v>
      </c>
      <c r="AX10" s="207" t="s">
        <v>434</v>
      </c>
      <c r="AY10" s="206">
        <f t="shared" si="3"/>
        <v>23000000</v>
      </c>
      <c r="AZ10" s="205" t="s">
        <v>392</v>
      </c>
      <c r="BE10" s="81" t="s">
        <v>293</v>
      </c>
      <c r="BF10" s="204">
        <f>AO11</f>
        <v>34102725.300000004</v>
      </c>
      <c r="BI10" s="81" t="s">
        <v>444</v>
      </c>
      <c r="BJ10" s="204">
        <f>BF26</f>
        <v>14285844.090000004</v>
      </c>
      <c r="BP10" s="154" t="s">
        <v>389</v>
      </c>
      <c r="BQ10" s="81" t="s">
        <v>390</v>
      </c>
      <c r="BR10" s="81" t="s">
        <v>397</v>
      </c>
      <c r="BS10" s="204">
        <f t="shared" ref="BS10:BS12" si="12">AQ10</f>
        <v>19700000</v>
      </c>
      <c r="BT10" s="81" t="s">
        <v>392</v>
      </c>
      <c r="BU10" s="204">
        <v>19700000</v>
      </c>
      <c r="BY10" s="211">
        <f>CB16</f>
        <v>23000000</v>
      </c>
      <c r="BZ10" s="211"/>
      <c r="CA10" s="81" t="s">
        <v>472</v>
      </c>
      <c r="CB10" s="204">
        <v>6.13E-2</v>
      </c>
      <c r="CC10" s="204">
        <v>5.5399999999999998E-3</v>
      </c>
      <c r="CG10" s="81" t="s">
        <v>468</v>
      </c>
      <c r="CH10" s="204">
        <v>290</v>
      </c>
      <c r="CI10" s="204">
        <v>0.111</v>
      </c>
      <c r="CJ10" s="81">
        <v>2606.75</v>
      </c>
      <c r="CK10" s="81" t="s">
        <v>505</v>
      </c>
      <c r="CM10" s="81" t="s">
        <v>468</v>
      </c>
      <c r="CN10" s="204">
        <v>294</v>
      </c>
      <c r="CO10" s="204">
        <v>0.20300000000000001</v>
      </c>
      <c r="CP10" s="81">
        <v>1448.79</v>
      </c>
      <c r="CQ10" s="81" t="s">
        <v>509</v>
      </c>
      <c r="CR10" s="204">
        <v>2E-16</v>
      </c>
      <c r="CS10" s="81" t="s">
        <v>510</v>
      </c>
      <c r="CU10" s="212" t="s">
        <v>506</v>
      </c>
      <c r="CV10" s="81" t="s">
        <v>523</v>
      </c>
      <c r="CW10" s="204">
        <v>294</v>
      </c>
      <c r="CX10" s="204">
        <v>2.7399999999999999E-5</v>
      </c>
      <c r="CY10" s="81">
        <v>10703458</v>
      </c>
      <c r="CZ10" s="81" t="s">
        <v>505</v>
      </c>
      <c r="DA10" s="81" t="s">
        <v>510</v>
      </c>
      <c r="DE10" s="81" t="s">
        <v>389</v>
      </c>
      <c r="DF10" s="81" t="s">
        <v>390</v>
      </c>
      <c r="DG10" s="81" t="str">
        <f>CV17</f>
        <v>abs1D</v>
      </c>
      <c r="DH10" s="81" t="s">
        <v>434</v>
      </c>
      <c r="DI10" s="204">
        <f>CW17</f>
        <v>0.17</v>
      </c>
      <c r="DJ10" s="81" t="s">
        <v>392</v>
      </c>
      <c r="DK10" s="81" t="s">
        <v>398</v>
      </c>
      <c r="DL10" s="288">
        <f t="shared" si="0"/>
        <v>34102725.300000004</v>
      </c>
      <c r="DM10" s="288">
        <f t="shared" si="1"/>
        <v>33400000</v>
      </c>
      <c r="DN10" s="288">
        <f t="shared" si="2"/>
        <v>28700000</v>
      </c>
      <c r="DP10" s="290" t="s">
        <v>506</v>
      </c>
      <c r="DQ10" s="290" t="s">
        <v>468</v>
      </c>
      <c r="DR10" s="291">
        <v>290</v>
      </c>
      <c r="DS10" s="291">
        <v>4.5900000000000003E-2</v>
      </c>
      <c r="DT10" s="290">
        <v>6329.71</v>
      </c>
      <c r="DU10" s="290" t="s">
        <v>509</v>
      </c>
      <c r="DV10" s="291">
        <v>2E-16</v>
      </c>
      <c r="DW10" s="81" t="s">
        <v>510</v>
      </c>
      <c r="DX10" s="212" t="s">
        <v>568</v>
      </c>
      <c r="DY10" s="295" t="s">
        <v>574</v>
      </c>
      <c r="DZ10" s="292" t="s">
        <v>434</v>
      </c>
      <c r="EA10" s="293">
        <f t="shared" si="11"/>
        <v>3.41</v>
      </c>
      <c r="EB10" s="212" t="s">
        <v>392</v>
      </c>
    </row>
    <row r="11" spans="1:132" ht="15" customHeight="1" thickTop="1" thickBot="1" x14ac:dyDescent="0.35">
      <c r="A11" s="220"/>
      <c r="B11" s="221"/>
      <c r="C11" s="221"/>
      <c r="D11" s="226" t="s">
        <v>43</v>
      </c>
      <c r="E11" s="231" t="s">
        <v>56</v>
      </c>
      <c r="F11" s="227">
        <f t="shared" si="5"/>
        <v>7.3348017621145387E-2</v>
      </c>
      <c r="G11" s="221"/>
      <c r="H11" s="232">
        <f>'Tabula data'!B17*(1-'Tabula 2zone Ref 1'!C45)</f>
        <v>3.3300000000000005</v>
      </c>
      <c r="J11" s="81" t="s">
        <v>57</v>
      </c>
      <c r="K11" s="250">
        <v>0</v>
      </c>
      <c r="L11" s="251">
        <v>1</v>
      </c>
      <c r="M11" s="251" t="s">
        <v>54</v>
      </c>
      <c r="N11" s="252">
        <f>H7</f>
        <v>7.77</v>
      </c>
      <c r="O11" s="253" t="s">
        <v>39</v>
      </c>
      <c r="P11" s="30">
        <f t="shared" si="6"/>
        <v>2</v>
      </c>
      <c r="Q11" s="30">
        <f t="shared" si="7"/>
        <v>15.54</v>
      </c>
      <c r="R11" s="30">
        <f t="shared" si="8"/>
        <v>0</v>
      </c>
      <c r="S11" s="30">
        <f t="shared" si="9"/>
        <v>0</v>
      </c>
      <c r="T11" s="30">
        <f t="shared" si="10"/>
        <v>0</v>
      </c>
      <c r="U11" s="31"/>
      <c r="V11" s="3"/>
      <c r="W11" s="221"/>
      <c r="X11" s="221"/>
      <c r="Y11" s="270"/>
      <c r="Z11" s="270"/>
      <c r="AA11" s="270"/>
      <c r="AB11" s="221"/>
      <c r="AC11" s="268"/>
      <c r="AD11" s="221"/>
      <c r="AE11" s="14"/>
      <c r="AF11" s="14"/>
      <c r="AG11" s="14"/>
      <c r="AL11" s="154" t="s">
        <v>389</v>
      </c>
      <c r="AM11" s="81" t="s">
        <v>390</v>
      </c>
      <c r="AN11" s="81" t="s">
        <v>398</v>
      </c>
      <c r="AO11" s="204">
        <f>SUM(T27)</f>
        <v>34102725.300000004</v>
      </c>
      <c r="AP11" s="81" t="s">
        <v>392</v>
      </c>
      <c r="AQ11" s="204">
        <v>33400000</v>
      </c>
      <c r="AU11" s="205" t="s">
        <v>389</v>
      </c>
      <c r="AV11" s="205" t="s">
        <v>390</v>
      </c>
      <c r="AW11" s="205" t="s">
        <v>398</v>
      </c>
      <c r="AX11" s="207" t="s">
        <v>434</v>
      </c>
      <c r="AY11" s="206">
        <f t="shared" si="3"/>
        <v>28700000</v>
      </c>
      <c r="AZ11" s="205" t="s">
        <v>392</v>
      </c>
      <c r="BE11" s="81" t="s">
        <v>297</v>
      </c>
      <c r="BF11" s="81">
        <f>1/(1/AO48+1/AO49+1/AO50)</f>
        <v>174.01385681293297</v>
      </c>
      <c r="BI11" s="81" t="s">
        <v>445</v>
      </c>
      <c r="BJ11" s="204">
        <f>BF10</f>
        <v>34102725.300000004</v>
      </c>
      <c r="BP11" s="154" t="s">
        <v>389</v>
      </c>
      <c r="BQ11" s="81" t="s">
        <v>390</v>
      </c>
      <c r="BR11" s="81" t="s">
        <v>398</v>
      </c>
      <c r="BS11" s="204">
        <f t="shared" si="12"/>
        <v>33400000</v>
      </c>
      <c r="BT11" s="81" t="s">
        <v>392</v>
      </c>
      <c r="BU11" s="204">
        <v>33400000</v>
      </c>
      <c r="BY11" s="211">
        <f>CB17</f>
        <v>28700000</v>
      </c>
      <c r="BZ11" s="211"/>
      <c r="CA11" s="81" t="s">
        <v>473</v>
      </c>
      <c r="CB11" s="204">
        <v>0.17799999999999999</v>
      </c>
      <c r="CC11" s="204">
        <v>5.53E-4</v>
      </c>
      <c r="CG11" s="81" t="s">
        <v>469</v>
      </c>
      <c r="CH11" s="204">
        <v>292</v>
      </c>
      <c r="CI11" s="204">
        <v>6.6199999999999995E-2</v>
      </c>
      <c r="CJ11" s="81">
        <v>4411.26</v>
      </c>
      <c r="CK11" s="81" t="s">
        <v>505</v>
      </c>
      <c r="CM11" s="81" t="s">
        <v>470</v>
      </c>
      <c r="CN11" s="204">
        <v>0.44800000000000001</v>
      </c>
      <c r="CO11" s="204">
        <v>1.03E-2</v>
      </c>
      <c r="CP11" s="81">
        <v>43.34</v>
      </c>
      <c r="CQ11" s="81" t="s">
        <v>509</v>
      </c>
      <c r="CR11" s="204">
        <v>2E-16</v>
      </c>
      <c r="CS11" s="81" t="s">
        <v>510</v>
      </c>
      <c r="CU11" s="212" t="s">
        <v>506</v>
      </c>
      <c r="CV11" s="81" t="s">
        <v>524</v>
      </c>
      <c r="CW11" s="204">
        <v>296</v>
      </c>
      <c r="CX11" s="204">
        <v>2.55E-5</v>
      </c>
      <c r="CY11" s="81">
        <v>11580092</v>
      </c>
      <c r="CZ11" s="81" t="s">
        <v>505</v>
      </c>
      <c r="DA11" s="81" t="s">
        <v>510</v>
      </c>
      <c r="DE11" s="81" t="s">
        <v>389</v>
      </c>
      <c r="DF11" s="81" t="s">
        <v>390</v>
      </c>
      <c r="DG11" s="81" t="str">
        <f t="shared" ref="DG11:DG56" si="13">CV18</f>
        <v>abs1N</v>
      </c>
      <c r="DH11" s="81" t="s">
        <v>434</v>
      </c>
      <c r="DI11" s="204">
        <f t="shared" ref="DI11:DI56" si="14">CW18</f>
        <v>0.45</v>
      </c>
      <c r="DJ11" s="81" t="s">
        <v>392</v>
      </c>
      <c r="DK11" s="81" t="s">
        <v>399</v>
      </c>
      <c r="DL11" s="288">
        <f t="shared" si="0"/>
        <v>15401248.000000002</v>
      </c>
      <c r="DM11" s="288">
        <f t="shared" si="1"/>
        <v>14800000</v>
      </c>
      <c r="DN11" s="288">
        <f t="shared" si="2"/>
        <v>14600000</v>
      </c>
      <c r="DP11" s="290" t="s">
        <v>506</v>
      </c>
      <c r="DQ11" s="290" t="s">
        <v>469</v>
      </c>
      <c r="DR11" s="291">
        <v>293</v>
      </c>
      <c r="DS11" s="291">
        <v>2.2200000000000001E-2</v>
      </c>
      <c r="DT11" s="290">
        <v>13214.86</v>
      </c>
      <c r="DU11" s="290" t="s">
        <v>509</v>
      </c>
      <c r="DV11" s="291">
        <v>2E-16</v>
      </c>
      <c r="DW11" s="81" t="s">
        <v>510</v>
      </c>
      <c r="DX11" s="212" t="s">
        <v>568</v>
      </c>
      <c r="DY11" s="295" t="s">
        <v>575</v>
      </c>
      <c r="DZ11" s="292" t="s">
        <v>434</v>
      </c>
      <c r="EA11" s="293">
        <f t="shared" si="11"/>
        <v>2.93</v>
      </c>
      <c r="EB11" s="212" t="s">
        <v>392</v>
      </c>
    </row>
    <row r="12" spans="1:132" ht="15" customHeight="1" thickTop="1" thickBot="1" x14ac:dyDescent="0.35">
      <c r="A12" s="220"/>
      <c r="B12" s="221"/>
      <c r="C12" s="221"/>
      <c r="D12" s="226" t="s">
        <v>48</v>
      </c>
      <c r="E12" s="231" t="s">
        <v>56</v>
      </c>
      <c r="F12" s="227">
        <f t="shared" si="5"/>
        <v>8.5903083700440544E-2</v>
      </c>
      <c r="G12" s="221"/>
      <c r="H12" s="232">
        <f>'Tabula data'!B18*(1-'Tabula 2zone Ref 1'!C45)</f>
        <v>3.9000000000000004</v>
      </c>
      <c r="J12" s="81" t="s">
        <v>59</v>
      </c>
      <c r="K12" s="250">
        <v>0</v>
      </c>
      <c r="L12" s="251">
        <v>1</v>
      </c>
      <c r="M12" s="251" t="s">
        <v>54</v>
      </c>
      <c r="N12" s="252">
        <f>H8</f>
        <v>9.1</v>
      </c>
      <c r="O12" s="253" t="s">
        <v>45</v>
      </c>
      <c r="P12" s="30">
        <f t="shared" si="6"/>
        <v>2</v>
      </c>
      <c r="Q12" s="30">
        <f t="shared" si="7"/>
        <v>18.2</v>
      </c>
      <c r="R12" s="30">
        <f t="shared" si="8"/>
        <v>0</v>
      </c>
      <c r="S12" s="30">
        <f t="shared" si="9"/>
        <v>0</v>
      </c>
      <c r="T12" s="30">
        <f t="shared" si="10"/>
        <v>0</v>
      </c>
      <c r="U12" s="31"/>
      <c r="V12" s="3"/>
      <c r="W12" s="258"/>
      <c r="X12" s="258"/>
      <c r="Y12" s="259" t="s">
        <v>4</v>
      </c>
      <c r="Z12" s="259">
        <v>0.6</v>
      </c>
      <c r="AA12" s="259" t="s">
        <v>5</v>
      </c>
      <c r="AB12" s="258"/>
      <c r="AC12" s="258"/>
      <c r="AD12" s="258"/>
      <c r="AE12" s="14"/>
      <c r="AF12" s="14"/>
      <c r="AG12" s="14"/>
      <c r="AL12" s="154" t="s">
        <v>389</v>
      </c>
      <c r="AM12" s="81" t="s">
        <v>390</v>
      </c>
      <c r="AN12" s="81" t="s">
        <v>399</v>
      </c>
      <c r="AO12" s="204">
        <f>SUM(T14)</f>
        <v>15401248.000000002</v>
      </c>
      <c r="AP12" s="81" t="s">
        <v>392</v>
      </c>
      <c r="AQ12" s="204">
        <v>14800000</v>
      </c>
      <c r="AU12" s="205" t="s">
        <v>389</v>
      </c>
      <c r="AV12" s="205" t="s">
        <v>390</v>
      </c>
      <c r="AW12" s="205" t="s">
        <v>399</v>
      </c>
      <c r="AX12" s="207" t="s">
        <v>434</v>
      </c>
      <c r="AY12" s="206">
        <f t="shared" si="3"/>
        <v>14600000</v>
      </c>
      <c r="AZ12" s="205" t="s">
        <v>392</v>
      </c>
      <c r="BE12" s="81" t="s">
        <v>298</v>
      </c>
      <c r="BF12" s="81">
        <f>AO44+AO45</f>
        <v>55678583.999999985</v>
      </c>
      <c r="BI12" s="81" t="s">
        <v>446</v>
      </c>
      <c r="BJ12" s="204">
        <f>BF26</f>
        <v>14285844.090000004</v>
      </c>
      <c r="BP12" s="154" t="s">
        <v>389</v>
      </c>
      <c r="BQ12" s="81" t="s">
        <v>390</v>
      </c>
      <c r="BR12" s="81" t="s">
        <v>399</v>
      </c>
      <c r="BS12" s="204">
        <f t="shared" si="12"/>
        <v>14800000</v>
      </c>
      <c r="BT12" s="81" t="s">
        <v>392</v>
      </c>
      <c r="BU12" s="204">
        <v>14800000</v>
      </c>
      <c r="BY12" s="211">
        <f>CB14</f>
        <v>14600000</v>
      </c>
      <c r="BZ12" s="211"/>
      <c r="CA12" s="81" t="s">
        <v>474</v>
      </c>
      <c r="CB12" s="204">
        <v>0.14199999999999999</v>
      </c>
      <c r="CC12" s="204">
        <v>6.4000000000000005E-4</v>
      </c>
      <c r="CG12" s="81" t="s">
        <v>470</v>
      </c>
      <c r="CH12" s="204">
        <v>0.19500000000000001</v>
      </c>
      <c r="CI12" s="204">
        <v>1.0499999999999999E-3</v>
      </c>
      <c r="CJ12" s="81">
        <v>184.38</v>
      </c>
      <c r="CK12" s="81" t="s">
        <v>505</v>
      </c>
      <c r="CM12" s="81" t="s">
        <v>471</v>
      </c>
      <c r="CN12" s="204">
        <v>0.15</v>
      </c>
      <c r="CO12" s="204">
        <v>2E-3</v>
      </c>
      <c r="CP12" s="81">
        <v>75.25</v>
      </c>
      <c r="CQ12" s="81" t="s">
        <v>509</v>
      </c>
      <c r="CR12" s="204">
        <v>2E-16</v>
      </c>
      <c r="CS12" s="81" t="s">
        <v>510</v>
      </c>
      <c r="CU12" s="212" t="s">
        <v>506</v>
      </c>
      <c r="CV12" s="81" t="s">
        <v>513</v>
      </c>
      <c r="CW12" s="204">
        <v>295</v>
      </c>
      <c r="CX12" s="204">
        <v>2.5500000000000002E-4</v>
      </c>
      <c r="CY12" s="81">
        <v>1156688</v>
      </c>
      <c r="CZ12" s="81" t="s">
        <v>505</v>
      </c>
      <c r="DA12" s="81" t="s">
        <v>510</v>
      </c>
      <c r="DE12" s="81" t="s">
        <v>389</v>
      </c>
      <c r="DF12" s="81" t="s">
        <v>390</v>
      </c>
      <c r="DG12" s="81" t="str">
        <f t="shared" si="13"/>
        <v>abs2D</v>
      </c>
      <c r="DH12" s="81" t="s">
        <v>434</v>
      </c>
      <c r="DI12" s="204">
        <f t="shared" si="14"/>
        <v>0.42</v>
      </c>
      <c r="DJ12" s="81" t="s">
        <v>392</v>
      </c>
      <c r="DL12" s="287">
        <f t="shared" si="0"/>
        <v>0</v>
      </c>
      <c r="DM12" s="287">
        <f t="shared" si="1"/>
        <v>0</v>
      </c>
      <c r="DN12" s="287">
        <f t="shared" si="2"/>
        <v>0</v>
      </c>
      <c r="DP12" s="290" t="s">
        <v>506</v>
      </c>
      <c r="DQ12" s="290" t="s">
        <v>541</v>
      </c>
      <c r="DR12" s="291">
        <v>1.43</v>
      </c>
      <c r="DS12" s="291">
        <v>4.5499999999999999E-2</v>
      </c>
      <c r="DT12" s="290">
        <v>31.5</v>
      </c>
      <c r="DU12" s="290" t="s">
        <v>509</v>
      </c>
      <c r="DV12" s="291">
        <v>2E-16</v>
      </c>
      <c r="DW12" s="81" t="s">
        <v>510</v>
      </c>
      <c r="DX12" s="212" t="s">
        <v>568</v>
      </c>
      <c r="DY12" s="294" t="s">
        <v>576</v>
      </c>
      <c r="DZ12" s="292" t="s">
        <v>434</v>
      </c>
      <c r="EA12" s="293">
        <f t="shared" si="11"/>
        <v>2.63</v>
      </c>
      <c r="EB12" s="212" t="s">
        <v>392</v>
      </c>
    </row>
    <row r="13" spans="1:132" ht="15" customHeight="1" thickTop="1" thickBot="1" x14ac:dyDescent="0.35">
      <c r="A13" s="220"/>
      <c r="B13" s="221"/>
      <c r="C13" s="221"/>
      <c r="D13" s="226" t="s">
        <v>52</v>
      </c>
      <c r="E13" s="231" t="s">
        <v>56</v>
      </c>
      <c r="F13" s="227">
        <f t="shared" si="5"/>
        <v>7.5330396475770944E-2</v>
      </c>
      <c r="G13" s="221"/>
      <c r="H13" s="232">
        <f>'Tabula data'!B19*(1-'Tabula 2zone Ref 1'!C45)</f>
        <v>3.4200000000000008</v>
      </c>
      <c r="J13" s="81" t="s">
        <v>60</v>
      </c>
      <c r="K13" s="250">
        <v>0</v>
      </c>
      <c r="L13" s="251">
        <v>1</v>
      </c>
      <c r="M13" s="251" t="s">
        <v>54</v>
      </c>
      <c r="N13" s="252">
        <f>H9</f>
        <v>7.9799999999999995</v>
      </c>
      <c r="O13" s="253" t="s">
        <v>50</v>
      </c>
      <c r="P13" s="30">
        <f t="shared" si="6"/>
        <v>2</v>
      </c>
      <c r="Q13" s="30">
        <f t="shared" si="7"/>
        <v>15.959999999999999</v>
      </c>
      <c r="R13" s="30">
        <f t="shared" si="8"/>
        <v>0</v>
      </c>
      <c r="S13" s="30">
        <f t="shared" si="9"/>
        <v>0</v>
      </c>
      <c r="T13" s="30">
        <f t="shared" si="10"/>
        <v>0</v>
      </c>
      <c r="U13" s="31"/>
      <c r="V13" s="3"/>
      <c r="W13" s="260" t="s">
        <v>64</v>
      </c>
      <c r="X13" s="261"/>
      <c r="Y13" s="262" t="s">
        <v>21</v>
      </c>
      <c r="Z13" s="263">
        <f>1/(1/8+SUM(AC15:AC19)+1/23)</f>
        <v>0.36462385321100915</v>
      </c>
      <c r="AA13" s="261" t="s">
        <v>5</v>
      </c>
      <c r="AB13" s="261"/>
      <c r="AC13" s="261" t="s">
        <v>22</v>
      </c>
      <c r="AD13" s="264">
        <f>SUM(AD15:AD20)</f>
        <v>254637.6</v>
      </c>
      <c r="AE13" s="14" t="s">
        <v>23</v>
      </c>
      <c r="AF13" s="14">
        <f>SUM(AD18:AD19)</f>
        <v>133980</v>
      </c>
      <c r="AG13" s="14"/>
      <c r="AO13" s="204"/>
      <c r="AP13" s="81" t="s">
        <v>392</v>
      </c>
      <c r="AQ13" s="204"/>
      <c r="AU13" s="205"/>
      <c r="AV13" s="205"/>
      <c r="AW13" s="205"/>
      <c r="AX13" s="207"/>
      <c r="AZ13" s="205"/>
      <c r="BS13" s="204"/>
      <c r="BT13" s="81" t="s">
        <v>392</v>
      </c>
      <c r="BU13" s="204"/>
      <c r="CA13" s="81" t="s">
        <v>298</v>
      </c>
      <c r="CB13" s="204">
        <v>995000000</v>
      </c>
      <c r="CC13" s="204">
        <v>22500000</v>
      </c>
      <c r="CG13" s="81" t="s">
        <v>471</v>
      </c>
      <c r="CH13" s="204">
        <v>0.38800000000000001</v>
      </c>
      <c r="CI13" s="204">
        <v>1.15E-3</v>
      </c>
      <c r="CJ13" s="81">
        <v>338.41</v>
      </c>
      <c r="CK13" s="81" t="s">
        <v>505</v>
      </c>
      <c r="CM13" s="81" t="s">
        <v>472</v>
      </c>
      <c r="CN13" s="204">
        <v>4.4699999999999997E-2</v>
      </c>
      <c r="CO13" s="204">
        <v>0.02</v>
      </c>
      <c r="CP13" s="81">
        <v>2.23</v>
      </c>
      <c r="CQ13" s="81">
        <v>2.5999999999999999E-2</v>
      </c>
      <c r="CR13" s="81" t="s">
        <v>511</v>
      </c>
      <c r="CU13" s="212" t="s">
        <v>506</v>
      </c>
      <c r="CV13" s="81" t="s">
        <v>514</v>
      </c>
      <c r="CW13" s="204">
        <v>294</v>
      </c>
      <c r="CX13" s="204">
        <v>2.5700000000000001E-4</v>
      </c>
      <c r="CY13" s="81">
        <v>1144487</v>
      </c>
      <c r="CZ13" s="81" t="s">
        <v>505</v>
      </c>
      <c r="DA13" s="81" t="s">
        <v>510</v>
      </c>
      <c r="DE13" s="81" t="s">
        <v>389</v>
      </c>
      <c r="DF13" s="81" t="s">
        <v>390</v>
      </c>
      <c r="DG13" s="81" t="str">
        <f t="shared" si="13"/>
        <v>abs2N</v>
      </c>
      <c r="DH13" s="81" t="s">
        <v>434</v>
      </c>
      <c r="DI13" s="204">
        <f t="shared" si="14"/>
        <v>0.15</v>
      </c>
      <c r="DJ13" s="81" t="s">
        <v>392</v>
      </c>
      <c r="DK13" s="81" t="s">
        <v>400</v>
      </c>
      <c r="DL13" s="286">
        <f t="shared" si="0"/>
        <v>8.1528915414370615E-2</v>
      </c>
      <c r="DM13" s="286">
        <f t="shared" si="1"/>
        <v>0.112</v>
      </c>
      <c r="DN13" s="286">
        <f t="shared" si="2"/>
        <v>6.9400000000000003E-2</v>
      </c>
      <c r="DP13" s="290" t="s">
        <v>506</v>
      </c>
      <c r="DQ13" s="290" t="s">
        <v>410</v>
      </c>
      <c r="DR13" s="291">
        <v>1.26</v>
      </c>
      <c r="DS13" s="291">
        <v>0.113</v>
      </c>
      <c r="DT13" s="290">
        <v>11.21</v>
      </c>
      <c r="DU13" s="291" t="s">
        <v>509</v>
      </c>
      <c r="DV13" s="291">
        <v>2E-16</v>
      </c>
      <c r="DW13" s="81" t="s">
        <v>510</v>
      </c>
      <c r="DX13" s="212" t="s">
        <v>568</v>
      </c>
      <c r="DY13" s="296" t="s">
        <v>577</v>
      </c>
      <c r="DZ13" s="292" t="s">
        <v>434</v>
      </c>
      <c r="EA13" s="293">
        <f t="shared" si="11"/>
        <v>0.59199999999999997</v>
      </c>
      <c r="EB13" s="212" t="s">
        <v>392</v>
      </c>
    </row>
    <row r="14" spans="1:132" ht="15" customHeight="1" thickTop="1" thickBot="1" x14ac:dyDescent="0.35">
      <c r="A14" s="220"/>
      <c r="B14" s="221"/>
      <c r="C14" s="221"/>
      <c r="D14" s="233" t="s">
        <v>65</v>
      </c>
      <c r="E14" s="234"/>
      <c r="F14" s="234"/>
      <c r="G14" s="234"/>
      <c r="H14" s="235"/>
      <c r="J14" s="81" t="s">
        <v>61</v>
      </c>
      <c r="K14" s="250" t="s">
        <v>62</v>
      </c>
      <c r="L14" s="251">
        <v>1</v>
      </c>
      <c r="M14" s="251" t="s">
        <v>63</v>
      </c>
      <c r="N14" s="252">
        <f>B7</f>
        <v>138.80000000000001</v>
      </c>
      <c r="O14" s="253"/>
      <c r="P14" s="30">
        <f t="shared" si="6"/>
        <v>0.28445648493057907</v>
      </c>
      <c r="Q14" s="30">
        <f t="shared" si="7"/>
        <v>39.482560108364375</v>
      </c>
      <c r="R14" s="30">
        <f t="shared" si="8"/>
        <v>64767758.200000003</v>
      </c>
      <c r="S14" s="30">
        <f t="shared" si="9"/>
        <v>466626.5</v>
      </c>
      <c r="T14" s="30">
        <f t="shared" si="10"/>
        <v>15401248.000000002</v>
      </c>
      <c r="U14" s="31"/>
      <c r="V14" s="3"/>
      <c r="W14" s="265"/>
      <c r="X14" s="266" t="s">
        <v>27</v>
      </c>
      <c r="Y14" s="266" t="s">
        <v>28</v>
      </c>
      <c r="Z14" s="266" t="s">
        <v>29</v>
      </c>
      <c r="AA14" s="266" t="s">
        <v>30</v>
      </c>
      <c r="AB14" s="266" t="s">
        <v>31</v>
      </c>
      <c r="AC14" s="266" t="s">
        <v>32</v>
      </c>
      <c r="AD14" s="267" t="s">
        <v>33</v>
      </c>
      <c r="AE14" s="14"/>
      <c r="AF14" s="14"/>
      <c r="AG14" s="14"/>
      <c r="AL14" s="154" t="s">
        <v>389</v>
      </c>
      <c r="AM14" s="81" t="s">
        <v>390</v>
      </c>
      <c r="AN14" s="81" t="s">
        <v>400</v>
      </c>
      <c r="AO14" s="81">
        <f>AO4*0.3</f>
        <v>8.1528915414370615E-2</v>
      </c>
      <c r="AP14" s="81" t="s">
        <v>392</v>
      </c>
      <c r="AQ14" s="204">
        <v>0.112</v>
      </c>
      <c r="AU14" s="205" t="s">
        <v>389</v>
      </c>
      <c r="AV14" s="205" t="s">
        <v>390</v>
      </c>
      <c r="AW14" s="205" t="s">
        <v>400</v>
      </c>
      <c r="AX14" s="207" t="s">
        <v>434</v>
      </c>
      <c r="AY14" s="206">
        <f t="shared" si="3"/>
        <v>6.9400000000000003E-2</v>
      </c>
      <c r="AZ14" s="205" t="s">
        <v>392</v>
      </c>
      <c r="BE14" s="81" t="s">
        <v>286</v>
      </c>
      <c r="BF14" s="81">
        <f>1/(1/AO20+1/AO24)</f>
        <v>38.747756729810568</v>
      </c>
      <c r="BI14" s="81" t="s">
        <v>447</v>
      </c>
      <c r="BJ14" s="81">
        <f>BF9</f>
        <v>1199.8730546623794</v>
      </c>
      <c r="BP14" s="154" t="s">
        <v>389</v>
      </c>
      <c r="BQ14" s="81" t="s">
        <v>390</v>
      </c>
      <c r="BR14" s="81" t="s">
        <v>400</v>
      </c>
      <c r="BS14" s="204">
        <f>AQ14</f>
        <v>0.112</v>
      </c>
      <c r="BT14" s="81" t="s">
        <v>392</v>
      </c>
      <c r="BU14" s="204">
        <v>0.112</v>
      </c>
      <c r="BY14" s="211">
        <f>CB23</f>
        <v>6.9400000000000003E-2</v>
      </c>
      <c r="BZ14" s="211"/>
      <c r="CA14" s="81" t="s">
        <v>294</v>
      </c>
      <c r="CB14" s="204">
        <v>14600000</v>
      </c>
      <c r="CC14" s="204">
        <v>300000</v>
      </c>
      <c r="CG14" s="81" t="s">
        <v>472</v>
      </c>
      <c r="CH14" s="204">
        <v>6.13E-2</v>
      </c>
      <c r="CI14" s="204">
        <v>5.5399999999999998E-3</v>
      </c>
      <c r="CJ14" s="81">
        <v>11.07</v>
      </c>
      <c r="CK14" s="81" t="s">
        <v>505</v>
      </c>
      <c r="CM14" s="81" t="s">
        <v>473</v>
      </c>
      <c r="CN14" s="204">
        <v>0.34599999999999997</v>
      </c>
      <c r="CO14" s="204">
        <v>6.0699999999999999E-3</v>
      </c>
      <c r="CP14" s="81">
        <v>57.03</v>
      </c>
      <c r="CQ14" s="81" t="s">
        <v>509</v>
      </c>
      <c r="CR14" s="204">
        <v>2E-16</v>
      </c>
      <c r="CS14" s="81" t="s">
        <v>510</v>
      </c>
      <c r="CU14" s="212" t="s">
        <v>506</v>
      </c>
      <c r="CV14" s="81" t="s">
        <v>525</v>
      </c>
      <c r="CW14" s="204">
        <v>293</v>
      </c>
      <c r="CX14" s="204">
        <v>1.5299999999999999E-5</v>
      </c>
      <c r="CY14" s="81">
        <v>19154623</v>
      </c>
      <c r="CZ14" s="81" t="s">
        <v>505</v>
      </c>
      <c r="DA14" s="81" t="s">
        <v>510</v>
      </c>
      <c r="DE14" s="81" t="s">
        <v>389</v>
      </c>
      <c r="DF14" s="81" t="s">
        <v>390</v>
      </c>
      <c r="DG14" s="81" t="str">
        <f t="shared" si="13"/>
        <v>abs3D</v>
      </c>
      <c r="DH14" s="81" t="s">
        <v>434</v>
      </c>
      <c r="DI14" s="204">
        <f t="shared" si="14"/>
        <v>0.14000000000000001</v>
      </c>
      <c r="DJ14" s="81" t="s">
        <v>392</v>
      </c>
      <c r="DK14" s="81" t="s">
        <v>401</v>
      </c>
      <c r="DL14" s="286">
        <f t="shared" si="0"/>
        <v>8.1528915414370615E-2</v>
      </c>
      <c r="DM14" s="286">
        <f t="shared" si="1"/>
        <v>0.216</v>
      </c>
      <c r="DN14" s="286">
        <f t="shared" si="2"/>
        <v>0.14099999999999999</v>
      </c>
      <c r="DP14" s="290" t="s">
        <v>506</v>
      </c>
      <c r="DQ14" s="290" t="s">
        <v>542</v>
      </c>
      <c r="DR14" s="291">
        <v>1.51</v>
      </c>
      <c r="DS14" s="291">
        <v>1.95E-2</v>
      </c>
      <c r="DT14" s="290">
        <v>77.709999999999994</v>
      </c>
      <c r="DU14" s="290" t="s">
        <v>509</v>
      </c>
      <c r="DV14" s="291">
        <v>2E-16</v>
      </c>
      <c r="DW14" s="81" t="s">
        <v>510</v>
      </c>
      <c r="DX14" s="212" t="s">
        <v>568</v>
      </c>
      <c r="DY14" s="296" t="s">
        <v>578</v>
      </c>
      <c r="DZ14" s="292" t="s">
        <v>434</v>
      </c>
      <c r="EA14" s="293">
        <f t="shared" si="11"/>
        <v>2.62</v>
      </c>
      <c r="EB14" s="212" t="s">
        <v>392</v>
      </c>
    </row>
    <row r="15" spans="1:132" ht="15" customHeight="1" thickTop="1" thickBot="1" x14ac:dyDescent="0.35">
      <c r="A15" s="220"/>
      <c r="B15" s="221"/>
      <c r="C15" s="221"/>
      <c r="D15" s="236"/>
      <c r="E15" s="221"/>
      <c r="F15" s="221"/>
      <c r="G15" s="221"/>
      <c r="H15" s="222"/>
      <c r="J15" s="81" t="s">
        <v>66</v>
      </c>
      <c r="K15" s="250">
        <v>0</v>
      </c>
      <c r="L15" s="251">
        <v>1</v>
      </c>
      <c r="M15" s="251" t="s">
        <v>20</v>
      </c>
      <c r="N15" s="254">
        <v>0</v>
      </c>
      <c r="O15" s="253"/>
      <c r="P15" s="30">
        <f t="shared" si="6"/>
        <v>0.27062537995411134</v>
      </c>
      <c r="Q15" s="30">
        <f t="shared" si="7"/>
        <v>0</v>
      </c>
      <c r="R15" s="30">
        <f>VLOOKUP(M15,$W$5:$AD$391,8,0)*N25</f>
        <v>10696627.199999999</v>
      </c>
      <c r="S15" s="30">
        <f>R15/N25</f>
        <v>66192</v>
      </c>
      <c r="T15" s="30">
        <f>VLOOKUP(M15,$W$5:$AF$391,10,0)*N25</f>
        <v>4927507.2</v>
      </c>
      <c r="U15" s="31"/>
      <c r="V15" s="3"/>
      <c r="W15" s="220"/>
      <c r="X15" s="221" t="s">
        <v>268</v>
      </c>
      <c r="Y15" s="221">
        <v>0.1</v>
      </c>
      <c r="Z15" s="221">
        <v>0.75</v>
      </c>
      <c r="AA15" s="221">
        <v>1400</v>
      </c>
      <c r="AB15" s="231">
        <v>840</v>
      </c>
      <c r="AC15" s="268">
        <f>Y15/Z15</f>
        <v>0.13333333333333333</v>
      </c>
      <c r="AD15" s="222">
        <f>AA15*AB15*Y15</f>
        <v>117600</v>
      </c>
      <c r="AE15" s="14"/>
      <c r="AF15" s="14"/>
      <c r="AG15" s="14"/>
      <c r="AL15" s="154" t="s">
        <v>389</v>
      </c>
      <c r="AM15" s="81" t="s">
        <v>390</v>
      </c>
      <c r="AN15" s="81" t="s">
        <v>401</v>
      </c>
      <c r="AO15" s="81">
        <f>AO5*0.3</f>
        <v>8.1528915414370615E-2</v>
      </c>
      <c r="AP15" s="81" t="s">
        <v>392</v>
      </c>
      <c r="AQ15" s="204">
        <v>0.216</v>
      </c>
      <c r="AU15" s="205" t="s">
        <v>389</v>
      </c>
      <c r="AV15" s="205" t="s">
        <v>390</v>
      </c>
      <c r="AW15" s="205" t="s">
        <v>401</v>
      </c>
      <c r="AX15" s="207" t="s">
        <v>434</v>
      </c>
      <c r="AY15" s="206">
        <f t="shared" si="3"/>
        <v>0.14099999999999999</v>
      </c>
      <c r="AZ15" s="205" t="s">
        <v>392</v>
      </c>
      <c r="BE15" s="81" t="s">
        <v>294</v>
      </c>
      <c r="BF15" s="204">
        <f>AO12</f>
        <v>15401248.000000002</v>
      </c>
      <c r="BI15" s="81" t="s">
        <v>448</v>
      </c>
      <c r="BJ15" s="81">
        <f>AO38</f>
        <v>196.13980707395501</v>
      </c>
      <c r="BP15" s="154" t="s">
        <v>389</v>
      </c>
      <c r="BQ15" s="81" t="s">
        <v>390</v>
      </c>
      <c r="BR15" s="81" t="s">
        <v>401</v>
      </c>
      <c r="BS15" s="204">
        <f t="shared" ref="BS15:BS17" si="15">AQ15</f>
        <v>0.216</v>
      </c>
      <c r="BT15" s="81" t="s">
        <v>392</v>
      </c>
      <c r="BU15" s="204">
        <v>0.216</v>
      </c>
      <c r="BY15" s="211">
        <f>CB24</f>
        <v>0.14099999999999999</v>
      </c>
      <c r="BZ15" s="211"/>
      <c r="CA15" s="81" t="s">
        <v>475</v>
      </c>
      <c r="CB15" s="204">
        <v>3460000</v>
      </c>
      <c r="CC15" s="204">
        <v>48400</v>
      </c>
      <c r="CG15" s="81" t="s">
        <v>473</v>
      </c>
      <c r="CH15" s="204">
        <v>0.17799999999999999</v>
      </c>
      <c r="CI15" s="204">
        <v>5.53E-4</v>
      </c>
      <c r="CJ15" s="81">
        <v>322.19</v>
      </c>
      <c r="CK15" s="81" t="s">
        <v>505</v>
      </c>
      <c r="CM15" s="81" t="s">
        <v>298</v>
      </c>
      <c r="CN15" s="204">
        <v>992000000</v>
      </c>
      <c r="CO15" s="204">
        <v>51400000</v>
      </c>
      <c r="CP15" s="81">
        <v>19.29</v>
      </c>
      <c r="CQ15" s="81" t="s">
        <v>509</v>
      </c>
      <c r="CR15" s="204">
        <v>2E-16</v>
      </c>
      <c r="CS15" s="81" t="s">
        <v>510</v>
      </c>
      <c r="CU15" s="212" t="s">
        <v>506</v>
      </c>
      <c r="CV15" s="81" t="s">
        <v>526</v>
      </c>
      <c r="CW15" s="204">
        <v>293</v>
      </c>
      <c r="CX15" s="204">
        <v>5.8999999999999998E-5</v>
      </c>
      <c r="CY15" s="81">
        <v>4966969</v>
      </c>
      <c r="CZ15" s="81" t="s">
        <v>505</v>
      </c>
      <c r="DA15" s="81" t="s">
        <v>510</v>
      </c>
      <c r="DE15" s="81" t="s">
        <v>389</v>
      </c>
      <c r="DF15" s="81" t="s">
        <v>390</v>
      </c>
      <c r="DG15" s="81" t="str">
        <f t="shared" si="13"/>
        <v>abs3N</v>
      </c>
      <c r="DH15" s="81" t="s">
        <v>434</v>
      </c>
      <c r="DI15" s="204">
        <f t="shared" si="14"/>
        <v>0.11</v>
      </c>
      <c r="DJ15" s="81" t="s">
        <v>392</v>
      </c>
      <c r="DK15" s="81" t="s">
        <v>402</v>
      </c>
      <c r="DL15" s="286">
        <f t="shared" si="0"/>
        <v>0.71499766398877451</v>
      </c>
      <c r="DM15" s="286">
        <f t="shared" si="1"/>
        <v>0.49</v>
      </c>
      <c r="DN15" s="286">
        <f t="shared" si="2"/>
        <v>0.76</v>
      </c>
      <c r="DP15" s="290" t="s">
        <v>506</v>
      </c>
      <c r="DQ15" s="290" t="s">
        <v>543</v>
      </c>
      <c r="DR15" s="291">
        <v>1.1299999999999999</v>
      </c>
      <c r="DS15" s="291">
        <v>2.3199999999999998E-2</v>
      </c>
      <c r="DT15" s="290">
        <v>48.61</v>
      </c>
      <c r="DU15" s="290" t="s">
        <v>509</v>
      </c>
      <c r="DV15" s="291">
        <v>2E-16</v>
      </c>
      <c r="DW15" s="81" t="s">
        <v>510</v>
      </c>
      <c r="DX15" s="212" t="s">
        <v>568</v>
      </c>
      <c r="DY15" s="296" t="s">
        <v>579</v>
      </c>
      <c r="DZ15" s="292" t="s">
        <v>434</v>
      </c>
      <c r="EA15" s="293">
        <f t="shared" si="11"/>
        <v>0.91400000000000003</v>
      </c>
      <c r="EB15" s="212" t="s">
        <v>392</v>
      </c>
    </row>
    <row r="16" spans="1:132" ht="15" customHeight="1" thickTop="1" thickBot="1" x14ac:dyDescent="0.35">
      <c r="A16" s="237"/>
      <c r="B16" s="219"/>
      <c r="C16" s="219"/>
      <c r="D16" s="226" t="s">
        <v>69</v>
      </c>
      <c r="E16" s="221"/>
      <c r="F16" s="238">
        <f>B4/B26</f>
        <v>1.2730693424117541</v>
      </c>
      <c r="G16" s="231" t="s">
        <v>70</v>
      </c>
      <c r="H16" s="222"/>
      <c r="J16" s="81" t="s">
        <v>67</v>
      </c>
      <c r="K16" s="250">
        <v>0</v>
      </c>
      <c r="L16" s="251">
        <v>1</v>
      </c>
      <c r="M16" s="251" t="s">
        <v>68</v>
      </c>
      <c r="N16" s="252">
        <f>'Tabula data'!B15</f>
        <v>11.5</v>
      </c>
      <c r="O16" s="253"/>
      <c r="P16" s="30">
        <f t="shared" si="6"/>
        <v>3.5</v>
      </c>
      <c r="Q16" s="30">
        <f t="shared" si="7"/>
        <v>40.25</v>
      </c>
      <c r="R16" s="30">
        <f t="shared" ref="R16:R28" si="16">VLOOKUP(M16,$W$5:$AD$391,8,0)*N16</f>
        <v>419980</v>
      </c>
      <c r="S16" s="30">
        <f t="shared" ref="S16:S28" si="17">R16/N16</f>
        <v>36520</v>
      </c>
      <c r="T16" s="30">
        <f t="shared" ref="T16:T28" si="18">VLOOKUP(M16,$W$5:$AF$391,10,0)*N16</f>
        <v>0</v>
      </c>
      <c r="U16" s="31"/>
      <c r="V16" s="3"/>
      <c r="W16" s="220"/>
      <c r="X16" s="221" t="s">
        <v>46</v>
      </c>
      <c r="Y16" s="221">
        <v>0</v>
      </c>
      <c r="Z16" s="221"/>
      <c r="AA16" s="221"/>
      <c r="AB16" s="221"/>
      <c r="AC16" s="268"/>
      <c r="AD16" s="222"/>
      <c r="AE16" s="14"/>
      <c r="AF16" s="14"/>
      <c r="AG16" s="14"/>
      <c r="AL16" s="154" t="s">
        <v>389</v>
      </c>
      <c r="AM16" s="81" t="s">
        <v>390</v>
      </c>
      <c r="AN16" s="81" t="s">
        <v>402</v>
      </c>
      <c r="AO16" s="81">
        <f>AO6*0.3+0.7</f>
        <v>0.71499766398877451</v>
      </c>
      <c r="AP16" s="81" t="s">
        <v>392</v>
      </c>
      <c r="AQ16" s="204">
        <v>0.49</v>
      </c>
      <c r="AU16" s="205" t="s">
        <v>389</v>
      </c>
      <c r="AV16" s="205" t="s">
        <v>390</v>
      </c>
      <c r="AW16" s="205" t="s">
        <v>402</v>
      </c>
      <c r="AX16" s="207" t="s">
        <v>434</v>
      </c>
      <c r="AY16" s="206">
        <f t="shared" si="3"/>
        <v>0.76</v>
      </c>
      <c r="AZ16" s="205" t="s">
        <v>392</v>
      </c>
      <c r="BP16" s="154" t="s">
        <v>389</v>
      </c>
      <c r="BQ16" s="81" t="s">
        <v>390</v>
      </c>
      <c r="BR16" s="81" t="s">
        <v>402</v>
      </c>
      <c r="BS16" s="204">
        <f t="shared" si="15"/>
        <v>0.49</v>
      </c>
      <c r="BT16" s="81" t="s">
        <v>392</v>
      </c>
      <c r="BU16" s="204">
        <v>0.49</v>
      </c>
      <c r="BY16" s="211">
        <f>CB25</f>
        <v>0.76</v>
      </c>
      <c r="BZ16" s="211"/>
      <c r="CA16" s="81" t="s">
        <v>291</v>
      </c>
      <c r="CB16" s="204">
        <v>23000000</v>
      </c>
      <c r="CC16" s="204">
        <v>709000</v>
      </c>
      <c r="CG16" s="81" t="s">
        <v>474</v>
      </c>
      <c r="CH16" s="204">
        <v>0.14199999999999999</v>
      </c>
      <c r="CI16" s="204">
        <v>6.4000000000000005E-4</v>
      </c>
      <c r="CJ16" s="81">
        <v>221.71</v>
      </c>
      <c r="CK16" s="81" t="s">
        <v>505</v>
      </c>
      <c r="CM16" s="81" t="s">
        <v>475</v>
      </c>
      <c r="CN16" s="204">
        <v>1130000</v>
      </c>
      <c r="CO16" s="204">
        <v>29900</v>
      </c>
      <c r="CP16" s="81">
        <v>37.909999999999997</v>
      </c>
      <c r="CQ16" s="81" t="s">
        <v>509</v>
      </c>
      <c r="CR16" s="204">
        <v>2E-16</v>
      </c>
      <c r="CS16" s="81" t="s">
        <v>510</v>
      </c>
      <c r="CU16" s="212" t="s">
        <v>506</v>
      </c>
      <c r="CV16" s="81" t="s">
        <v>527</v>
      </c>
      <c r="CW16" s="204">
        <v>294</v>
      </c>
      <c r="CX16" s="204">
        <v>5.7000000000000003E-5</v>
      </c>
      <c r="CY16" s="81">
        <v>5160670</v>
      </c>
      <c r="CZ16" s="81" t="s">
        <v>505</v>
      </c>
      <c r="DA16" s="81" t="s">
        <v>510</v>
      </c>
      <c r="DI16" s="204"/>
      <c r="DK16" s="81" t="s">
        <v>403</v>
      </c>
      <c r="DL16" s="286">
        <f t="shared" si="0"/>
        <v>6.5502698604213622E-2</v>
      </c>
      <c r="DM16" s="286">
        <f t="shared" si="1"/>
        <v>9.01E-2</v>
      </c>
      <c r="DN16" s="286">
        <f t="shared" si="2"/>
        <v>6.4100000000000004E-2</v>
      </c>
      <c r="DP16" s="290" t="s">
        <v>506</v>
      </c>
      <c r="DQ16" s="290" t="s">
        <v>544</v>
      </c>
      <c r="DR16" s="291">
        <v>2.75</v>
      </c>
      <c r="DS16" s="291">
        <v>6.3100000000000003E-2</v>
      </c>
      <c r="DT16" s="290">
        <v>43.59</v>
      </c>
      <c r="DU16" s="290" t="s">
        <v>509</v>
      </c>
      <c r="DV16" s="291">
        <v>2E-16</v>
      </c>
      <c r="DW16" s="81" t="s">
        <v>510</v>
      </c>
      <c r="DX16" s="212" t="s">
        <v>568</v>
      </c>
      <c r="DY16" s="296" t="s">
        <v>580</v>
      </c>
      <c r="DZ16" s="292" t="s">
        <v>434</v>
      </c>
      <c r="EA16" s="293">
        <f t="shared" si="11"/>
        <v>0.93799999999999994</v>
      </c>
      <c r="EB16" s="212" t="s">
        <v>392</v>
      </c>
    </row>
    <row r="17" spans="1:132" ht="15" customHeight="1" thickTop="1" thickBot="1" x14ac:dyDescent="0.35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2.1598297213622293</v>
      </c>
      <c r="G17" s="231"/>
      <c r="H17" s="222"/>
      <c r="J17" s="81" t="s">
        <v>71</v>
      </c>
      <c r="K17" s="250">
        <v>0</v>
      </c>
      <c r="L17" s="251">
        <v>2</v>
      </c>
      <c r="M17" s="251" t="s">
        <v>25</v>
      </c>
      <c r="N17" s="252">
        <f>'Tabula data'!B10*'Tabula 2zone Ref 1'!C42/2*(1-'Tabula 2zone Ref 1'!C43)</f>
        <v>0.55275000000000052</v>
      </c>
      <c r="O17" s="253" t="s">
        <v>26</v>
      </c>
      <c r="P17" s="30">
        <f t="shared" si="6"/>
        <v>0.36462385321100915</v>
      </c>
      <c r="Q17" s="30">
        <f t="shared" si="7"/>
        <v>0.2015458348623855</v>
      </c>
      <c r="R17" s="30">
        <f t="shared" si="16"/>
        <v>140750.93340000013</v>
      </c>
      <c r="S17" s="30">
        <f t="shared" si="17"/>
        <v>254637.59999999998</v>
      </c>
      <c r="T17" s="30">
        <f t="shared" si="18"/>
        <v>74057.445000000065</v>
      </c>
      <c r="U17" s="31"/>
      <c r="V17" s="3"/>
      <c r="W17" s="220"/>
      <c r="X17" s="221" t="s">
        <v>269</v>
      </c>
      <c r="Y17" s="302">
        <v>0.08</v>
      </c>
      <c r="Z17" s="302">
        <v>3.5999999999999997E-2</v>
      </c>
      <c r="AA17" s="221">
        <v>26</v>
      </c>
      <c r="AB17" s="221">
        <v>1470</v>
      </c>
      <c r="AC17" s="268">
        <f>Y17/Z17</f>
        <v>2.2222222222222223</v>
      </c>
      <c r="AD17" s="222">
        <f>Y17*AA17*AB17</f>
        <v>3057.6</v>
      </c>
      <c r="AE17" s="14"/>
      <c r="AF17" s="14"/>
      <c r="AG17" s="14"/>
      <c r="AL17" s="154" t="s">
        <v>389</v>
      </c>
      <c r="AM17" s="81" t="s">
        <v>390</v>
      </c>
      <c r="AN17" s="81" t="s">
        <v>403</v>
      </c>
      <c r="AO17" s="81">
        <f>AO7*0.3</f>
        <v>6.5502698604213622E-2</v>
      </c>
      <c r="AP17" s="81" t="s">
        <v>392</v>
      </c>
      <c r="AQ17" s="204">
        <v>9.01E-2</v>
      </c>
      <c r="AU17" s="205" t="s">
        <v>389</v>
      </c>
      <c r="AV17" s="205" t="s">
        <v>390</v>
      </c>
      <c r="AW17" s="205" t="s">
        <v>403</v>
      </c>
      <c r="AX17" s="207" t="s">
        <v>434</v>
      </c>
      <c r="AY17" s="206">
        <f t="shared" si="3"/>
        <v>6.4100000000000004E-2</v>
      </c>
      <c r="AZ17" s="205" t="s">
        <v>392</v>
      </c>
      <c r="BE17" s="81" t="s">
        <v>295</v>
      </c>
      <c r="BF17" s="204">
        <f>SUM(BF12+BF5+BF10)</f>
        <v>112927627.10999998</v>
      </c>
      <c r="BI17" s="81" t="s">
        <v>297</v>
      </c>
      <c r="BJ17" s="81">
        <f>BF11</f>
        <v>174.01385681293297</v>
      </c>
      <c r="BP17" s="154" t="s">
        <v>389</v>
      </c>
      <c r="BQ17" s="81" t="s">
        <v>390</v>
      </c>
      <c r="BR17" s="81" t="s">
        <v>403</v>
      </c>
      <c r="BS17" s="204">
        <f t="shared" si="15"/>
        <v>9.01E-2</v>
      </c>
      <c r="BT17" s="81" t="s">
        <v>392</v>
      </c>
      <c r="BU17" s="204">
        <v>9.01E-2</v>
      </c>
      <c r="BY17" s="211">
        <f>CB26</f>
        <v>6.4100000000000004E-2</v>
      </c>
      <c r="BZ17" s="211"/>
      <c r="CA17" s="81" t="s">
        <v>293</v>
      </c>
      <c r="CB17" s="204">
        <v>28700000</v>
      </c>
      <c r="CC17" s="204">
        <v>324000</v>
      </c>
      <c r="CG17" s="81" t="s">
        <v>298</v>
      </c>
      <c r="CH17" s="204">
        <v>995000000</v>
      </c>
      <c r="CI17" s="204">
        <v>22500000</v>
      </c>
      <c r="CJ17" s="81">
        <v>44.3</v>
      </c>
      <c r="CK17" s="81" t="s">
        <v>505</v>
      </c>
      <c r="CM17" s="81" t="s">
        <v>291</v>
      </c>
      <c r="CN17" s="204">
        <v>6980000</v>
      </c>
      <c r="CO17" s="204">
        <v>679000</v>
      </c>
      <c r="CP17" s="81">
        <v>10.29</v>
      </c>
      <c r="CQ17" s="81" t="s">
        <v>509</v>
      </c>
      <c r="CR17" s="204">
        <v>2E-16</v>
      </c>
      <c r="CS17" s="81" t="s">
        <v>510</v>
      </c>
      <c r="CU17" s="212" t="s">
        <v>506</v>
      </c>
      <c r="CV17" s="81" t="s">
        <v>391</v>
      </c>
      <c r="CW17" s="204">
        <v>0.17</v>
      </c>
      <c r="CX17" s="204">
        <v>2.6400000000000001E-6</v>
      </c>
      <c r="CY17" s="81">
        <v>64508</v>
      </c>
      <c r="CZ17" s="81" t="s">
        <v>505</v>
      </c>
      <c r="DA17" s="81" t="s">
        <v>510</v>
      </c>
      <c r="DE17" s="81" t="s">
        <v>389</v>
      </c>
      <c r="DF17" s="81" t="s">
        <v>390</v>
      </c>
      <c r="DG17" s="81" t="str">
        <f t="shared" si="13"/>
        <v>abs5D</v>
      </c>
      <c r="DH17" s="81" t="s">
        <v>434</v>
      </c>
      <c r="DI17" s="204">
        <f t="shared" si="14"/>
        <v>0.17</v>
      </c>
      <c r="DJ17" s="81" t="s">
        <v>392</v>
      </c>
      <c r="DL17" s="287">
        <f t="shared" si="0"/>
        <v>0</v>
      </c>
      <c r="DM17" s="287">
        <f t="shared" si="1"/>
        <v>0</v>
      </c>
      <c r="DN17" s="287">
        <f t="shared" si="2"/>
        <v>0</v>
      </c>
      <c r="DP17" s="290" t="s">
        <v>506</v>
      </c>
      <c r="DQ17" s="290" t="s">
        <v>411</v>
      </c>
      <c r="DR17" s="291">
        <v>3.41</v>
      </c>
      <c r="DS17" s="291">
        <v>0.158</v>
      </c>
      <c r="DT17" s="290">
        <v>21.58</v>
      </c>
      <c r="DU17" s="290" t="s">
        <v>509</v>
      </c>
      <c r="DV17" s="291">
        <v>2E-16</v>
      </c>
      <c r="DW17" s="81" t="s">
        <v>510</v>
      </c>
      <c r="DX17" s="212" t="s">
        <v>568</v>
      </c>
      <c r="DY17" s="296" t="s">
        <v>581</v>
      </c>
      <c r="DZ17" s="292" t="s">
        <v>434</v>
      </c>
      <c r="EA17" s="293">
        <f t="shared" si="11"/>
        <v>1.32</v>
      </c>
      <c r="EB17" s="212" t="s">
        <v>392</v>
      </c>
    </row>
    <row r="18" spans="1:132" ht="15" customHeight="1" thickTop="1" thickBot="1" x14ac:dyDescent="0.35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2.1598297213622293</v>
      </c>
      <c r="G18" s="231"/>
      <c r="H18" s="222"/>
      <c r="J18" s="81" t="s">
        <v>75</v>
      </c>
      <c r="K18" s="250">
        <v>0</v>
      </c>
      <c r="L18" s="251">
        <v>2</v>
      </c>
      <c r="M18" s="251" t="s">
        <v>25</v>
      </c>
      <c r="N18" s="252">
        <f>'Tabula data'!B10*(1-'Tabula 2zone Ref 1'!C42)/2*(1-'Tabula 2zone Ref 1'!C44)</f>
        <v>13.567500000000001</v>
      </c>
      <c r="O18" s="253" t="s">
        <v>39</v>
      </c>
      <c r="P18" s="30">
        <f t="shared" si="6"/>
        <v>0.36462385321100915</v>
      </c>
      <c r="Q18" s="30">
        <f t="shared" si="7"/>
        <v>4.9470341284403672</v>
      </c>
      <c r="R18" s="30">
        <f t="shared" si="16"/>
        <v>3454795.6380000003</v>
      </c>
      <c r="S18" s="30">
        <f t="shared" si="17"/>
        <v>254637.6</v>
      </c>
      <c r="T18" s="30">
        <f t="shared" si="18"/>
        <v>1817773.6500000001</v>
      </c>
      <c r="U18" s="31"/>
      <c r="V18" s="3"/>
      <c r="W18" s="220"/>
      <c r="X18" s="231" t="s">
        <v>270</v>
      </c>
      <c r="Y18" s="221">
        <v>0.1</v>
      </c>
      <c r="Z18" s="221">
        <v>0.54</v>
      </c>
      <c r="AA18" s="221">
        <v>1400</v>
      </c>
      <c r="AB18" s="231">
        <v>840</v>
      </c>
      <c r="AC18" s="268">
        <f>Y18/Z18</f>
        <v>0.18518518518518517</v>
      </c>
      <c r="AD18" s="222">
        <f>Y18*AA18*AB18</f>
        <v>117600</v>
      </c>
      <c r="AE18" s="14"/>
      <c r="AF18" s="14"/>
      <c r="AG18" s="14"/>
      <c r="AP18" s="81" t="s">
        <v>392</v>
      </c>
      <c r="AQ18" s="204"/>
      <c r="AU18" s="205"/>
      <c r="AV18" s="205"/>
      <c r="AW18" s="205"/>
      <c r="AX18" s="207"/>
      <c r="AZ18" s="205"/>
      <c r="BE18" s="81" t="s">
        <v>449</v>
      </c>
      <c r="BF18" s="204">
        <f>BF17+BF7</f>
        <v>114936002.51928791</v>
      </c>
      <c r="BI18" s="81" t="s">
        <v>298</v>
      </c>
      <c r="BJ18" s="81">
        <f>BF12</f>
        <v>55678583.999999985</v>
      </c>
      <c r="BS18" s="204"/>
      <c r="BT18" s="81" t="s">
        <v>392</v>
      </c>
      <c r="BU18" s="204"/>
      <c r="CA18" s="81" t="s">
        <v>476</v>
      </c>
      <c r="CB18" s="204">
        <v>-6.33</v>
      </c>
      <c r="CC18" s="204">
        <v>8.6699999999999999E-2</v>
      </c>
      <c r="CG18" s="81" t="s">
        <v>294</v>
      </c>
      <c r="CH18" s="204">
        <v>14600000</v>
      </c>
      <c r="CI18" s="204">
        <v>300000</v>
      </c>
      <c r="CJ18" s="81">
        <v>48.77</v>
      </c>
      <c r="CK18" s="81" t="s">
        <v>505</v>
      </c>
      <c r="CM18" s="81" t="s">
        <v>293</v>
      </c>
      <c r="CN18" s="204">
        <v>11000000</v>
      </c>
      <c r="CO18" s="204">
        <v>1930000</v>
      </c>
      <c r="CP18" s="81">
        <v>5.67</v>
      </c>
      <c r="CQ18" s="204">
        <v>1.4999999999999999E-8</v>
      </c>
      <c r="CR18" s="81" t="s">
        <v>510</v>
      </c>
      <c r="CU18" s="212" t="s">
        <v>506</v>
      </c>
      <c r="CV18" s="81" t="s">
        <v>410</v>
      </c>
      <c r="CW18" s="204">
        <v>0.45</v>
      </c>
      <c r="CX18" s="204">
        <v>6.7800000000000003E-6</v>
      </c>
      <c r="CY18" s="81">
        <v>66399</v>
      </c>
      <c r="CZ18" s="81" t="s">
        <v>505</v>
      </c>
      <c r="DA18" s="81" t="s">
        <v>510</v>
      </c>
      <c r="DE18" s="81" t="s">
        <v>389</v>
      </c>
      <c r="DF18" s="81" t="s">
        <v>390</v>
      </c>
      <c r="DG18" s="81" t="str">
        <f t="shared" si="13"/>
        <v>abs5N</v>
      </c>
      <c r="DH18" s="81" t="s">
        <v>434</v>
      </c>
      <c r="DI18" s="204">
        <f t="shared" si="14"/>
        <v>0.34</v>
      </c>
      <c r="DJ18" s="81" t="s">
        <v>392</v>
      </c>
      <c r="DK18" s="81" t="s">
        <v>404</v>
      </c>
      <c r="DL18" s="289">
        <f t="shared" si="0"/>
        <v>737.47138339920957</v>
      </c>
      <c r="DM18" s="289">
        <f t="shared" si="1"/>
        <v>654</v>
      </c>
      <c r="DN18" s="289">
        <f t="shared" si="2"/>
        <v>259</v>
      </c>
      <c r="DP18" s="290" t="s">
        <v>506</v>
      </c>
      <c r="DQ18" s="290" t="s">
        <v>545</v>
      </c>
      <c r="DR18" s="291">
        <v>2.93</v>
      </c>
      <c r="DS18" s="291">
        <v>2.7099999999999999E-2</v>
      </c>
      <c r="DT18" s="290">
        <v>108.19</v>
      </c>
      <c r="DU18" s="290" t="s">
        <v>509</v>
      </c>
      <c r="DV18" s="291">
        <v>2E-16</v>
      </c>
      <c r="DW18" s="81" t="s">
        <v>510</v>
      </c>
      <c r="DX18" s="212" t="s">
        <v>568</v>
      </c>
      <c r="DY18" s="296" t="s">
        <v>582</v>
      </c>
      <c r="DZ18" s="292" t="s">
        <v>434</v>
      </c>
      <c r="EA18" s="293">
        <f t="shared" si="11"/>
        <v>1.28</v>
      </c>
      <c r="EB18" s="212" t="s">
        <v>392</v>
      </c>
    </row>
    <row r="19" spans="1:132" ht="15" customHeight="1" thickTop="1" thickBot="1" x14ac:dyDescent="0.35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J19" s="81" t="s">
        <v>79</v>
      </c>
      <c r="K19" s="250">
        <v>0</v>
      </c>
      <c r="L19" s="251">
        <v>2</v>
      </c>
      <c r="M19" s="251" t="s">
        <v>25</v>
      </c>
      <c r="N19" s="252">
        <f>'Tabula data'!B10*'Tabula 2zone Ref 1'!C42/2*(1-'Tabula 2zone Ref 1'!C43)</f>
        <v>0.55275000000000052</v>
      </c>
      <c r="O19" s="253" t="s">
        <v>45</v>
      </c>
      <c r="P19" s="30">
        <f t="shared" si="6"/>
        <v>0.36462385321100915</v>
      </c>
      <c r="Q19" s="30">
        <f t="shared" si="7"/>
        <v>0.2015458348623855</v>
      </c>
      <c r="R19" s="30">
        <f t="shared" si="16"/>
        <v>140750.93340000013</v>
      </c>
      <c r="S19" s="30">
        <f t="shared" si="17"/>
        <v>254637.59999999998</v>
      </c>
      <c r="T19" s="30">
        <f t="shared" si="18"/>
        <v>74057.445000000065</v>
      </c>
      <c r="U19" s="31"/>
      <c r="V19" s="3"/>
      <c r="W19" s="237"/>
      <c r="X19" s="219" t="s">
        <v>80</v>
      </c>
      <c r="Y19" s="219">
        <v>0.02</v>
      </c>
      <c r="Z19" s="219">
        <v>0.6</v>
      </c>
      <c r="AA19" s="219">
        <v>975</v>
      </c>
      <c r="AB19" s="219">
        <v>840</v>
      </c>
      <c r="AC19" s="269">
        <f>Y19/Z19</f>
        <v>3.3333333333333333E-2</v>
      </c>
      <c r="AD19" s="242">
        <f>Y19*AA19*AB19</f>
        <v>16380</v>
      </c>
      <c r="AE19" s="14"/>
      <c r="AF19" s="14"/>
      <c r="AG19" s="14"/>
      <c r="AL19" s="154" t="s">
        <v>389</v>
      </c>
      <c r="AM19" s="81" t="s">
        <v>390</v>
      </c>
      <c r="AN19" s="81" t="s">
        <v>404</v>
      </c>
      <c r="AO19" s="81">
        <f>SUM(N6:N9)*(1/(SUM(AC18:AC19)*0.5+1/8))</f>
        <v>737.47138339920957</v>
      </c>
      <c r="AP19" s="81" t="s">
        <v>392</v>
      </c>
      <c r="AQ19" s="204">
        <v>654</v>
      </c>
      <c r="AU19" s="205" t="s">
        <v>389</v>
      </c>
      <c r="AV19" s="205" t="s">
        <v>390</v>
      </c>
      <c r="AW19" s="205" t="s">
        <v>404</v>
      </c>
      <c r="AX19" s="207" t="s">
        <v>434</v>
      </c>
      <c r="AY19" s="206">
        <f t="shared" si="3"/>
        <v>259</v>
      </c>
      <c r="AZ19" s="205" t="s">
        <v>392</v>
      </c>
      <c r="BE19" s="81" t="s">
        <v>450</v>
      </c>
      <c r="BF19" s="3">
        <f>BF4+BF6</f>
        <v>187.70824509512317</v>
      </c>
      <c r="BP19" s="154" t="s">
        <v>389</v>
      </c>
      <c r="BQ19" s="81" t="s">
        <v>390</v>
      </c>
      <c r="BR19" s="81" t="s">
        <v>404</v>
      </c>
      <c r="BS19" s="204">
        <f>SUM(N6:N9)*(1/(SUM(AC18:AC19)*0.5+1/3.5))</f>
        <v>437.39511721366375</v>
      </c>
      <c r="BT19" s="81" t="s">
        <v>392</v>
      </c>
      <c r="BU19" s="204">
        <v>654</v>
      </c>
      <c r="BW19" s="81" t="s">
        <v>459</v>
      </c>
      <c r="BX19" s="81">
        <f>AVERAGE(SUM(N6:N9),2*N27)*(1/(1/8+SUM(AC18:AC19)/2+SUM(AC23:AC25)/4))</f>
        <v>820.73428152492681</v>
      </c>
      <c r="BY19" s="211">
        <f>CB28</f>
        <v>259</v>
      </c>
      <c r="BZ19" s="211"/>
      <c r="CA19" s="81" t="s">
        <v>477</v>
      </c>
      <c r="CB19" s="204">
        <v>-24.6</v>
      </c>
      <c r="CC19" s="204">
        <v>1360</v>
      </c>
      <c r="CG19" s="81" t="s">
        <v>475</v>
      </c>
      <c r="CH19" s="204">
        <v>3460000</v>
      </c>
      <c r="CI19" s="204">
        <v>48400</v>
      </c>
      <c r="CJ19" s="81">
        <v>71.56</v>
      </c>
      <c r="CK19" s="81" t="s">
        <v>505</v>
      </c>
      <c r="CM19" s="81" t="s">
        <v>476</v>
      </c>
      <c r="CN19" s="204">
        <v>-6.06</v>
      </c>
      <c r="CO19" s="204">
        <v>0.14799999999999999</v>
      </c>
      <c r="CP19" s="81">
        <v>-40.880000000000003</v>
      </c>
      <c r="CQ19" s="81" t="s">
        <v>509</v>
      </c>
      <c r="CR19" s="204">
        <v>2E-16</v>
      </c>
      <c r="CS19" s="81" t="s">
        <v>510</v>
      </c>
      <c r="CU19" s="212" t="s">
        <v>506</v>
      </c>
      <c r="CV19" s="81" t="s">
        <v>393</v>
      </c>
      <c r="CW19" s="204">
        <v>0.42</v>
      </c>
      <c r="CX19" s="204">
        <v>6.3500000000000002E-6</v>
      </c>
      <c r="CY19" s="81">
        <v>66191</v>
      </c>
      <c r="CZ19" s="81" t="s">
        <v>505</v>
      </c>
      <c r="DA19" s="81" t="s">
        <v>510</v>
      </c>
      <c r="DE19" s="81" t="s">
        <v>389</v>
      </c>
      <c r="DF19" s="81" t="s">
        <v>390</v>
      </c>
      <c r="DG19" s="81" t="str">
        <f t="shared" si="13"/>
        <v>CfiD</v>
      </c>
      <c r="DH19" s="81" t="s">
        <v>434</v>
      </c>
      <c r="DI19" s="204">
        <f t="shared" si="14"/>
        <v>31500000</v>
      </c>
      <c r="DJ19" s="81" t="s">
        <v>392</v>
      </c>
      <c r="DK19" s="81" t="s">
        <v>405</v>
      </c>
      <c r="DL19" s="289">
        <f t="shared" si="0"/>
        <v>577.18811881188128</v>
      </c>
      <c r="DM19" s="289">
        <f t="shared" si="1"/>
        <v>701</v>
      </c>
      <c r="DN19" s="289">
        <f t="shared" si="2"/>
        <v>197</v>
      </c>
      <c r="DP19" s="290" t="s">
        <v>506</v>
      </c>
      <c r="DQ19" s="290" t="s">
        <v>546</v>
      </c>
      <c r="DR19" s="291">
        <v>2.63</v>
      </c>
      <c r="DS19" s="291">
        <v>3.3500000000000002E-2</v>
      </c>
      <c r="DT19" s="290">
        <v>78.650000000000006</v>
      </c>
      <c r="DU19" s="290" t="s">
        <v>509</v>
      </c>
      <c r="DV19" s="291">
        <v>2E-16</v>
      </c>
      <c r="DW19" s="81" t="s">
        <v>510</v>
      </c>
      <c r="DX19" s="212" t="s">
        <v>568</v>
      </c>
      <c r="DY19" s="294" t="s">
        <v>583</v>
      </c>
      <c r="DZ19" s="292" t="s">
        <v>434</v>
      </c>
      <c r="EA19" s="293">
        <f t="shared" si="11"/>
        <v>1.36</v>
      </c>
      <c r="EB19" s="212" t="s">
        <v>392</v>
      </c>
    </row>
    <row r="20" spans="1:132" ht="15" customHeight="1" thickTop="1" thickBot="1" x14ac:dyDescent="0.35">
      <c r="A20" s="220"/>
      <c r="B20" s="221"/>
      <c r="C20" s="221"/>
      <c r="D20" s="226" t="s">
        <v>83</v>
      </c>
      <c r="E20" s="231"/>
      <c r="F20" s="239">
        <f>G4/B23</f>
        <v>0.17569659442724458</v>
      </c>
      <c r="G20" s="231"/>
      <c r="H20" s="222"/>
      <c r="J20" s="81" t="s">
        <v>82</v>
      </c>
      <c r="K20" s="250">
        <v>0</v>
      </c>
      <c r="L20" s="251">
        <v>2</v>
      </c>
      <c r="M20" s="251" t="s">
        <v>25</v>
      </c>
      <c r="N20" s="252">
        <f>'Tabula data'!B10*(1-'Tabula 2zone Ref 1'!C42)/2*(1-'Tabula 2zone Ref 1'!C44)</f>
        <v>13.567500000000001</v>
      </c>
      <c r="O20" s="253" t="s">
        <v>50</v>
      </c>
      <c r="P20" s="30">
        <f t="shared" si="6"/>
        <v>0.36462385321100915</v>
      </c>
      <c r="Q20" s="30">
        <f t="shared" si="7"/>
        <v>4.9470341284403672</v>
      </c>
      <c r="R20" s="30">
        <f t="shared" si="16"/>
        <v>3454795.6380000003</v>
      </c>
      <c r="S20" s="30">
        <f t="shared" si="17"/>
        <v>254637.6</v>
      </c>
      <c r="T20" s="30">
        <f t="shared" si="18"/>
        <v>1817773.6500000001</v>
      </c>
      <c r="U20" s="31"/>
      <c r="V20" s="3"/>
      <c r="W20" s="258"/>
      <c r="X20" s="258"/>
      <c r="Y20" s="258"/>
      <c r="Z20" s="258"/>
      <c r="AA20" s="258"/>
      <c r="AB20" s="258"/>
      <c r="AC20" s="258"/>
      <c r="AD20" s="258"/>
      <c r="AE20" s="14"/>
      <c r="AF20" s="14"/>
      <c r="AG20" s="14"/>
      <c r="AL20" s="154" t="s">
        <v>389</v>
      </c>
      <c r="AM20" s="81" t="s">
        <v>390</v>
      </c>
      <c r="AN20" s="81" t="s">
        <v>405</v>
      </c>
      <c r="AO20" s="81">
        <f>SUM(N14)*1/(0.5*SUM(AC42:AC43)+1/6)</f>
        <v>577.18811881188128</v>
      </c>
      <c r="AP20" s="81" t="s">
        <v>392</v>
      </c>
      <c r="AQ20" s="204">
        <v>701</v>
      </c>
      <c r="AU20" s="205" t="s">
        <v>389</v>
      </c>
      <c r="AV20" s="205" t="s">
        <v>390</v>
      </c>
      <c r="AW20" s="205" t="s">
        <v>405</v>
      </c>
      <c r="AX20" s="207" t="s">
        <v>434</v>
      </c>
      <c r="AY20" s="206">
        <f t="shared" si="3"/>
        <v>197</v>
      </c>
      <c r="AZ20" s="205" t="s">
        <v>392</v>
      </c>
      <c r="BI20" s="81" t="s">
        <v>451</v>
      </c>
      <c r="BJ20" s="204">
        <f>BF7</f>
        <v>2008375.4092879263</v>
      </c>
      <c r="BP20" s="154" t="s">
        <v>389</v>
      </c>
      <c r="BQ20" s="81" t="s">
        <v>390</v>
      </c>
      <c r="BR20" s="81" t="s">
        <v>405</v>
      </c>
      <c r="BS20" s="204">
        <f>SUM(N14)*1/(0.5*SUM(AC42:AC43)+1/3.5)</f>
        <v>386.06622516556297</v>
      </c>
      <c r="BT20" s="81" t="s">
        <v>392</v>
      </c>
      <c r="BU20" s="204">
        <v>701</v>
      </c>
      <c r="BW20" s="81" t="s">
        <v>460</v>
      </c>
      <c r="BX20" s="81">
        <f>AVERAGE(SUM(N6:N9),N26)*(1/(1/8+SUM(AC31:AC32)/2+SUM(AC18:AC19)/2))</f>
        <v>453.4751374640951</v>
      </c>
      <c r="BY20" s="211">
        <f>CB29</f>
        <v>197</v>
      </c>
      <c r="BZ20" s="211"/>
      <c r="CA20" s="81" t="s">
        <v>478</v>
      </c>
      <c r="CB20" s="204">
        <v>-13.1</v>
      </c>
      <c r="CC20" s="204">
        <v>157</v>
      </c>
      <c r="CG20" s="81" t="s">
        <v>291</v>
      </c>
      <c r="CH20" s="204">
        <v>23000000</v>
      </c>
      <c r="CI20" s="204">
        <v>709000</v>
      </c>
      <c r="CJ20" s="81">
        <v>32.450000000000003</v>
      </c>
      <c r="CK20" s="81" t="s">
        <v>505</v>
      </c>
      <c r="CM20" s="81" t="s">
        <v>477</v>
      </c>
      <c r="CN20" s="204">
        <v>-11.2</v>
      </c>
      <c r="CO20" s="204">
        <v>112</v>
      </c>
      <c r="CP20" s="81">
        <v>-0.1</v>
      </c>
      <c r="CQ20" s="81">
        <v>0.92</v>
      </c>
      <c r="CU20" s="212" t="s">
        <v>506</v>
      </c>
      <c r="CV20" s="81" t="s">
        <v>411</v>
      </c>
      <c r="CW20" s="204">
        <v>0.15</v>
      </c>
      <c r="CX20" s="204">
        <v>2.3300000000000001E-6</v>
      </c>
      <c r="CY20" s="81">
        <v>64377</v>
      </c>
      <c r="CZ20" s="81" t="s">
        <v>505</v>
      </c>
      <c r="DA20" s="81" t="s">
        <v>510</v>
      </c>
      <c r="DE20" s="81" t="s">
        <v>389</v>
      </c>
      <c r="DF20" s="81" t="s">
        <v>390</v>
      </c>
      <c r="DG20" s="81" t="str">
        <f t="shared" si="13"/>
        <v>CfiN</v>
      </c>
      <c r="DH20" s="81" t="s">
        <v>434</v>
      </c>
      <c r="DI20" s="204">
        <f t="shared" si="14"/>
        <v>67000000</v>
      </c>
      <c r="DJ20" s="81" t="s">
        <v>392</v>
      </c>
      <c r="DK20" s="81" t="s">
        <v>406</v>
      </c>
      <c r="DL20" s="289">
        <f t="shared" si="0"/>
        <v>1199.8730546623794</v>
      </c>
      <c r="DM20" s="289">
        <f t="shared" si="1"/>
        <v>1380</v>
      </c>
      <c r="DN20" s="289">
        <f t="shared" si="2"/>
        <v>487</v>
      </c>
      <c r="DP20" s="290" t="s">
        <v>506</v>
      </c>
      <c r="DQ20" s="290" t="s">
        <v>547</v>
      </c>
      <c r="DR20" s="291">
        <v>0.59199999999999997</v>
      </c>
      <c r="DS20" s="291">
        <v>0.218</v>
      </c>
      <c r="DT20" s="290">
        <v>2.71</v>
      </c>
      <c r="DU20" s="291">
        <v>6.6E-3</v>
      </c>
      <c r="DV20" s="290" t="s">
        <v>516</v>
      </c>
      <c r="DX20" s="212" t="s">
        <v>568</v>
      </c>
      <c r="DY20" s="295" t="s">
        <v>584</v>
      </c>
      <c r="DZ20" s="292" t="s">
        <v>434</v>
      </c>
      <c r="EA20" s="293">
        <f t="shared" si="11"/>
        <v>1.17</v>
      </c>
      <c r="EB20" s="212" t="s">
        <v>392</v>
      </c>
    </row>
    <row r="21" spans="1:132" ht="15" customHeight="1" thickTop="1" thickBot="1" x14ac:dyDescent="0.35">
      <c r="A21" s="220"/>
      <c r="B21" s="221"/>
      <c r="C21" s="221"/>
      <c r="D21" s="226" t="s">
        <v>86</v>
      </c>
      <c r="E21" s="231"/>
      <c r="F21" s="239">
        <f>G4/B6</f>
        <v>0.17569659442724458</v>
      </c>
      <c r="G21" s="231"/>
      <c r="H21" s="222"/>
      <c r="J21" s="81" t="s">
        <v>84</v>
      </c>
      <c r="K21" s="250">
        <v>0</v>
      </c>
      <c r="L21" s="251">
        <v>2</v>
      </c>
      <c r="M21" s="251" t="s">
        <v>54</v>
      </c>
      <c r="N21" s="252">
        <f>H10</f>
        <v>2.9700000000000006</v>
      </c>
      <c r="O21" s="253" t="s">
        <v>26</v>
      </c>
      <c r="P21" s="30">
        <f t="shared" si="6"/>
        <v>2</v>
      </c>
      <c r="Q21" s="30">
        <f t="shared" si="7"/>
        <v>5.9400000000000013</v>
      </c>
      <c r="R21" s="30">
        <f t="shared" si="16"/>
        <v>0</v>
      </c>
      <c r="S21" s="30">
        <f t="shared" si="17"/>
        <v>0</v>
      </c>
      <c r="T21" s="30">
        <f t="shared" si="18"/>
        <v>0</v>
      </c>
      <c r="U21" s="31"/>
      <c r="V21" s="3"/>
      <c r="W21" s="260" t="s">
        <v>85</v>
      </c>
      <c r="X21" s="261"/>
      <c r="Y21" s="262" t="s">
        <v>21</v>
      </c>
      <c r="Z21" s="263">
        <f>(1/(1/8+SUM(AC23:AC25)+1/8))</f>
        <v>1.7363344051446945</v>
      </c>
      <c r="AA21" s="261" t="s">
        <v>5</v>
      </c>
      <c r="AB21" s="261"/>
      <c r="AC21" s="261" t="s">
        <v>22</v>
      </c>
      <c r="AD21" s="264">
        <f>SUM(AD23:AD26)</f>
        <v>197400.00000000003</v>
      </c>
      <c r="AE21" s="14" t="s">
        <v>23</v>
      </c>
      <c r="AF21" s="14">
        <f>SUM(AD23:AD25)</f>
        <v>197400.00000000003</v>
      </c>
      <c r="AG21" s="14"/>
      <c r="AL21" s="154" t="s">
        <v>389</v>
      </c>
      <c r="AM21" s="81" t="s">
        <v>390</v>
      </c>
      <c r="AN21" s="81" t="s">
        <v>406</v>
      </c>
      <c r="AO21" s="81">
        <f>4*Z21*N27</f>
        <v>1199.8730546623794</v>
      </c>
      <c r="AP21" s="81" t="s">
        <v>392</v>
      </c>
      <c r="AQ21" s="204">
        <v>1380</v>
      </c>
      <c r="AU21" s="205" t="s">
        <v>389</v>
      </c>
      <c r="AV21" s="205" t="s">
        <v>390</v>
      </c>
      <c r="AW21" s="205" t="s">
        <v>406</v>
      </c>
      <c r="AX21" s="207" t="s">
        <v>434</v>
      </c>
      <c r="AY21" s="206">
        <f t="shared" si="3"/>
        <v>487</v>
      </c>
      <c r="AZ21" s="205" t="s">
        <v>392</v>
      </c>
      <c r="BI21" s="81" t="s">
        <v>452</v>
      </c>
      <c r="BJ21" s="204">
        <f>BF27</f>
        <v>1730559.7907120739</v>
      </c>
      <c r="BP21" s="154" t="s">
        <v>389</v>
      </c>
      <c r="BQ21" s="81" t="s">
        <v>390</v>
      </c>
      <c r="BR21" s="81" t="s">
        <v>406</v>
      </c>
      <c r="BS21" s="204">
        <f>2*N27*1/(1/3.5+SUM(AC23:AC25)/2)</f>
        <v>770.08362028301883</v>
      </c>
      <c r="BT21" s="81" t="s">
        <v>392</v>
      </c>
      <c r="BU21" s="204">
        <v>1380</v>
      </c>
      <c r="BW21" s="81" t="s">
        <v>461</v>
      </c>
      <c r="BX21" s="81">
        <f>AVERAGE(SUM(N6:N9),N14)*(1/(1/8+SUM(AC42:AC43)/2+SUM(AC18:AC19)/2))</f>
        <v>505.66548303993136</v>
      </c>
      <c r="BY21" s="211">
        <f>CB30</f>
        <v>487</v>
      </c>
      <c r="BZ21" s="211"/>
      <c r="CA21" s="81" t="s">
        <v>479</v>
      </c>
      <c r="CB21" s="204">
        <v>-14.4</v>
      </c>
      <c r="CC21" s="204">
        <v>199</v>
      </c>
      <c r="CG21" s="81" t="s">
        <v>293</v>
      </c>
      <c r="CH21" s="204">
        <v>28700000</v>
      </c>
      <c r="CI21" s="204">
        <v>324000</v>
      </c>
      <c r="CJ21" s="81">
        <v>88.56</v>
      </c>
      <c r="CK21" s="81" t="s">
        <v>505</v>
      </c>
      <c r="CM21" s="81" t="s">
        <v>478</v>
      </c>
      <c r="CN21" s="204">
        <v>-15.5</v>
      </c>
      <c r="CO21" s="204">
        <v>201</v>
      </c>
      <c r="CP21" s="81">
        <v>-0.08</v>
      </c>
      <c r="CQ21" s="81">
        <v>0.93799999999999994</v>
      </c>
      <c r="CU21" s="212" t="s">
        <v>506</v>
      </c>
      <c r="CV21" s="81" t="s">
        <v>394</v>
      </c>
      <c r="CW21" s="204">
        <v>0.14000000000000001</v>
      </c>
      <c r="CX21" s="204">
        <v>2.1799999999999999E-6</v>
      </c>
      <c r="CY21" s="81">
        <v>64312</v>
      </c>
      <c r="CZ21" s="81" t="s">
        <v>505</v>
      </c>
      <c r="DA21" s="81" t="s">
        <v>510</v>
      </c>
      <c r="DE21" s="81" t="s">
        <v>389</v>
      </c>
      <c r="DF21" s="81" t="s">
        <v>390</v>
      </c>
      <c r="DG21" s="81" t="str">
        <f t="shared" si="13"/>
        <v>CiD</v>
      </c>
      <c r="DH21" s="81" t="s">
        <v>434</v>
      </c>
      <c r="DI21" s="204">
        <f t="shared" si="14"/>
        <v>2700000</v>
      </c>
      <c r="DJ21" s="81" t="s">
        <v>392</v>
      </c>
      <c r="DK21" s="81" t="s">
        <v>407</v>
      </c>
      <c r="DL21" s="289">
        <f t="shared" si="0"/>
        <v>124.71601052631581</v>
      </c>
      <c r="DM21" s="289">
        <f t="shared" si="1"/>
        <v>259</v>
      </c>
      <c r="DN21" s="289">
        <f t="shared" si="2"/>
        <v>274</v>
      </c>
      <c r="DP21" s="290" t="s">
        <v>506</v>
      </c>
      <c r="DQ21" s="290" t="s">
        <v>412</v>
      </c>
      <c r="DR21" s="291">
        <v>2.62</v>
      </c>
      <c r="DS21" s="291">
        <v>0.375</v>
      </c>
      <c r="DT21" s="290">
        <v>6.98</v>
      </c>
      <c r="DU21" s="291">
        <v>3.2000000000000001E-12</v>
      </c>
      <c r="DV21" s="290" t="s">
        <v>510</v>
      </c>
      <c r="DX21" s="212" t="s">
        <v>568</v>
      </c>
      <c r="DY21" s="295" t="s">
        <v>585</v>
      </c>
      <c r="DZ21" s="292" t="s">
        <v>434</v>
      </c>
      <c r="EA21" s="293">
        <f t="shared" si="11"/>
        <v>0.70799999999999996</v>
      </c>
      <c r="EB21" s="212" t="s">
        <v>392</v>
      </c>
    </row>
    <row r="22" spans="1:132" ht="15" customHeight="1" thickTop="1" thickBot="1" x14ac:dyDescent="0.35">
      <c r="A22" s="237"/>
      <c r="B22" s="219"/>
      <c r="C22" s="219"/>
      <c r="D22" s="220" t="s">
        <v>88</v>
      </c>
      <c r="E22" s="221"/>
      <c r="F22" s="227">
        <f>G4/B26</f>
        <v>8.1347428776204975E-2</v>
      </c>
      <c r="G22" s="221"/>
      <c r="H22" s="222"/>
      <c r="J22" s="81" t="s">
        <v>87</v>
      </c>
      <c r="K22" s="250">
        <v>0</v>
      </c>
      <c r="L22" s="251">
        <v>2</v>
      </c>
      <c r="M22" s="251" t="s">
        <v>54</v>
      </c>
      <c r="N22" s="252">
        <f>H11</f>
        <v>3.3300000000000005</v>
      </c>
      <c r="O22" s="253" t="s">
        <v>39</v>
      </c>
      <c r="P22" s="30">
        <f t="shared" si="6"/>
        <v>2</v>
      </c>
      <c r="Q22" s="30">
        <f t="shared" si="7"/>
        <v>6.660000000000001</v>
      </c>
      <c r="R22" s="30">
        <f t="shared" si="16"/>
        <v>0</v>
      </c>
      <c r="S22" s="30">
        <f t="shared" si="17"/>
        <v>0</v>
      </c>
      <c r="T22" s="30">
        <f t="shared" si="18"/>
        <v>0</v>
      </c>
      <c r="U22" s="31"/>
      <c r="V22" s="3"/>
      <c r="W22" s="265"/>
      <c r="X22" s="266" t="s">
        <v>27</v>
      </c>
      <c r="Y22" s="266" t="s">
        <v>28</v>
      </c>
      <c r="Z22" s="266" t="s">
        <v>29</v>
      </c>
      <c r="AA22" s="266" t="s">
        <v>30</v>
      </c>
      <c r="AB22" s="266" t="s">
        <v>31</v>
      </c>
      <c r="AC22" s="266" t="s">
        <v>32</v>
      </c>
      <c r="AD22" s="267" t="s">
        <v>33</v>
      </c>
      <c r="AE22" s="14"/>
      <c r="AF22" s="14"/>
      <c r="AG22" s="14"/>
      <c r="AL22" s="154" t="s">
        <v>389</v>
      </c>
      <c r="AM22" s="81" t="s">
        <v>390</v>
      </c>
      <c r="AN22" s="81" t="s">
        <v>407</v>
      </c>
      <c r="AO22" s="3">
        <f>'Verwarming Tabula 2zone'!B60+SUM(Q10:Q13)</f>
        <v>124.71601052631581</v>
      </c>
      <c r="AP22" s="81" t="s">
        <v>392</v>
      </c>
      <c r="AQ22" s="204">
        <v>259</v>
      </c>
      <c r="AU22" s="205" t="s">
        <v>389</v>
      </c>
      <c r="AV22" s="205" t="s">
        <v>390</v>
      </c>
      <c r="AW22" s="205" t="s">
        <v>407</v>
      </c>
      <c r="AX22" s="207" t="s">
        <v>434</v>
      </c>
      <c r="AY22" s="206">
        <f t="shared" si="3"/>
        <v>274</v>
      </c>
      <c r="AZ22" s="205" t="s">
        <v>392</v>
      </c>
      <c r="BP22" s="154" t="s">
        <v>389</v>
      </c>
      <c r="BQ22" s="81" t="s">
        <v>390</v>
      </c>
      <c r="BR22" s="81" t="s">
        <v>407</v>
      </c>
      <c r="BS22" s="204">
        <f t="shared" ref="BS22" si="19">AQ22</f>
        <v>259</v>
      </c>
      <c r="BT22" s="81" t="s">
        <v>392</v>
      </c>
      <c r="BU22" s="204">
        <v>259</v>
      </c>
      <c r="BW22" s="81" t="s">
        <v>462</v>
      </c>
      <c r="BX22" s="81">
        <f>AVERAGE(SUM(N27),N26)*(1/(1/8+SUM(AC31:AC32)/2+SUM(AC23:AC25)/4))</f>
        <v>496.23660080826215</v>
      </c>
      <c r="BY22" s="211">
        <f>CB31</f>
        <v>274</v>
      </c>
      <c r="BZ22" s="211"/>
      <c r="CA22" s="81" t="s">
        <v>480</v>
      </c>
      <c r="CB22" s="204">
        <v>-14.1</v>
      </c>
      <c r="CC22" s="204">
        <v>189</v>
      </c>
      <c r="CG22" s="81" t="s">
        <v>476</v>
      </c>
      <c r="CH22" s="204">
        <v>-6.33</v>
      </c>
      <c r="CI22" s="204">
        <v>8.6699999999999999E-2</v>
      </c>
      <c r="CJ22" s="81">
        <v>-73.040000000000006</v>
      </c>
      <c r="CK22" s="81" t="s">
        <v>505</v>
      </c>
      <c r="CM22" s="81" t="s">
        <v>479</v>
      </c>
      <c r="CN22" s="204">
        <v>-12.1</v>
      </c>
      <c r="CO22" s="204">
        <v>79.7</v>
      </c>
      <c r="CP22" s="81">
        <v>-0.15</v>
      </c>
      <c r="CQ22" s="81">
        <v>0.879</v>
      </c>
      <c r="CU22" s="212" t="s">
        <v>506</v>
      </c>
      <c r="CV22" s="81" t="s">
        <v>412</v>
      </c>
      <c r="CW22" s="204">
        <v>0.11</v>
      </c>
      <c r="CX22" s="204">
        <v>1.72E-6</v>
      </c>
      <c r="CY22" s="81">
        <v>64117</v>
      </c>
      <c r="CZ22" s="81" t="s">
        <v>505</v>
      </c>
      <c r="DA22" s="81" t="s">
        <v>510</v>
      </c>
      <c r="DE22" s="81" t="s">
        <v>389</v>
      </c>
      <c r="DF22" s="81" t="s">
        <v>390</v>
      </c>
      <c r="DG22" s="81" t="str">
        <f t="shared" si="13"/>
        <v>CiN</v>
      </c>
      <c r="DH22" s="81" t="s">
        <v>434</v>
      </c>
      <c r="DI22" s="204">
        <f t="shared" si="14"/>
        <v>1700000</v>
      </c>
      <c r="DJ22" s="81" t="s">
        <v>392</v>
      </c>
      <c r="DK22" s="81" t="s">
        <v>408</v>
      </c>
      <c r="DL22" s="289">
        <f t="shared" si="0"/>
        <v>68.875324687831025</v>
      </c>
      <c r="DM22" s="289">
        <f t="shared" si="1"/>
        <v>123.91573729863691</v>
      </c>
      <c r="DN22" s="289">
        <f t="shared" si="2"/>
        <v>155.27950310559004</v>
      </c>
      <c r="DP22" s="290" t="s">
        <v>506</v>
      </c>
      <c r="DQ22" s="290" t="s">
        <v>548</v>
      </c>
      <c r="DR22" s="291">
        <v>0.91400000000000003</v>
      </c>
      <c r="DS22" s="291">
        <v>6.3399999999999998E-2</v>
      </c>
      <c r="DT22" s="290">
        <v>14.42</v>
      </c>
      <c r="DU22" s="290" t="s">
        <v>509</v>
      </c>
      <c r="DV22" s="291">
        <v>2E-16</v>
      </c>
      <c r="DW22" s="81" t="s">
        <v>510</v>
      </c>
      <c r="DX22" s="212" t="s">
        <v>568</v>
      </c>
      <c r="DY22" s="295" t="s">
        <v>586</v>
      </c>
      <c r="DZ22" s="292" t="s">
        <v>434</v>
      </c>
      <c r="EA22" s="293">
        <f t="shared" si="11"/>
        <v>1.9300000000000001E-8</v>
      </c>
      <c r="EB22" s="212" t="s">
        <v>392</v>
      </c>
    </row>
    <row r="23" spans="1:132" ht="15" customHeight="1" thickTop="1" thickBot="1" x14ac:dyDescent="0.35">
      <c r="A23" s="223" t="s">
        <v>91</v>
      </c>
      <c r="B23" s="224">
        <f>B17+B6</f>
        <v>258.39999999999998</v>
      </c>
      <c r="C23" s="234" t="s">
        <v>9</v>
      </c>
      <c r="D23" s="220"/>
      <c r="E23" s="221"/>
      <c r="F23" s="221"/>
      <c r="G23" s="221"/>
      <c r="H23" s="222"/>
      <c r="J23" s="81" t="s">
        <v>89</v>
      </c>
      <c r="K23" s="250">
        <v>0</v>
      </c>
      <c r="L23" s="251">
        <v>2</v>
      </c>
      <c r="M23" s="251" t="s">
        <v>54</v>
      </c>
      <c r="N23" s="252">
        <f>H12</f>
        <v>3.9000000000000004</v>
      </c>
      <c r="O23" s="253" t="s">
        <v>45</v>
      </c>
      <c r="P23" s="30">
        <f t="shared" si="6"/>
        <v>2</v>
      </c>
      <c r="Q23" s="30">
        <f t="shared" si="7"/>
        <v>7.8000000000000007</v>
      </c>
      <c r="R23" s="30">
        <f t="shared" si="16"/>
        <v>0</v>
      </c>
      <c r="S23" s="30">
        <f t="shared" si="17"/>
        <v>0</v>
      </c>
      <c r="T23" s="30">
        <f t="shared" si="18"/>
        <v>0</v>
      </c>
      <c r="U23" s="31"/>
      <c r="V23" s="3"/>
      <c r="W23" s="220"/>
      <c r="X23" s="221" t="s">
        <v>90</v>
      </c>
      <c r="Y23" s="221">
        <v>0.02</v>
      </c>
      <c r="Z23" s="221">
        <v>0.6</v>
      </c>
      <c r="AA23" s="221">
        <v>975</v>
      </c>
      <c r="AB23" s="221">
        <v>840</v>
      </c>
      <c r="AC23" s="268">
        <f>Y23/Z23</f>
        <v>3.3333333333333333E-2</v>
      </c>
      <c r="AD23" s="222">
        <f>Y23*AA23*AB23</f>
        <v>16380</v>
      </c>
      <c r="AE23" s="14"/>
      <c r="AF23" s="14"/>
      <c r="AG23" s="14"/>
      <c r="AL23" s="154" t="s">
        <v>389</v>
      </c>
      <c r="AM23" s="81" t="s">
        <v>390</v>
      </c>
      <c r="AN23" s="81" t="s">
        <v>408</v>
      </c>
      <c r="AO23" s="81">
        <f>SUM(N6:N9)*1/(SUM(AC15:AC17)+0.5*SUM(AC18:AC19)+1/23)</f>
        <v>68.875324687831025</v>
      </c>
      <c r="AP23" s="81" t="s">
        <v>392</v>
      </c>
      <c r="AQ23" s="81">
        <f>1/(0.00807)</f>
        <v>123.91573729863691</v>
      </c>
      <c r="AU23" s="205" t="s">
        <v>389</v>
      </c>
      <c r="AV23" s="205" t="s">
        <v>390</v>
      </c>
      <c r="AW23" s="205" t="s">
        <v>408</v>
      </c>
      <c r="AX23" s="207" t="s">
        <v>434</v>
      </c>
      <c r="AY23" s="206">
        <f t="shared" si="3"/>
        <v>155.27950310559004</v>
      </c>
      <c r="AZ23" s="205" t="s">
        <v>392</v>
      </c>
      <c r="BD23" s="208"/>
      <c r="BE23" s="208" t="s">
        <v>453</v>
      </c>
      <c r="BI23" s="81" t="s">
        <v>295</v>
      </c>
      <c r="BJ23" s="204">
        <f>BJ9+BJ10+BJ11+BJ12+BJ18</f>
        <v>141499315.29000002</v>
      </c>
      <c r="BP23" s="154" t="s">
        <v>389</v>
      </c>
      <c r="BQ23" s="81" t="s">
        <v>390</v>
      </c>
      <c r="BR23" s="81" t="s">
        <v>408</v>
      </c>
      <c r="BS23" s="204">
        <f>AQ23</f>
        <v>123.91573729863691</v>
      </c>
      <c r="BT23" s="81" t="s">
        <v>392</v>
      </c>
      <c r="BU23" s="81">
        <f>1/(0.00807)</f>
        <v>123.91573729863691</v>
      </c>
      <c r="BW23" s="81" t="s">
        <v>463</v>
      </c>
      <c r="BX23" s="81">
        <f>AVERAGE(SUM(N27),N14)*(1/(1/8+SUM(AC42:AC43)/2+SUM(AC23:AC25)/4))</f>
        <v>555.7786267107125</v>
      </c>
      <c r="BY23" s="211">
        <f>1/CB37</f>
        <v>155.27950310559004</v>
      </c>
      <c r="BZ23" s="211"/>
      <c r="CA23" s="81" t="s">
        <v>481</v>
      </c>
      <c r="CB23" s="204">
        <v>6.9400000000000003E-2</v>
      </c>
      <c r="CC23" s="204">
        <v>7.76E-4</v>
      </c>
      <c r="CG23" s="81" t="s">
        <v>477</v>
      </c>
      <c r="CH23" s="204">
        <v>-24.6</v>
      </c>
      <c r="CI23" s="204">
        <v>1360</v>
      </c>
      <c r="CJ23" s="81">
        <v>-0.02</v>
      </c>
      <c r="CK23" s="81">
        <v>0.99</v>
      </c>
      <c r="CM23" s="81" t="s">
        <v>481</v>
      </c>
      <c r="CN23" s="204">
        <v>0.19700000000000001</v>
      </c>
      <c r="CO23" s="204">
        <v>1.81E-3</v>
      </c>
      <c r="CP23" s="81">
        <v>108.63</v>
      </c>
      <c r="CQ23" s="81" t="s">
        <v>509</v>
      </c>
      <c r="CR23" s="204">
        <v>2E-16</v>
      </c>
      <c r="CS23" s="81" t="s">
        <v>510</v>
      </c>
      <c r="CU23" s="212">
        <v>16</v>
      </c>
      <c r="DE23" s="81" t="s">
        <v>389</v>
      </c>
      <c r="DF23" s="81" t="s">
        <v>390</v>
      </c>
      <c r="DG23" s="81" t="str">
        <f t="shared" si="13"/>
        <v>CwD</v>
      </c>
      <c r="DH23" s="81" t="s">
        <v>434</v>
      </c>
      <c r="DI23" s="204">
        <f t="shared" si="14"/>
        <v>16300000</v>
      </c>
      <c r="DJ23" s="81" t="s">
        <v>392</v>
      </c>
      <c r="DK23" s="81" t="s">
        <v>409</v>
      </c>
      <c r="DL23" s="289">
        <f t="shared" si="0"/>
        <v>41.536159600997507</v>
      </c>
      <c r="DM23" s="289">
        <f t="shared" si="1"/>
        <v>63.9</v>
      </c>
      <c r="DN23" s="289">
        <f t="shared" si="2"/>
        <v>58.3</v>
      </c>
      <c r="DP23" s="290" t="s">
        <v>506</v>
      </c>
      <c r="DQ23" s="290" t="s">
        <v>549</v>
      </c>
      <c r="DR23" s="291">
        <v>0.93799999999999994</v>
      </c>
      <c r="DS23" s="291">
        <v>9.1800000000000007E-2</v>
      </c>
      <c r="DT23" s="290">
        <v>10.210000000000001</v>
      </c>
      <c r="DU23" s="290" t="s">
        <v>509</v>
      </c>
      <c r="DV23" s="291">
        <v>2E-16</v>
      </c>
      <c r="DW23" s="81" t="s">
        <v>510</v>
      </c>
      <c r="DX23" s="212" t="s">
        <v>568</v>
      </c>
      <c r="DY23" s="294" t="s">
        <v>587</v>
      </c>
      <c r="DZ23" s="292" t="s">
        <v>434</v>
      </c>
      <c r="EA23" s="293">
        <f t="shared" si="11"/>
        <v>0.70899999999999996</v>
      </c>
      <c r="EB23" s="212" t="s">
        <v>392</v>
      </c>
    </row>
    <row r="24" spans="1:132" ht="15" customHeight="1" thickTop="1" thickBot="1" x14ac:dyDescent="0.35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0.4628482972136222</v>
      </c>
      <c r="G24" s="221"/>
      <c r="H24" s="222"/>
      <c r="J24" s="81" t="s">
        <v>92</v>
      </c>
      <c r="K24" s="250">
        <v>0</v>
      </c>
      <c r="L24" s="251">
        <v>2</v>
      </c>
      <c r="M24" s="251" t="s">
        <v>54</v>
      </c>
      <c r="N24" s="252">
        <f>H13</f>
        <v>3.4200000000000008</v>
      </c>
      <c r="O24" s="253" t="s">
        <v>50</v>
      </c>
      <c r="P24" s="30">
        <f t="shared" si="6"/>
        <v>2</v>
      </c>
      <c r="Q24" s="30">
        <f t="shared" si="7"/>
        <v>6.8400000000000016</v>
      </c>
      <c r="R24" s="30">
        <f t="shared" si="16"/>
        <v>0</v>
      </c>
      <c r="S24" s="30">
        <f t="shared" si="17"/>
        <v>0</v>
      </c>
      <c r="T24" s="30">
        <f t="shared" si="18"/>
        <v>0</v>
      </c>
      <c r="U24" s="31"/>
      <c r="V24" s="3"/>
      <c r="W24" s="220"/>
      <c r="X24" s="221" t="s">
        <v>93</v>
      </c>
      <c r="Y24" s="221">
        <v>0.14000000000000001</v>
      </c>
      <c r="Z24" s="221">
        <v>0.54</v>
      </c>
      <c r="AA24" s="221">
        <v>1400</v>
      </c>
      <c r="AB24" s="221">
        <v>840</v>
      </c>
      <c r="AC24" s="268">
        <f>Y24/Z24</f>
        <v>0.25925925925925924</v>
      </c>
      <c r="AD24" s="222">
        <f>Y24*AA24*AB24</f>
        <v>164640.00000000003</v>
      </c>
      <c r="AE24" s="14"/>
      <c r="AF24" s="14"/>
      <c r="AG24" s="14"/>
      <c r="AL24" s="154" t="s">
        <v>389</v>
      </c>
      <c r="AM24" s="81" t="s">
        <v>390</v>
      </c>
      <c r="AN24" s="81" t="s">
        <v>409</v>
      </c>
      <c r="AO24" s="81">
        <f>SUM(N14)*1/(SUM(AC44:AC46)+0.5*SUM(AC42:AC43))</f>
        <v>41.536159600997507</v>
      </c>
      <c r="AP24" s="81" t="s">
        <v>392</v>
      </c>
      <c r="AQ24" s="204">
        <f>63.9</f>
        <v>63.9</v>
      </c>
      <c r="AU24" s="205" t="s">
        <v>389</v>
      </c>
      <c r="AV24" s="205" t="s">
        <v>390</v>
      </c>
      <c r="AW24" s="205" t="s">
        <v>409</v>
      </c>
      <c r="AX24" s="207" t="s">
        <v>434</v>
      </c>
      <c r="AY24" s="206">
        <f t="shared" si="3"/>
        <v>58.3</v>
      </c>
      <c r="AZ24" s="205" t="s">
        <v>392</v>
      </c>
      <c r="BE24" s="81" t="s">
        <v>281</v>
      </c>
      <c r="BF24" s="81">
        <f>1/(1/AO37+1/AO40)</f>
        <v>44.466714311117791</v>
      </c>
      <c r="BI24" s="81" t="s">
        <v>122</v>
      </c>
      <c r="BJ24" s="204">
        <f>BJ20+BJ21</f>
        <v>3738935.2</v>
      </c>
      <c r="BP24" s="154" t="s">
        <v>389</v>
      </c>
      <c r="BQ24" s="81" t="s">
        <v>390</v>
      </c>
      <c r="BR24" s="81" t="s">
        <v>409</v>
      </c>
      <c r="BS24" s="204">
        <f>AQ24</f>
        <v>63.9</v>
      </c>
      <c r="BT24" s="81" t="s">
        <v>392</v>
      </c>
      <c r="BU24" s="204">
        <f>63.9</f>
        <v>63.9</v>
      </c>
      <c r="BW24" s="81" t="s">
        <v>464</v>
      </c>
      <c r="BX24" s="81">
        <f>AVERAGE(SUM(N26),N14)*(1/(1/8+SUM(AC42:AC43)/2+SUM(AC31:AC32)/4))</f>
        <v>531.99999999999989</v>
      </c>
      <c r="BY24" s="211">
        <f>CB40</f>
        <v>58.3</v>
      </c>
      <c r="BZ24" s="211"/>
      <c r="CA24" s="81" t="s">
        <v>482</v>
      </c>
      <c r="CB24" s="204">
        <v>0.14099999999999999</v>
      </c>
      <c r="CC24" s="204">
        <v>9.4499999999999998E-4</v>
      </c>
      <c r="CG24" s="81" t="s">
        <v>478</v>
      </c>
      <c r="CH24" s="204">
        <v>-13.1</v>
      </c>
      <c r="CI24" s="204">
        <v>157</v>
      </c>
      <c r="CJ24" s="81">
        <v>-0.08</v>
      </c>
      <c r="CK24" s="81">
        <v>0.93</v>
      </c>
      <c r="CM24" s="81" t="s">
        <v>482</v>
      </c>
      <c r="CN24" s="204">
        <v>4.9399999999999999E-2</v>
      </c>
      <c r="CO24" s="204">
        <v>3.4299999999999999E-4</v>
      </c>
      <c r="CP24" s="81">
        <v>144.25</v>
      </c>
      <c r="CQ24" s="81" t="s">
        <v>509</v>
      </c>
      <c r="CR24" s="204">
        <v>2E-16</v>
      </c>
      <c r="CS24" s="81" t="s">
        <v>510</v>
      </c>
      <c r="CU24" s="212" t="s">
        <v>506</v>
      </c>
      <c r="CV24" s="81" t="s">
        <v>423</v>
      </c>
      <c r="CW24" s="204">
        <v>0.17</v>
      </c>
      <c r="CX24" s="204">
        <v>2.6400000000000001E-6</v>
      </c>
      <c r="CY24" s="81">
        <v>64508</v>
      </c>
      <c r="CZ24" s="81" t="s">
        <v>505</v>
      </c>
      <c r="DA24" s="81" t="s">
        <v>510</v>
      </c>
      <c r="DE24" s="81" t="s">
        <v>389</v>
      </c>
      <c r="DF24" s="81" t="s">
        <v>390</v>
      </c>
      <c r="DG24" s="81" t="str">
        <f t="shared" si="13"/>
        <v>CwiD</v>
      </c>
      <c r="DH24" s="81" t="s">
        <v>434</v>
      </c>
      <c r="DI24" s="204">
        <f t="shared" si="14"/>
        <v>26200000</v>
      </c>
      <c r="DJ24" s="81" t="s">
        <v>392</v>
      </c>
      <c r="DL24" s="287">
        <f t="shared" si="0"/>
        <v>0</v>
      </c>
      <c r="DM24" s="287">
        <f t="shared" si="1"/>
        <v>0</v>
      </c>
      <c r="DN24" s="287">
        <f t="shared" si="2"/>
        <v>0</v>
      </c>
      <c r="DP24" s="290" t="s">
        <v>506</v>
      </c>
      <c r="DQ24" s="290" t="s">
        <v>550</v>
      </c>
      <c r="DR24" s="291">
        <v>1.32</v>
      </c>
      <c r="DS24" s="291">
        <v>2.53E-2</v>
      </c>
      <c r="DT24" s="290">
        <v>52.29</v>
      </c>
      <c r="DU24" s="290" t="s">
        <v>509</v>
      </c>
      <c r="DV24" s="291">
        <v>2E-16</v>
      </c>
      <c r="DW24" s="81" t="s">
        <v>510</v>
      </c>
      <c r="DX24" s="212" t="s">
        <v>568</v>
      </c>
      <c r="DY24" s="292" t="s">
        <v>588</v>
      </c>
      <c r="DZ24" s="292" t="s">
        <v>434</v>
      </c>
      <c r="EA24" s="293">
        <f t="shared" si="11"/>
        <v>0.54400000000000004</v>
      </c>
      <c r="EB24" s="212" t="s">
        <v>392</v>
      </c>
    </row>
    <row r="25" spans="1:132" ht="15" customHeight="1" thickTop="1" thickBot="1" x14ac:dyDescent="0.35">
      <c r="A25" s="237"/>
      <c r="B25" s="219"/>
      <c r="C25" s="219"/>
      <c r="D25" s="220"/>
      <c r="E25" s="221"/>
      <c r="F25" s="221"/>
      <c r="G25" s="221"/>
      <c r="H25" s="222"/>
      <c r="J25" s="81" t="s">
        <v>96</v>
      </c>
      <c r="K25" s="250">
        <v>0</v>
      </c>
      <c r="L25" s="251">
        <v>2</v>
      </c>
      <c r="M25" s="251" t="s">
        <v>20</v>
      </c>
      <c r="N25" s="252">
        <f>'Tabula data'!B7</f>
        <v>161.6</v>
      </c>
      <c r="O25" s="253" t="s">
        <v>97</v>
      </c>
      <c r="P25" s="30">
        <f t="shared" si="6"/>
        <v>0.27062537995411134</v>
      </c>
      <c r="Q25" s="30">
        <f t="shared" si="7"/>
        <v>43.73306140058439</v>
      </c>
      <c r="R25" s="30">
        <f t="shared" si="16"/>
        <v>10696627.199999999</v>
      </c>
      <c r="S25" s="30">
        <f t="shared" si="17"/>
        <v>66192</v>
      </c>
      <c r="T25" s="30">
        <f t="shared" si="18"/>
        <v>4927507.2</v>
      </c>
      <c r="U25" s="31"/>
      <c r="V25" s="3"/>
      <c r="W25" s="237"/>
      <c r="X25" s="219" t="s">
        <v>90</v>
      </c>
      <c r="Y25" s="219">
        <v>0.02</v>
      </c>
      <c r="Z25" s="219">
        <v>0.6</v>
      </c>
      <c r="AA25" s="219">
        <v>975</v>
      </c>
      <c r="AB25" s="219">
        <v>840</v>
      </c>
      <c r="AC25" s="269">
        <f>Y25/Z25</f>
        <v>3.3333333333333333E-2</v>
      </c>
      <c r="AD25" s="242">
        <f>Y25*AA25*AB25</f>
        <v>16380</v>
      </c>
      <c r="AE25" s="14"/>
      <c r="AF25" s="14"/>
      <c r="AG25" s="14"/>
      <c r="AP25" s="81" t="s">
        <v>392</v>
      </c>
      <c r="AU25" s="205"/>
      <c r="AV25" s="205"/>
      <c r="AW25" s="205"/>
      <c r="AX25" s="207"/>
      <c r="AZ25" s="205"/>
      <c r="BE25" s="81" t="s">
        <v>282</v>
      </c>
      <c r="BF25" s="3">
        <f>AO39</f>
        <v>79.936389473684216</v>
      </c>
      <c r="BI25" s="81" t="s">
        <v>454</v>
      </c>
      <c r="BJ25" s="204">
        <f>BJ23+BJ24</f>
        <v>145238250.49000001</v>
      </c>
      <c r="BS25" s="204"/>
      <c r="BT25" s="81" t="s">
        <v>392</v>
      </c>
      <c r="CA25" s="81" t="s">
        <v>483</v>
      </c>
      <c r="CB25" s="204">
        <v>0.76</v>
      </c>
      <c r="CC25" s="204">
        <v>3.9399999999999999E-3</v>
      </c>
      <c r="CG25" s="81" t="s">
        <v>479</v>
      </c>
      <c r="CH25" s="204">
        <v>-14.4</v>
      </c>
      <c r="CI25" s="204">
        <v>199</v>
      </c>
      <c r="CJ25" s="81">
        <v>-7.0000000000000007E-2</v>
      </c>
      <c r="CK25" s="81">
        <v>0.94</v>
      </c>
      <c r="CM25" s="81" t="s">
        <v>483</v>
      </c>
      <c r="CN25" s="204">
        <v>0.59799999999999998</v>
      </c>
      <c r="CO25" s="204">
        <v>1.04E-2</v>
      </c>
      <c r="CP25" s="81">
        <v>57.36</v>
      </c>
      <c r="CQ25" s="81" t="s">
        <v>509</v>
      </c>
      <c r="CR25" s="204">
        <v>2E-16</v>
      </c>
      <c r="CS25" s="81" t="s">
        <v>510</v>
      </c>
      <c r="CU25" s="212" t="s">
        <v>506</v>
      </c>
      <c r="CV25" s="81" t="s">
        <v>424</v>
      </c>
      <c r="CW25" s="204">
        <v>0.34</v>
      </c>
      <c r="CX25" s="204">
        <v>5.1800000000000004E-6</v>
      </c>
      <c r="CY25" s="81">
        <v>65643</v>
      </c>
      <c r="CZ25" s="81" t="s">
        <v>505</v>
      </c>
      <c r="DA25" s="81" t="s">
        <v>510</v>
      </c>
      <c r="DE25" s="81" t="s">
        <v>389</v>
      </c>
      <c r="DF25" s="81" t="s">
        <v>390</v>
      </c>
      <c r="DG25" s="81" t="str">
        <f t="shared" si="13"/>
        <v>CwiN</v>
      </c>
      <c r="DH25" s="81" t="s">
        <v>434</v>
      </c>
      <c r="DI25" s="204">
        <f t="shared" si="14"/>
        <v>5730000</v>
      </c>
      <c r="DJ25" s="81" t="s">
        <v>392</v>
      </c>
      <c r="DK25" s="81" t="s">
        <v>410</v>
      </c>
      <c r="DL25" s="286">
        <f t="shared" si="0"/>
        <v>0.54039271166321767</v>
      </c>
      <c r="DM25" s="286">
        <f t="shared" si="1"/>
        <v>0.41399999999999998</v>
      </c>
      <c r="DN25" s="286">
        <f t="shared" si="2"/>
        <v>0.44800000000000001</v>
      </c>
      <c r="DP25" s="290" t="s">
        <v>506</v>
      </c>
      <c r="DQ25" s="290" t="s">
        <v>551</v>
      </c>
      <c r="DR25" s="291">
        <v>1.28</v>
      </c>
      <c r="DS25" s="291">
        <v>6.3799999999999996E-2</v>
      </c>
      <c r="DT25" s="290">
        <v>20</v>
      </c>
      <c r="DU25" s="290" t="s">
        <v>509</v>
      </c>
      <c r="DV25" s="291">
        <v>2E-16</v>
      </c>
      <c r="DW25" s="81" t="s">
        <v>510</v>
      </c>
      <c r="DZ25" s="292"/>
    </row>
    <row r="26" spans="1:132" ht="15" customHeight="1" thickTop="1" thickBot="1" x14ac:dyDescent="0.35">
      <c r="A26" s="223" t="s">
        <v>100</v>
      </c>
      <c r="B26" s="241">
        <f>'Tabula data'!B6</f>
        <v>558.1</v>
      </c>
      <c r="C26" s="235" t="s">
        <v>9</v>
      </c>
      <c r="D26" s="220"/>
      <c r="E26" s="221"/>
      <c r="F26" s="221"/>
      <c r="G26" s="221"/>
      <c r="H26" s="222"/>
      <c r="J26" s="81" t="s">
        <v>98</v>
      </c>
      <c r="K26" s="250">
        <v>1</v>
      </c>
      <c r="L26" s="251">
        <v>2</v>
      </c>
      <c r="M26" s="251" t="s">
        <v>99</v>
      </c>
      <c r="N26" s="252">
        <f>'Tabula data'!B4-'Tabula data'!B14</f>
        <v>119.59999999999997</v>
      </c>
      <c r="O26" s="253"/>
      <c r="P26" s="30">
        <f t="shared" si="6"/>
        <v>1.4549653579676673</v>
      </c>
      <c r="Q26" s="30">
        <f t="shared" si="7"/>
        <v>174.01385681293297</v>
      </c>
      <c r="R26" s="30">
        <f t="shared" si="16"/>
        <v>55678583.999999985</v>
      </c>
      <c r="S26" s="30">
        <f t="shared" si="17"/>
        <v>465540</v>
      </c>
      <c r="T26" s="30">
        <f t="shared" si="18"/>
        <v>55678583.999999985</v>
      </c>
      <c r="U26" s="31"/>
      <c r="V26" s="3"/>
      <c r="W26" s="258"/>
      <c r="X26" s="258"/>
      <c r="Y26" s="258"/>
      <c r="Z26" s="258"/>
      <c r="AA26" s="258"/>
      <c r="AB26" s="258"/>
      <c r="AC26" s="258"/>
      <c r="AD26" s="258"/>
      <c r="AE26" s="14"/>
      <c r="AF26" s="14"/>
      <c r="AG26" s="14"/>
      <c r="AL26" s="154" t="s">
        <v>389</v>
      </c>
      <c r="AM26" s="81" t="s">
        <v>390</v>
      </c>
      <c r="AN26" s="81" t="s">
        <v>410</v>
      </c>
      <c r="AO26" s="81">
        <f>SUM(N17:N20,N25)/SUM(N$17:N$25,N$28,N$26)</f>
        <v>0.54039271166321767</v>
      </c>
      <c r="AP26" s="81" t="s">
        <v>392</v>
      </c>
      <c r="AQ26" s="204">
        <v>0.41399999999999998</v>
      </c>
      <c r="AU26" s="205" t="s">
        <v>389</v>
      </c>
      <c r="AV26" s="205" t="s">
        <v>390</v>
      </c>
      <c r="AW26" s="205" t="s">
        <v>410</v>
      </c>
      <c r="AX26" s="207" t="s">
        <v>434</v>
      </c>
      <c r="AY26" s="206">
        <f t="shared" si="3"/>
        <v>0.44800000000000001</v>
      </c>
      <c r="AZ26" s="205" t="s">
        <v>392</v>
      </c>
      <c r="BE26" s="81" t="s">
        <v>295</v>
      </c>
      <c r="BF26" s="204">
        <f>AO31+AO32</f>
        <v>14285844.090000004</v>
      </c>
      <c r="BP26" s="154" t="s">
        <v>389</v>
      </c>
      <c r="BQ26" s="81" t="s">
        <v>390</v>
      </c>
      <c r="BR26" s="81" t="s">
        <v>410</v>
      </c>
      <c r="BS26" s="204">
        <f t="shared" ref="BS26:BS50" si="20">AQ26</f>
        <v>0.41399999999999998</v>
      </c>
      <c r="BT26" s="81" t="s">
        <v>392</v>
      </c>
      <c r="BU26" s="204">
        <v>0.41399999999999998</v>
      </c>
      <c r="BY26" s="211">
        <f>CN11</f>
        <v>0.44800000000000001</v>
      </c>
      <c r="BZ26" s="211"/>
      <c r="CA26" s="81" t="s">
        <v>484</v>
      </c>
      <c r="CB26" s="204">
        <v>6.4100000000000004E-2</v>
      </c>
      <c r="CC26" s="204">
        <v>4.3300000000000001E-4</v>
      </c>
      <c r="CG26" s="81" t="s">
        <v>480</v>
      </c>
      <c r="CH26" s="204">
        <v>-14.1</v>
      </c>
      <c r="CI26" s="204">
        <v>189</v>
      </c>
      <c r="CJ26" s="81">
        <v>-7.0000000000000007E-2</v>
      </c>
      <c r="CK26" s="81">
        <v>0.94</v>
      </c>
      <c r="CM26" s="81" t="s">
        <v>484</v>
      </c>
      <c r="CN26" s="204">
        <v>9.5100000000000004E-2</v>
      </c>
      <c r="CO26" s="204">
        <v>9.5799999999999998E-4</v>
      </c>
      <c r="CP26" s="81">
        <v>99.29</v>
      </c>
      <c r="CQ26" s="81" t="s">
        <v>509</v>
      </c>
      <c r="CR26" s="204">
        <v>2E-16</v>
      </c>
      <c r="CS26" s="81" t="s">
        <v>510</v>
      </c>
      <c r="CU26" s="212" t="s">
        <v>506</v>
      </c>
      <c r="CV26" s="81" t="s">
        <v>515</v>
      </c>
      <c r="CW26" s="204">
        <v>31500000</v>
      </c>
      <c r="CX26" s="204">
        <v>157</v>
      </c>
      <c r="CY26" s="81">
        <v>200875</v>
      </c>
      <c r="CZ26" s="81" t="s">
        <v>505</v>
      </c>
      <c r="DA26" s="81" t="s">
        <v>510</v>
      </c>
      <c r="DE26" s="81" t="s">
        <v>389</v>
      </c>
      <c r="DF26" s="81" t="s">
        <v>390</v>
      </c>
      <c r="DG26" s="81" t="str">
        <f t="shared" si="13"/>
        <v>CwN</v>
      </c>
      <c r="DH26" s="81" t="s">
        <v>434</v>
      </c>
      <c r="DI26" s="204">
        <f t="shared" si="14"/>
        <v>5800000</v>
      </c>
      <c r="DJ26" s="81" t="s">
        <v>392</v>
      </c>
      <c r="DK26" s="81" t="s">
        <v>411</v>
      </c>
      <c r="DL26" s="286">
        <f t="shared" si="0"/>
        <v>8.0388327958075864E-2</v>
      </c>
      <c r="DM26" s="286">
        <f t="shared" si="1"/>
        <v>0.111</v>
      </c>
      <c r="DN26" s="286">
        <f t="shared" si="2"/>
        <v>0.15</v>
      </c>
      <c r="DP26" s="290" t="s">
        <v>506</v>
      </c>
      <c r="DQ26" s="290" t="s">
        <v>552</v>
      </c>
      <c r="DR26" s="291">
        <v>1.36</v>
      </c>
      <c r="DS26" s="291">
        <v>1.11E-2</v>
      </c>
      <c r="DT26" s="290">
        <v>122.11</v>
      </c>
      <c r="DU26" s="290" t="s">
        <v>509</v>
      </c>
      <c r="DV26" s="291">
        <v>2E-16</v>
      </c>
      <c r="DW26" s="81" t="s">
        <v>510</v>
      </c>
      <c r="DY26" s="292"/>
      <c r="DZ26" s="292"/>
      <c r="EA26" s="293"/>
    </row>
    <row r="27" spans="1:132" ht="15" customHeight="1" thickTop="1" thickBot="1" x14ac:dyDescent="0.35">
      <c r="A27" s="220"/>
      <c r="B27" s="240">
        <f>SUM(N6:N25)</f>
        <v>558.30000000000007</v>
      </c>
      <c r="C27" s="222"/>
      <c r="D27" s="220"/>
      <c r="E27" s="221"/>
      <c r="F27" s="221"/>
      <c r="G27" s="221"/>
      <c r="H27" s="222"/>
      <c r="J27" s="81" t="s">
        <v>101</v>
      </c>
      <c r="K27" s="250">
        <v>1</v>
      </c>
      <c r="L27" s="251">
        <v>1</v>
      </c>
      <c r="M27" s="251" t="s">
        <v>85</v>
      </c>
      <c r="N27" s="252">
        <f>SUM(N6:N9)</f>
        <v>172.7595</v>
      </c>
      <c r="O27" s="253"/>
      <c r="P27" s="30">
        <f t="shared" si="6"/>
        <v>1.7363344051446945</v>
      </c>
      <c r="Q27" s="30">
        <f t="shared" si="7"/>
        <v>299.96826366559486</v>
      </c>
      <c r="R27" s="30">
        <f t="shared" si="16"/>
        <v>34102725.300000004</v>
      </c>
      <c r="S27" s="30">
        <f t="shared" si="17"/>
        <v>197400.00000000003</v>
      </c>
      <c r="T27" s="30">
        <f t="shared" si="18"/>
        <v>34102725.300000004</v>
      </c>
      <c r="U27" s="31"/>
      <c r="V27" s="3"/>
      <c r="W27" s="260" t="s">
        <v>99</v>
      </c>
      <c r="X27" s="261"/>
      <c r="Y27" s="262" t="s">
        <v>21</v>
      </c>
      <c r="Z27" s="263">
        <f>1/(1/10+SUM(AC29:AC32)+1/6)</f>
        <v>1.4549653579676673</v>
      </c>
      <c r="AA27" s="261" t="s">
        <v>5</v>
      </c>
      <c r="AB27" s="261"/>
      <c r="AC27" s="261" t="s">
        <v>22</v>
      </c>
      <c r="AD27" s="264">
        <f>SUM(AD29:AD33)</f>
        <v>465540</v>
      </c>
      <c r="AE27" s="14" t="s">
        <v>23</v>
      </c>
      <c r="AF27" s="14">
        <f>SUM(AD29:AD32)</f>
        <v>465540</v>
      </c>
      <c r="AG27" s="14"/>
      <c r="AL27" s="154" t="s">
        <v>389</v>
      </c>
      <c r="AM27" s="81" t="s">
        <v>390</v>
      </c>
      <c r="AN27" s="81" t="s">
        <v>411</v>
      </c>
      <c r="AO27" s="81">
        <f>SUM(N28)/SUM(N$17:N$25,N$28,N$26)</f>
        <v>8.0388327958075864E-2</v>
      </c>
      <c r="AP27" s="81" t="s">
        <v>392</v>
      </c>
      <c r="AQ27" s="204">
        <v>0.111</v>
      </c>
      <c r="AU27" s="205" t="s">
        <v>389</v>
      </c>
      <c r="AV27" s="205" t="s">
        <v>390</v>
      </c>
      <c r="AW27" s="205" t="s">
        <v>411</v>
      </c>
      <c r="AX27" s="207" t="s">
        <v>434</v>
      </c>
      <c r="AY27" s="206">
        <f t="shared" si="3"/>
        <v>0.15</v>
      </c>
      <c r="AZ27" s="205" t="s">
        <v>392</v>
      </c>
      <c r="BE27" s="81" t="s">
        <v>122</v>
      </c>
      <c r="BF27" s="204">
        <f>AO30</f>
        <v>1730559.7907120739</v>
      </c>
      <c r="BI27" s="81" t="s">
        <v>455</v>
      </c>
      <c r="BJ27" s="204">
        <v>-1000000</v>
      </c>
      <c r="BP27" s="154" t="s">
        <v>389</v>
      </c>
      <c r="BQ27" s="81" t="s">
        <v>390</v>
      </c>
      <c r="BR27" s="81" t="s">
        <v>411</v>
      </c>
      <c r="BS27" s="204">
        <f t="shared" si="20"/>
        <v>0.111</v>
      </c>
      <c r="BT27" s="81" t="s">
        <v>392</v>
      </c>
      <c r="BU27" s="204">
        <v>0.111</v>
      </c>
      <c r="BY27" s="211">
        <f t="shared" ref="BY27:BY28" si="21">CN12</f>
        <v>0.15</v>
      </c>
      <c r="BZ27" s="211"/>
      <c r="CA27" s="81" t="s">
        <v>485</v>
      </c>
      <c r="CB27" s="204">
        <v>5.4300000000000001E-2</v>
      </c>
      <c r="CC27" s="204">
        <v>4.44E-4</v>
      </c>
      <c r="CG27" s="81" t="s">
        <v>481</v>
      </c>
      <c r="CH27" s="204">
        <v>6.9400000000000003E-2</v>
      </c>
      <c r="CI27" s="204">
        <v>7.76E-4</v>
      </c>
      <c r="CJ27" s="81">
        <v>89.38</v>
      </c>
      <c r="CK27" s="81" t="s">
        <v>505</v>
      </c>
      <c r="CM27" s="81" t="s">
        <v>486</v>
      </c>
      <c r="CN27" s="204">
        <v>194</v>
      </c>
      <c r="CO27" s="204">
        <v>5.16</v>
      </c>
      <c r="CP27" s="81">
        <v>37.520000000000003</v>
      </c>
      <c r="CQ27" s="81" t="s">
        <v>509</v>
      </c>
      <c r="CR27" s="204">
        <v>2E-16</v>
      </c>
      <c r="CS27" s="81" t="s">
        <v>510</v>
      </c>
      <c r="CU27" s="212" t="s">
        <v>506</v>
      </c>
      <c r="CV27" s="81" t="s">
        <v>426</v>
      </c>
      <c r="CW27" s="204">
        <v>67000000</v>
      </c>
      <c r="CX27" s="204">
        <v>330</v>
      </c>
      <c r="CY27" s="81">
        <v>203280</v>
      </c>
      <c r="CZ27" s="81" t="s">
        <v>505</v>
      </c>
      <c r="DA27" s="81" t="s">
        <v>510</v>
      </c>
      <c r="DI27" s="204"/>
      <c r="DK27" s="81" t="s">
        <v>412</v>
      </c>
      <c r="DL27" s="286">
        <f t="shared" si="0"/>
        <v>3.877017144841604E-2</v>
      </c>
      <c r="DM27" s="286">
        <f t="shared" si="1"/>
        <v>0.251</v>
      </c>
      <c r="DN27" s="286">
        <f t="shared" si="2"/>
        <v>4.4699999999999997E-2</v>
      </c>
      <c r="DP27" s="290" t="s">
        <v>506</v>
      </c>
      <c r="DQ27" s="290" t="s">
        <v>553</v>
      </c>
      <c r="DR27" s="291">
        <v>1.17</v>
      </c>
      <c r="DS27" s="291">
        <v>1.2800000000000001E-2</v>
      </c>
      <c r="DT27" s="290">
        <v>91.59</v>
      </c>
      <c r="DU27" s="290" t="s">
        <v>509</v>
      </c>
      <c r="DV27" s="291">
        <v>2E-16</v>
      </c>
      <c r="DW27" s="81" t="s">
        <v>510</v>
      </c>
      <c r="DX27" s="212" t="s">
        <v>568</v>
      </c>
      <c r="DY27" s="292" t="s">
        <v>399</v>
      </c>
      <c r="DZ27" s="292" t="s">
        <v>434</v>
      </c>
      <c r="EA27" s="293">
        <f>DR33</f>
        <v>13200000</v>
      </c>
      <c r="EB27" s="212" t="s">
        <v>392</v>
      </c>
    </row>
    <row r="28" spans="1:132" ht="15" customHeight="1" thickTop="1" thickBot="1" x14ac:dyDescent="0.35">
      <c r="A28" s="220"/>
      <c r="B28" s="221"/>
      <c r="C28" s="222"/>
      <c r="D28" s="220"/>
      <c r="E28" s="221"/>
      <c r="F28" s="221"/>
      <c r="G28" s="221"/>
      <c r="H28" s="222"/>
      <c r="J28" s="81" t="s">
        <v>102</v>
      </c>
      <c r="K28" s="250">
        <v>2</v>
      </c>
      <c r="L28" s="251">
        <v>2</v>
      </c>
      <c r="M28" s="251" t="s">
        <v>85</v>
      </c>
      <c r="N28" s="252">
        <f>SUM(N17:N20)</f>
        <v>28.240500000000004</v>
      </c>
      <c r="O28" s="253"/>
      <c r="P28" s="30">
        <f t="shared" si="6"/>
        <v>1.7363344051446945</v>
      </c>
      <c r="Q28" s="30">
        <f t="shared" si="7"/>
        <v>49.034951768488753</v>
      </c>
      <c r="R28" s="30">
        <f t="shared" si="16"/>
        <v>5574674.700000002</v>
      </c>
      <c r="S28" s="30">
        <f t="shared" si="17"/>
        <v>197400.00000000003</v>
      </c>
      <c r="T28" s="30">
        <f t="shared" si="18"/>
        <v>5574674.700000002</v>
      </c>
      <c r="U28" s="31"/>
      <c r="V28" s="3"/>
      <c r="W28" s="265"/>
      <c r="X28" s="266" t="s">
        <v>27</v>
      </c>
      <c r="Y28" s="266" t="s">
        <v>28</v>
      </c>
      <c r="Z28" s="266" t="s">
        <v>29</v>
      </c>
      <c r="AA28" s="266" t="s">
        <v>30</v>
      </c>
      <c r="AB28" s="266" t="s">
        <v>31</v>
      </c>
      <c r="AC28" s="266" t="s">
        <v>32</v>
      </c>
      <c r="AD28" s="267" t="s">
        <v>33</v>
      </c>
      <c r="AE28" s="14"/>
      <c r="AF28" s="14"/>
      <c r="AG28" s="14"/>
      <c r="AL28" s="154" t="s">
        <v>389</v>
      </c>
      <c r="AM28" s="81" t="s">
        <v>390</v>
      </c>
      <c r="AN28" s="81" t="s">
        <v>412</v>
      </c>
      <c r="AO28" s="81">
        <f>SUM(N21:N24)/SUM(N$17:N$25,N$28,N$26)</f>
        <v>3.877017144841604E-2</v>
      </c>
      <c r="AP28" s="81" t="s">
        <v>392</v>
      </c>
      <c r="AQ28" s="204">
        <v>0.251</v>
      </c>
      <c r="AU28" s="205" t="s">
        <v>389</v>
      </c>
      <c r="AV28" s="205" t="s">
        <v>390</v>
      </c>
      <c r="AW28" s="205" t="s">
        <v>412</v>
      </c>
      <c r="AX28" s="207" t="s">
        <v>434</v>
      </c>
      <c r="AY28" s="206">
        <f t="shared" si="3"/>
        <v>4.4699999999999997E-2</v>
      </c>
      <c r="AZ28" s="205" t="s">
        <v>392</v>
      </c>
      <c r="BE28" s="81" t="s">
        <v>449</v>
      </c>
      <c r="BF28" s="204">
        <f>BF26+BF27</f>
        <v>16016403.880712077</v>
      </c>
      <c r="BI28" s="81" t="s">
        <v>456</v>
      </c>
      <c r="BJ28" s="204">
        <v>-1000000</v>
      </c>
      <c r="BP28" s="154" t="s">
        <v>389</v>
      </c>
      <c r="BQ28" s="81" t="s">
        <v>390</v>
      </c>
      <c r="BR28" s="81" t="s">
        <v>412</v>
      </c>
      <c r="BS28" s="204">
        <f t="shared" si="20"/>
        <v>0.251</v>
      </c>
      <c r="BT28" s="81" t="s">
        <v>392</v>
      </c>
      <c r="BU28" s="204">
        <v>0.251</v>
      </c>
      <c r="BY28" s="211">
        <f t="shared" si="21"/>
        <v>4.4699999999999997E-2</v>
      </c>
      <c r="BZ28" s="211"/>
      <c r="CA28" s="81" t="s">
        <v>486</v>
      </c>
      <c r="CB28" s="204">
        <v>259</v>
      </c>
      <c r="CC28" s="204">
        <v>2.63</v>
      </c>
      <c r="CG28" s="81" t="s">
        <v>482</v>
      </c>
      <c r="CH28" s="204">
        <v>0.14099999999999999</v>
      </c>
      <c r="CI28" s="204">
        <v>9.4499999999999998E-4</v>
      </c>
      <c r="CJ28" s="81">
        <v>148.78</v>
      </c>
      <c r="CK28" s="81" t="s">
        <v>505</v>
      </c>
      <c r="CM28" s="81" t="s">
        <v>285</v>
      </c>
      <c r="CN28" s="204">
        <v>83.2</v>
      </c>
      <c r="CO28" s="204">
        <v>0.88100000000000001</v>
      </c>
      <c r="CP28" s="81">
        <v>94.5</v>
      </c>
      <c r="CQ28" s="81" t="s">
        <v>509</v>
      </c>
      <c r="CR28" s="204">
        <v>2E-16</v>
      </c>
      <c r="CS28" s="81" t="s">
        <v>510</v>
      </c>
      <c r="CU28" s="212" t="s">
        <v>506</v>
      </c>
      <c r="CV28" s="81" t="s">
        <v>396</v>
      </c>
      <c r="CW28" s="204">
        <v>2700000</v>
      </c>
      <c r="CX28" s="204">
        <v>8.4600000000000009</v>
      </c>
      <c r="CY28" s="81">
        <v>319026</v>
      </c>
      <c r="CZ28" s="81" t="s">
        <v>505</v>
      </c>
      <c r="DA28" s="81" t="s">
        <v>510</v>
      </c>
      <c r="DI28" s="204"/>
      <c r="DL28" s="287">
        <f t="shared" si="0"/>
        <v>0</v>
      </c>
      <c r="DM28" s="287">
        <f t="shared" si="1"/>
        <v>0</v>
      </c>
      <c r="DN28" s="287">
        <f t="shared" si="2"/>
        <v>0</v>
      </c>
      <c r="DP28" s="290" t="s">
        <v>506</v>
      </c>
      <c r="DQ28" s="290" t="s">
        <v>554</v>
      </c>
      <c r="DR28" s="291">
        <v>0.70799999999999996</v>
      </c>
      <c r="DS28" s="291">
        <v>2.1100000000000001E-2</v>
      </c>
      <c r="DT28" s="290">
        <v>33.61</v>
      </c>
      <c r="DU28" s="290" t="s">
        <v>509</v>
      </c>
      <c r="DV28" s="291">
        <v>2E-16</v>
      </c>
      <c r="DW28" s="81" t="s">
        <v>510</v>
      </c>
      <c r="DX28" s="212" t="s">
        <v>568</v>
      </c>
      <c r="DY28" s="295" t="s">
        <v>396</v>
      </c>
      <c r="DZ28" s="292" t="s">
        <v>434</v>
      </c>
      <c r="EA28" s="293">
        <f t="shared" ref="EA28:EA30" si="22">DR34</f>
        <v>2320000</v>
      </c>
      <c r="EB28" s="212" t="s">
        <v>392</v>
      </c>
    </row>
    <row r="29" spans="1:132" ht="15" customHeight="1" thickTop="1" thickBot="1" x14ac:dyDescent="0.35">
      <c r="A29" s="220"/>
      <c r="B29" s="221"/>
      <c r="C29" s="222"/>
      <c r="D29" s="220"/>
      <c r="E29" s="221"/>
      <c r="F29" s="221"/>
      <c r="G29" s="221"/>
      <c r="H29" s="222"/>
      <c r="K29" s="255"/>
      <c r="L29" s="256"/>
      <c r="M29" s="256"/>
      <c r="N29" s="256"/>
      <c r="O29" s="257"/>
      <c r="W29" s="271"/>
      <c r="X29" s="272" t="s">
        <v>103</v>
      </c>
      <c r="Y29" s="272">
        <v>0.02</v>
      </c>
      <c r="Z29" s="272">
        <v>0.18</v>
      </c>
      <c r="AA29" s="272">
        <v>550</v>
      </c>
      <c r="AB29" s="272">
        <v>1880</v>
      </c>
      <c r="AC29" s="273">
        <f>Y29/Z29</f>
        <v>0.11111111111111112</v>
      </c>
      <c r="AD29" s="274">
        <f>Y29*AA29*AB29</f>
        <v>20680</v>
      </c>
      <c r="AE29" s="14" t="s">
        <v>104</v>
      </c>
      <c r="AF29" s="14"/>
      <c r="AG29" s="14"/>
      <c r="AP29" s="81" t="s">
        <v>392</v>
      </c>
      <c r="AU29" s="205"/>
      <c r="AV29" s="205"/>
      <c r="AW29" s="205"/>
      <c r="AX29" s="207"/>
      <c r="AZ29" s="205"/>
      <c r="BE29" s="81" t="s">
        <v>450</v>
      </c>
      <c r="BF29" s="3">
        <f>BF24+BF25</f>
        <v>124.403103784802</v>
      </c>
      <c r="BI29" s="81" t="s">
        <v>294</v>
      </c>
      <c r="BJ29" s="204">
        <v>-1000000</v>
      </c>
      <c r="BS29" s="204"/>
      <c r="BT29" s="81" t="s">
        <v>392</v>
      </c>
      <c r="BY29" s="211"/>
      <c r="BZ29" s="211"/>
      <c r="CA29" s="81" t="s">
        <v>487</v>
      </c>
      <c r="CB29" s="204">
        <v>197</v>
      </c>
      <c r="CC29" s="204">
        <v>1.44</v>
      </c>
      <c r="CG29" s="81" t="s">
        <v>483</v>
      </c>
      <c r="CH29" s="204">
        <v>0.76</v>
      </c>
      <c r="CI29" s="204">
        <v>3.9399999999999999E-3</v>
      </c>
      <c r="CJ29" s="81">
        <v>192.86</v>
      </c>
      <c r="CK29" s="81" t="s">
        <v>505</v>
      </c>
      <c r="CM29" s="81" t="s">
        <v>120</v>
      </c>
      <c r="CN29" s="204">
        <v>64.400000000000006</v>
      </c>
      <c r="CO29" s="204">
        <v>1.8</v>
      </c>
      <c r="CP29" s="81">
        <v>35.869999999999997</v>
      </c>
      <c r="CQ29" s="81" t="s">
        <v>509</v>
      </c>
      <c r="CR29" s="204">
        <v>2E-16</v>
      </c>
      <c r="CS29" s="81" t="s">
        <v>510</v>
      </c>
      <c r="CU29" s="212" t="s">
        <v>506</v>
      </c>
      <c r="CV29" s="81" t="s">
        <v>413</v>
      </c>
      <c r="CW29" s="204">
        <v>1700000</v>
      </c>
      <c r="CX29" s="204">
        <v>7.17</v>
      </c>
      <c r="CY29" s="81">
        <v>236943</v>
      </c>
      <c r="CZ29" s="81" t="s">
        <v>505</v>
      </c>
      <c r="DA29" s="81" t="s">
        <v>510</v>
      </c>
      <c r="DI29" s="204"/>
      <c r="DK29" s="81" t="s">
        <v>413</v>
      </c>
      <c r="DL29" s="288">
        <f t="shared" si="0"/>
        <v>1730559.7907120739</v>
      </c>
      <c r="DM29" s="288">
        <f t="shared" si="1"/>
        <v>1340000</v>
      </c>
      <c r="DN29" s="288">
        <f t="shared" si="2"/>
        <v>1130000</v>
      </c>
      <c r="DP29" s="290" t="s">
        <v>506</v>
      </c>
      <c r="DQ29" s="290" t="s">
        <v>424</v>
      </c>
      <c r="DR29" s="291">
        <v>1.9300000000000001E-8</v>
      </c>
      <c r="DS29" s="291">
        <v>1.9999999999999999E-7</v>
      </c>
      <c r="DT29" s="290">
        <v>0.1</v>
      </c>
      <c r="DU29" s="290">
        <v>0.92320000000000002</v>
      </c>
      <c r="DX29" s="212" t="s">
        <v>568</v>
      </c>
      <c r="DY29" s="295" t="s">
        <v>397</v>
      </c>
      <c r="DZ29" s="292" t="s">
        <v>434</v>
      </c>
      <c r="EA29" s="293">
        <f t="shared" si="22"/>
        <v>20900000</v>
      </c>
      <c r="EB29" s="212" t="s">
        <v>392</v>
      </c>
    </row>
    <row r="30" spans="1:132" ht="15" customHeight="1" thickTop="1" thickBot="1" x14ac:dyDescent="0.35">
      <c r="A30" s="237"/>
      <c r="B30" s="219"/>
      <c r="C30" s="242"/>
      <c r="D30" s="237"/>
      <c r="E30" s="219"/>
      <c r="F30" s="219"/>
      <c r="G30" s="219"/>
      <c r="H30" s="242"/>
      <c r="K30" s="81"/>
      <c r="L30" s="81"/>
      <c r="M30" s="81"/>
      <c r="P30" s="81"/>
      <c r="Q30" s="81"/>
      <c r="W30" s="220"/>
      <c r="X30" s="221" t="s">
        <v>129</v>
      </c>
      <c r="Y30" s="221">
        <v>0.08</v>
      </c>
      <c r="Z30" s="221">
        <v>0.6</v>
      </c>
      <c r="AA30" s="221">
        <v>1100</v>
      </c>
      <c r="AB30" s="221">
        <v>860</v>
      </c>
      <c r="AC30" s="268">
        <f>Y30/Z30</f>
        <v>0.13333333333333333</v>
      </c>
      <c r="AD30" s="222">
        <f>Y30*AA30*AB30</f>
        <v>75680</v>
      </c>
      <c r="AE30" s="14"/>
      <c r="AF30" s="14"/>
      <c r="AG30" s="14"/>
      <c r="AL30" s="154" t="s">
        <v>389</v>
      </c>
      <c r="AM30" s="81" t="s">
        <v>390</v>
      </c>
      <c r="AN30" s="81" t="s">
        <v>413</v>
      </c>
      <c r="AO30" s="204">
        <f>B35*1.04*1012*5</f>
        <v>1730559.7907120739</v>
      </c>
      <c r="AP30" s="81" t="s">
        <v>392</v>
      </c>
      <c r="AQ30" s="204">
        <v>1340000</v>
      </c>
      <c r="AU30" s="205" t="s">
        <v>389</v>
      </c>
      <c r="AV30" s="205" t="s">
        <v>390</v>
      </c>
      <c r="AW30" s="205" t="s">
        <v>413</v>
      </c>
      <c r="AX30" s="207" t="s">
        <v>434</v>
      </c>
      <c r="AY30" s="206">
        <f t="shared" si="3"/>
        <v>1130000</v>
      </c>
      <c r="AZ30" s="205" t="s">
        <v>392</v>
      </c>
      <c r="BI30" s="81" t="s">
        <v>301</v>
      </c>
      <c r="BJ30" s="204">
        <v>-1000000</v>
      </c>
      <c r="BP30" s="154" t="s">
        <v>389</v>
      </c>
      <c r="BQ30" s="81" t="s">
        <v>390</v>
      </c>
      <c r="BR30" s="81" t="s">
        <v>413</v>
      </c>
      <c r="BS30" s="204">
        <f t="shared" si="20"/>
        <v>1340000</v>
      </c>
      <c r="BT30" s="81" t="s">
        <v>392</v>
      </c>
      <c r="BU30" s="204">
        <v>1340000</v>
      </c>
      <c r="BY30" s="211">
        <f>CN16</f>
        <v>1130000</v>
      </c>
      <c r="BZ30" s="211"/>
      <c r="CA30" s="81" t="s">
        <v>285</v>
      </c>
      <c r="CB30" s="204">
        <v>487</v>
      </c>
      <c r="CC30" s="204">
        <v>2.62</v>
      </c>
      <c r="CG30" s="81" t="s">
        <v>484</v>
      </c>
      <c r="CH30" s="204">
        <v>6.4100000000000004E-2</v>
      </c>
      <c r="CI30" s="204">
        <v>4.3300000000000001E-4</v>
      </c>
      <c r="CJ30" s="81">
        <v>148.13</v>
      </c>
      <c r="CK30" s="81" t="s">
        <v>505</v>
      </c>
      <c r="CM30" s="81" t="s">
        <v>488</v>
      </c>
      <c r="CN30" s="204">
        <v>-4.93</v>
      </c>
      <c r="CO30" s="204">
        <v>2.1999999999999999E-2</v>
      </c>
      <c r="CP30" s="81">
        <v>-223.73</v>
      </c>
      <c r="CQ30" s="81" t="s">
        <v>509</v>
      </c>
      <c r="CR30" s="204">
        <v>2E-16</v>
      </c>
      <c r="CS30" s="81" t="s">
        <v>510</v>
      </c>
      <c r="CU30" s="212" t="s">
        <v>506</v>
      </c>
      <c r="CV30" s="81" t="s">
        <v>397</v>
      </c>
      <c r="CW30" s="204">
        <v>16300000</v>
      </c>
      <c r="CX30" s="204">
        <v>47.4</v>
      </c>
      <c r="CY30" s="81">
        <v>343884</v>
      </c>
      <c r="CZ30" s="81" t="s">
        <v>505</v>
      </c>
      <c r="DA30" s="81" t="s">
        <v>510</v>
      </c>
      <c r="DI30" s="204"/>
      <c r="DK30" s="81" t="s">
        <v>414</v>
      </c>
      <c r="DL30" s="288">
        <f t="shared" si="0"/>
        <v>8711169.3900000006</v>
      </c>
      <c r="DM30" s="288">
        <f t="shared" si="1"/>
        <v>2810000</v>
      </c>
      <c r="DN30" s="288">
        <f t="shared" si="2"/>
        <v>6980000</v>
      </c>
      <c r="DP30" s="290" t="s">
        <v>506</v>
      </c>
      <c r="DQ30" s="290" t="s">
        <v>555</v>
      </c>
      <c r="DR30" s="291">
        <v>0.70899999999999996</v>
      </c>
      <c r="DS30" s="291">
        <v>9.7999999999999997E-3</v>
      </c>
      <c r="DT30" s="290">
        <v>72.349999999999994</v>
      </c>
      <c r="DU30" s="290" t="s">
        <v>509</v>
      </c>
      <c r="DV30" s="291">
        <v>2E-16</v>
      </c>
      <c r="DW30" s="81" t="s">
        <v>510</v>
      </c>
      <c r="DX30" s="212" t="s">
        <v>568</v>
      </c>
      <c r="DY30" s="295" t="s">
        <v>398</v>
      </c>
      <c r="DZ30" s="292" t="s">
        <v>434</v>
      </c>
      <c r="EA30" s="293">
        <f t="shared" si="22"/>
        <v>25500000</v>
      </c>
      <c r="EB30" s="212" t="s">
        <v>392</v>
      </c>
    </row>
    <row r="31" spans="1:132" ht="15" customHeight="1" thickTop="1" thickBot="1" x14ac:dyDescent="0.35">
      <c r="K31" s="81"/>
      <c r="L31" s="81"/>
      <c r="M31" s="81"/>
      <c r="P31" s="69" t="s">
        <v>106</v>
      </c>
      <c r="Q31" s="70">
        <f>SUM(Q6:Q9)+SUM(Q10:Q13)+0.5*Q14+Q16+SUM(Q17:Q24)+Q25</f>
        <v>267.81373595017942</v>
      </c>
      <c r="R31" s="69" t="s">
        <v>107</v>
      </c>
      <c r="W31" s="220"/>
      <c r="X31" s="221" t="s">
        <v>131</v>
      </c>
      <c r="Y31" s="221">
        <v>0.2</v>
      </c>
      <c r="Z31" s="221">
        <v>1.4</v>
      </c>
      <c r="AA31" s="221">
        <v>2100</v>
      </c>
      <c r="AB31" s="221">
        <v>840</v>
      </c>
      <c r="AC31" s="268">
        <f>Y31/Z31</f>
        <v>0.14285714285714288</v>
      </c>
      <c r="AD31" s="222">
        <f>Y31*AA31*AB31</f>
        <v>352800</v>
      </c>
      <c r="AE31" s="14"/>
      <c r="AF31" s="14"/>
      <c r="AG31" s="14"/>
      <c r="AL31" s="154" t="s">
        <v>389</v>
      </c>
      <c r="AM31" s="81" t="s">
        <v>390</v>
      </c>
      <c r="AN31" s="81" t="s">
        <v>414</v>
      </c>
      <c r="AO31" s="204">
        <f>T25+SUM(T17:T20)</f>
        <v>8711169.3900000006</v>
      </c>
      <c r="AP31" s="81" t="s">
        <v>392</v>
      </c>
      <c r="AQ31" s="204">
        <v>2810000</v>
      </c>
      <c r="AU31" s="205" t="s">
        <v>389</v>
      </c>
      <c r="AV31" s="205" t="s">
        <v>390</v>
      </c>
      <c r="AW31" s="205" t="s">
        <v>414</v>
      </c>
      <c r="AX31" s="207" t="s">
        <v>434</v>
      </c>
      <c r="AY31" s="206">
        <f t="shared" si="3"/>
        <v>6980000</v>
      </c>
      <c r="AZ31" s="205" t="s">
        <v>392</v>
      </c>
      <c r="BP31" s="154" t="s">
        <v>389</v>
      </c>
      <c r="BQ31" s="81" t="s">
        <v>390</v>
      </c>
      <c r="BR31" s="81" t="s">
        <v>414</v>
      </c>
      <c r="BS31" s="204">
        <f t="shared" si="20"/>
        <v>2810000</v>
      </c>
      <c r="BT31" s="81" t="s">
        <v>392</v>
      </c>
      <c r="BU31" s="204">
        <v>2810000</v>
      </c>
      <c r="BY31" s="211">
        <f>CN17</f>
        <v>6980000</v>
      </c>
      <c r="BZ31" s="211"/>
      <c r="CA31" s="81" t="s">
        <v>120</v>
      </c>
      <c r="CB31" s="204">
        <v>274</v>
      </c>
      <c r="CC31" s="204">
        <v>1.37</v>
      </c>
      <c r="CG31" s="81" t="s">
        <v>485</v>
      </c>
      <c r="CH31" s="204">
        <v>5.4300000000000001E-2</v>
      </c>
      <c r="CI31" s="204">
        <v>4.44E-4</v>
      </c>
      <c r="CJ31" s="81">
        <v>122.4</v>
      </c>
      <c r="CK31" s="81" t="s">
        <v>505</v>
      </c>
      <c r="CM31" s="81" t="s">
        <v>489</v>
      </c>
      <c r="CN31" s="204">
        <v>-4.84</v>
      </c>
      <c r="CO31" s="204">
        <v>2.86E-2</v>
      </c>
      <c r="CP31" s="81">
        <v>-169.23</v>
      </c>
      <c r="CQ31" s="81" t="s">
        <v>509</v>
      </c>
      <c r="CR31" s="204">
        <v>2E-16</v>
      </c>
      <c r="CS31" s="81" t="s">
        <v>510</v>
      </c>
      <c r="CU31" s="212" t="s">
        <v>506</v>
      </c>
      <c r="CV31" s="81" t="s">
        <v>398</v>
      </c>
      <c r="CW31" s="204">
        <v>26200000</v>
      </c>
      <c r="CX31" s="204">
        <v>77.599999999999994</v>
      </c>
      <c r="CY31" s="81">
        <v>337769</v>
      </c>
      <c r="CZ31" s="81" t="s">
        <v>505</v>
      </c>
      <c r="DA31" s="81" t="s">
        <v>510</v>
      </c>
      <c r="DE31" s="81" t="s">
        <v>389</v>
      </c>
      <c r="DF31" s="81" t="s">
        <v>390</v>
      </c>
      <c r="DG31" s="81" t="str">
        <f t="shared" si="13"/>
        <v>f1D</v>
      </c>
      <c r="DH31" s="81" t="s">
        <v>434</v>
      </c>
      <c r="DI31" s="204">
        <f t="shared" si="14"/>
        <v>0.06</v>
      </c>
      <c r="DJ31" s="81" t="s">
        <v>392</v>
      </c>
      <c r="DK31" s="81" t="s">
        <v>415</v>
      </c>
      <c r="DL31" s="288">
        <f t="shared" si="0"/>
        <v>5574674.700000002</v>
      </c>
      <c r="DM31" s="288">
        <f t="shared" si="1"/>
        <v>5640000</v>
      </c>
      <c r="DN31" s="288">
        <f t="shared" si="2"/>
        <v>11000000</v>
      </c>
      <c r="DP31" s="290" t="s">
        <v>506</v>
      </c>
      <c r="DQ31" s="290" t="s">
        <v>556</v>
      </c>
      <c r="DR31" s="291">
        <v>0.54400000000000004</v>
      </c>
      <c r="DS31" s="291">
        <v>1.09E-2</v>
      </c>
      <c r="DT31" s="290">
        <v>49.82</v>
      </c>
      <c r="DU31" s="290" t="s">
        <v>509</v>
      </c>
      <c r="DV31" s="291">
        <v>2E-16</v>
      </c>
      <c r="DW31" s="81" t="s">
        <v>510</v>
      </c>
      <c r="DZ31" s="292"/>
    </row>
    <row r="32" spans="1:132" ht="15" customHeight="1" thickTop="1" thickBot="1" x14ac:dyDescent="0.35">
      <c r="B32" s="81">
        <f>B4/B6</f>
        <v>2.7496130030959756</v>
      </c>
      <c r="K32" s="81"/>
      <c r="L32" s="81"/>
      <c r="M32" s="81"/>
      <c r="P32" s="81"/>
      <c r="Q32" s="81">
        <f>G4*Y37</f>
        <v>21.337999999999997</v>
      </c>
      <c r="W32" s="237"/>
      <c r="X32" s="219" t="s">
        <v>80</v>
      </c>
      <c r="Y32" s="219">
        <v>0.02</v>
      </c>
      <c r="Z32" s="219">
        <v>0.6</v>
      </c>
      <c r="AA32" s="219">
        <v>975</v>
      </c>
      <c r="AB32" s="219">
        <v>840</v>
      </c>
      <c r="AC32" s="269">
        <f>Y32/Z32</f>
        <v>3.3333333333333333E-2</v>
      </c>
      <c r="AD32" s="242">
        <f>Y32*AA32*AB32</f>
        <v>16380</v>
      </c>
      <c r="AE32" s="14"/>
      <c r="AF32" s="14"/>
      <c r="AG32" s="14"/>
      <c r="AL32" s="154" t="s">
        <v>389</v>
      </c>
      <c r="AM32" s="81" t="s">
        <v>390</v>
      </c>
      <c r="AN32" s="81" t="s">
        <v>415</v>
      </c>
      <c r="AO32" s="204">
        <f>SUM(T28)</f>
        <v>5574674.700000002</v>
      </c>
      <c r="AP32" s="81" t="s">
        <v>392</v>
      </c>
      <c r="AQ32" s="204">
        <v>5640000</v>
      </c>
      <c r="AU32" s="205" t="s">
        <v>389</v>
      </c>
      <c r="AV32" s="205" t="s">
        <v>390</v>
      </c>
      <c r="AW32" s="205" t="s">
        <v>415</v>
      </c>
      <c r="AX32" s="207" t="s">
        <v>434</v>
      </c>
      <c r="AY32" s="206">
        <f t="shared" si="3"/>
        <v>11000000</v>
      </c>
      <c r="AZ32" s="205" t="s">
        <v>392</v>
      </c>
      <c r="BI32" s="81" t="s">
        <v>281</v>
      </c>
      <c r="BJ32" s="81">
        <f>BJ4+BJ5</f>
        <v>107.45894887992515</v>
      </c>
      <c r="BP32" s="154" t="s">
        <v>389</v>
      </c>
      <c r="BQ32" s="81" t="s">
        <v>390</v>
      </c>
      <c r="BR32" s="81" t="s">
        <v>415</v>
      </c>
      <c r="BS32" s="204">
        <f t="shared" si="20"/>
        <v>5640000</v>
      </c>
      <c r="BT32" s="81" t="s">
        <v>392</v>
      </c>
      <c r="BU32" s="204">
        <v>5640000</v>
      </c>
      <c r="BY32" s="211">
        <f>CN18</f>
        <v>11000000</v>
      </c>
      <c r="BZ32" s="211"/>
      <c r="CA32" s="81" t="s">
        <v>488</v>
      </c>
      <c r="CB32" s="204">
        <v>-5.75</v>
      </c>
      <c r="CC32" s="204">
        <v>2.35E-2</v>
      </c>
      <c r="CG32" s="81" t="s">
        <v>486</v>
      </c>
      <c r="CH32" s="204">
        <v>259</v>
      </c>
      <c r="CI32" s="204">
        <v>2.63</v>
      </c>
      <c r="CJ32" s="81">
        <v>98.59</v>
      </c>
      <c r="CK32" s="81" t="s">
        <v>505</v>
      </c>
      <c r="CU32" s="212" t="s">
        <v>506</v>
      </c>
      <c r="CV32" s="81" t="s">
        <v>415</v>
      </c>
      <c r="CW32" s="204">
        <v>5730000</v>
      </c>
      <c r="CX32" s="204">
        <v>26.3</v>
      </c>
      <c r="CY32" s="81">
        <v>218218</v>
      </c>
      <c r="CZ32" s="81" t="s">
        <v>505</v>
      </c>
      <c r="DA32" s="81" t="s">
        <v>510</v>
      </c>
      <c r="DE32" s="81" t="s">
        <v>389</v>
      </c>
      <c r="DF32" s="81" t="s">
        <v>390</v>
      </c>
      <c r="DG32" s="81" t="str">
        <f t="shared" si="13"/>
        <v>f1N</v>
      </c>
      <c r="DH32" s="81" t="s">
        <v>434</v>
      </c>
      <c r="DI32" s="204">
        <f t="shared" si="14"/>
        <v>0.16</v>
      </c>
      <c r="DJ32" s="81" t="s">
        <v>392</v>
      </c>
      <c r="DK32" s="81" t="s">
        <v>416</v>
      </c>
      <c r="DL32" s="286">
        <f t="shared" si="0"/>
        <v>0.16211781349896529</v>
      </c>
      <c r="DM32" s="286">
        <f t="shared" si="1"/>
        <v>0.33200000000000002</v>
      </c>
      <c r="DN32" s="286">
        <f t="shared" si="2"/>
        <v>0.19700000000000001</v>
      </c>
      <c r="DP32" s="290" t="s">
        <v>506</v>
      </c>
      <c r="DQ32" s="290" t="s">
        <v>298</v>
      </c>
      <c r="DR32" s="291">
        <v>469000000</v>
      </c>
      <c r="DS32" s="291">
        <v>17800000</v>
      </c>
      <c r="DT32" s="290">
        <v>26.29</v>
      </c>
      <c r="DU32" s="290" t="s">
        <v>509</v>
      </c>
      <c r="DV32" s="291">
        <v>2E-16</v>
      </c>
      <c r="DW32" s="81" t="s">
        <v>510</v>
      </c>
      <c r="DX32" s="212" t="s">
        <v>568</v>
      </c>
      <c r="DY32" s="295" t="s">
        <v>404</v>
      </c>
      <c r="DZ32" s="292" t="s">
        <v>434</v>
      </c>
      <c r="EA32" s="293">
        <f>DR47</f>
        <v>277</v>
      </c>
      <c r="EB32" s="212" t="s">
        <v>392</v>
      </c>
    </row>
    <row r="33" spans="1:132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318" t="s">
        <v>112</v>
      </c>
      <c r="F33" s="319"/>
      <c r="G33" s="72" t="s">
        <v>113</v>
      </c>
      <c r="K33" s="81"/>
      <c r="L33" s="81"/>
      <c r="M33" s="81"/>
      <c r="P33" s="81"/>
      <c r="Q33" s="81"/>
      <c r="W33" s="221"/>
      <c r="X33" s="221"/>
      <c r="Y33" s="221"/>
      <c r="Z33" s="221"/>
      <c r="AA33" s="221"/>
      <c r="AB33" s="221"/>
      <c r="AC33" s="268"/>
      <c r="AD33" s="221"/>
      <c r="AE33" s="14"/>
      <c r="AF33" s="14"/>
      <c r="AG33" s="14"/>
      <c r="AL33" s="154" t="s">
        <v>389</v>
      </c>
      <c r="AM33" s="81" t="s">
        <v>390</v>
      </c>
      <c r="AN33" s="81" t="s">
        <v>416</v>
      </c>
      <c r="AO33" s="81">
        <f>AO26*0.3</f>
        <v>0.16211781349896529</v>
      </c>
      <c r="AP33" s="81" t="s">
        <v>392</v>
      </c>
      <c r="AQ33" s="204">
        <v>0.33200000000000002</v>
      </c>
      <c r="AU33" s="205" t="s">
        <v>389</v>
      </c>
      <c r="AV33" s="205" t="s">
        <v>390</v>
      </c>
      <c r="AW33" s="205" t="s">
        <v>416</v>
      </c>
      <c r="AX33" s="207" t="s">
        <v>434</v>
      </c>
      <c r="AY33" s="206">
        <f t="shared" si="3"/>
        <v>0.19700000000000001</v>
      </c>
      <c r="AZ33" s="205" t="s">
        <v>392</v>
      </c>
      <c r="BI33" s="81" t="s">
        <v>282</v>
      </c>
      <c r="BJ33" s="3">
        <f>BJ6+BJ7</f>
        <v>204.65240000000003</v>
      </c>
      <c r="BP33" s="154" t="s">
        <v>389</v>
      </c>
      <c r="BQ33" s="81" t="s">
        <v>390</v>
      </c>
      <c r="BR33" s="81" t="s">
        <v>416</v>
      </c>
      <c r="BS33" s="204">
        <f t="shared" si="20"/>
        <v>0.33200000000000002</v>
      </c>
      <c r="BT33" s="81" t="s">
        <v>392</v>
      </c>
      <c r="BU33" s="204">
        <v>0.33200000000000002</v>
      </c>
      <c r="BY33" s="211">
        <f>CN23</f>
        <v>0.19700000000000001</v>
      </c>
      <c r="BZ33" s="211"/>
      <c r="CA33" s="81" t="s">
        <v>489</v>
      </c>
      <c r="CB33" s="204">
        <v>-6.06</v>
      </c>
      <c r="CC33" s="204">
        <v>2.58E-2</v>
      </c>
      <c r="CG33" s="81" t="s">
        <v>487</v>
      </c>
      <c r="CH33" s="204">
        <v>197</v>
      </c>
      <c r="CI33" s="204">
        <v>1.44</v>
      </c>
      <c r="CJ33" s="81">
        <v>136.51</v>
      </c>
      <c r="CK33" s="81" t="s">
        <v>505</v>
      </c>
      <c r="CM33" s="81" t="s">
        <v>490</v>
      </c>
      <c r="CN33" s="204">
        <v>-5.83</v>
      </c>
      <c r="CO33" s="204">
        <v>2.98E-2</v>
      </c>
      <c r="CP33" s="81">
        <v>-195.34</v>
      </c>
      <c r="CQ33" s="81" t="s">
        <v>509</v>
      </c>
      <c r="CR33" s="204">
        <v>2E-16</v>
      </c>
      <c r="CS33" s="81" t="s">
        <v>510</v>
      </c>
      <c r="CU33" s="212" t="s">
        <v>506</v>
      </c>
      <c r="CV33" s="81" t="s">
        <v>414</v>
      </c>
      <c r="CW33" s="204">
        <v>5800000</v>
      </c>
      <c r="CX33" s="204">
        <v>19.399999999999999</v>
      </c>
      <c r="CY33" s="81">
        <v>298526</v>
      </c>
      <c r="CZ33" s="81" t="s">
        <v>505</v>
      </c>
      <c r="DA33" s="81" t="s">
        <v>510</v>
      </c>
      <c r="DE33" s="81" t="s">
        <v>389</v>
      </c>
      <c r="DF33" s="81" t="s">
        <v>390</v>
      </c>
      <c r="DG33" s="81" t="str">
        <f t="shared" si="13"/>
        <v>f2N</v>
      </c>
      <c r="DH33" s="81" t="s">
        <v>434</v>
      </c>
      <c r="DI33" s="204">
        <f t="shared" si="14"/>
        <v>5.2999999999999999E-2</v>
      </c>
      <c r="DJ33" s="81" t="s">
        <v>392</v>
      </c>
      <c r="DK33" s="81" t="s">
        <v>417</v>
      </c>
      <c r="DL33" s="286">
        <f t="shared" si="0"/>
        <v>2.4116498387422757E-2</v>
      </c>
      <c r="DM33" s="286">
        <f t="shared" si="1"/>
        <v>6.88E-2</v>
      </c>
      <c r="DN33" s="286">
        <f t="shared" si="2"/>
        <v>4.9399999999999999E-2</v>
      </c>
      <c r="DP33" s="290" t="s">
        <v>506</v>
      </c>
      <c r="DQ33" s="290" t="s">
        <v>294</v>
      </c>
      <c r="DR33" s="291">
        <v>13200000</v>
      </c>
      <c r="DS33" s="291">
        <v>132000</v>
      </c>
      <c r="DT33" s="290">
        <v>99.57</v>
      </c>
      <c r="DU33" s="290" t="s">
        <v>509</v>
      </c>
      <c r="DV33" s="291">
        <v>2E-16</v>
      </c>
      <c r="DW33" s="81" t="s">
        <v>510</v>
      </c>
      <c r="DX33" s="212" t="s">
        <v>568</v>
      </c>
      <c r="DY33" s="295" t="s">
        <v>405</v>
      </c>
      <c r="DZ33" s="292" t="s">
        <v>434</v>
      </c>
      <c r="EA33" s="293">
        <f t="shared" ref="EA33:EA35" si="23">DR48</f>
        <v>192</v>
      </c>
      <c r="EB33" s="212" t="s">
        <v>392</v>
      </c>
    </row>
    <row r="34" spans="1:132" ht="15" customHeight="1" thickTop="1" thickBot="1" x14ac:dyDescent="0.35">
      <c r="A34" s="73">
        <v>1</v>
      </c>
      <c r="B34" s="74">
        <f>B7*B32</f>
        <v>381.64628482972142</v>
      </c>
      <c r="C34" s="73"/>
      <c r="D34" s="73" t="s">
        <v>42</v>
      </c>
      <c r="E34" s="195">
        <v>21</v>
      </c>
      <c r="F34" s="195"/>
      <c r="G34" s="76">
        <f>VLOOKUP(D34,A6:B22,2,0)</f>
        <v>138.80000000000001</v>
      </c>
      <c r="K34" s="81"/>
      <c r="L34" s="81"/>
      <c r="M34" s="81"/>
      <c r="P34" s="81">
        <f>25+13+18</f>
        <v>56</v>
      </c>
      <c r="Q34" s="81"/>
      <c r="W34" s="258"/>
      <c r="X34" s="258"/>
      <c r="Y34" s="259"/>
      <c r="Z34" s="259"/>
      <c r="AA34" s="259"/>
      <c r="AB34" s="258"/>
      <c r="AC34" s="258"/>
      <c r="AD34" s="258"/>
      <c r="AE34" s="14"/>
      <c r="AF34" s="14"/>
      <c r="AG34" s="14"/>
      <c r="AL34" s="154" t="s">
        <v>389</v>
      </c>
      <c r="AM34" s="81" t="s">
        <v>390</v>
      </c>
      <c r="AN34" s="81" t="s">
        <v>417</v>
      </c>
      <c r="AO34" s="81">
        <f>AO27*0.3</f>
        <v>2.4116498387422757E-2</v>
      </c>
      <c r="AP34" s="81" t="s">
        <v>392</v>
      </c>
      <c r="AQ34" s="204">
        <v>6.88E-2</v>
      </c>
      <c r="AU34" s="205" t="s">
        <v>389</v>
      </c>
      <c r="AV34" s="205" t="s">
        <v>390</v>
      </c>
      <c r="AW34" s="205" t="s">
        <v>417</v>
      </c>
      <c r="AX34" s="207" t="s">
        <v>434</v>
      </c>
      <c r="AY34" s="206">
        <f t="shared" si="3"/>
        <v>4.9399999999999999E-2</v>
      </c>
      <c r="AZ34" s="205" t="s">
        <v>392</v>
      </c>
      <c r="BI34" s="81" t="s">
        <v>291</v>
      </c>
      <c r="BJ34" s="204">
        <f>BJ10+BJ9</f>
        <v>37432161.900000006</v>
      </c>
      <c r="BP34" s="154" t="s">
        <v>389</v>
      </c>
      <c r="BQ34" s="81" t="s">
        <v>390</v>
      </c>
      <c r="BR34" s="81" t="s">
        <v>417</v>
      </c>
      <c r="BS34" s="204">
        <f t="shared" si="20"/>
        <v>6.88E-2</v>
      </c>
      <c r="BT34" s="81" t="s">
        <v>392</v>
      </c>
      <c r="BU34" s="204">
        <v>6.88E-2</v>
      </c>
      <c r="BY34" s="211">
        <f>CN24</f>
        <v>4.9399999999999999E-2</v>
      </c>
      <c r="BZ34" s="211"/>
      <c r="CA34" s="81" t="s">
        <v>490</v>
      </c>
      <c r="CB34" s="204">
        <v>-6.94</v>
      </c>
      <c r="CC34" s="204">
        <v>3.6200000000000003E-2</v>
      </c>
      <c r="CG34" s="81" t="s">
        <v>285</v>
      </c>
      <c r="CH34" s="204">
        <v>487</v>
      </c>
      <c r="CI34" s="204">
        <v>2.62</v>
      </c>
      <c r="CJ34" s="81">
        <v>186.01</v>
      </c>
      <c r="CK34" s="81" t="s">
        <v>505</v>
      </c>
      <c r="CM34" s="81" t="s">
        <v>491</v>
      </c>
      <c r="CN34" s="204">
        <v>-5.45</v>
      </c>
      <c r="CO34" s="204">
        <v>2.8299999999999999E-2</v>
      </c>
      <c r="CP34" s="81">
        <v>-192.79</v>
      </c>
      <c r="CQ34" s="81" t="s">
        <v>509</v>
      </c>
      <c r="CR34" s="204">
        <v>2E-16</v>
      </c>
      <c r="CS34" s="81" t="s">
        <v>510</v>
      </c>
      <c r="CU34" s="212" t="s">
        <v>506</v>
      </c>
      <c r="CV34" s="81" t="s">
        <v>476</v>
      </c>
      <c r="CW34" s="204">
        <v>-10</v>
      </c>
      <c r="CX34" s="204">
        <v>2.1000000000000001E-4</v>
      </c>
      <c r="CY34" s="81">
        <v>-47558</v>
      </c>
      <c r="CZ34" s="81" t="s">
        <v>505</v>
      </c>
      <c r="DA34" s="81" t="s">
        <v>510</v>
      </c>
      <c r="DE34" s="81" t="s">
        <v>389</v>
      </c>
      <c r="DF34" s="81" t="s">
        <v>390</v>
      </c>
      <c r="DG34" s="81" t="str">
        <f t="shared" si="13"/>
        <v>f3D</v>
      </c>
      <c r="DH34" s="81" t="s">
        <v>434</v>
      </c>
      <c r="DI34" s="204">
        <f t="shared" si="14"/>
        <v>0.65</v>
      </c>
      <c r="DJ34" s="81" t="s">
        <v>392</v>
      </c>
      <c r="DK34" s="81" t="s">
        <v>418</v>
      </c>
      <c r="DL34" s="286">
        <f t="shared" si="0"/>
        <v>0.71163105143452476</v>
      </c>
      <c r="DM34" s="286">
        <f t="shared" si="1"/>
        <v>0.46100000000000002</v>
      </c>
      <c r="DN34" s="286">
        <f t="shared" si="2"/>
        <v>0.59799999999999998</v>
      </c>
      <c r="DP34" s="290" t="s">
        <v>506</v>
      </c>
      <c r="DQ34" s="290" t="s">
        <v>475</v>
      </c>
      <c r="DR34" s="291">
        <v>2320000</v>
      </c>
      <c r="DS34" s="291">
        <v>14400</v>
      </c>
      <c r="DT34" s="290">
        <v>161.47</v>
      </c>
      <c r="DU34" s="290" t="s">
        <v>509</v>
      </c>
      <c r="DV34" s="291">
        <v>2E-16</v>
      </c>
      <c r="DW34" s="81" t="s">
        <v>510</v>
      </c>
      <c r="DX34" s="212" t="s">
        <v>568</v>
      </c>
      <c r="DY34" s="296" t="s">
        <v>406</v>
      </c>
      <c r="DZ34" s="292" t="s">
        <v>434</v>
      </c>
      <c r="EA34" s="293">
        <f t="shared" si="23"/>
        <v>498</v>
      </c>
      <c r="EB34" s="212" t="s">
        <v>392</v>
      </c>
    </row>
    <row r="35" spans="1:132" ht="15" customHeight="1" thickTop="1" thickBot="1" x14ac:dyDescent="0.35">
      <c r="A35" s="73">
        <v>2</v>
      </c>
      <c r="B35" s="74">
        <f>B4-B34</f>
        <v>328.85371517027858</v>
      </c>
      <c r="C35" s="73"/>
      <c r="D35" s="73" t="s">
        <v>116</v>
      </c>
      <c r="E35" s="77">
        <v>18</v>
      </c>
      <c r="F35" s="77"/>
      <c r="G35" s="76">
        <f>VLOOKUP(D35,A7:B23,2,0)</f>
        <v>119.59999999999997</v>
      </c>
      <c r="K35" s="81"/>
      <c r="L35" s="81"/>
      <c r="M35" s="81" t="s">
        <v>114</v>
      </c>
      <c r="N35" s="3">
        <f>SUM(Q6:Q9,Q15,Q17:Q20,Q25)</f>
        <v>117.02245589599723</v>
      </c>
      <c r="O35" s="3"/>
      <c r="P35" s="81">
        <f>P34/5</f>
        <v>11.2</v>
      </c>
      <c r="Q35" s="81"/>
      <c r="W35" s="260" t="s">
        <v>115</v>
      </c>
      <c r="X35" s="261"/>
      <c r="Y35" s="262" t="s">
        <v>21</v>
      </c>
      <c r="Z35" s="275">
        <v>2</v>
      </c>
      <c r="AA35" s="261" t="s">
        <v>5</v>
      </c>
      <c r="AB35" s="261"/>
      <c r="AC35" s="261" t="s">
        <v>22</v>
      </c>
      <c r="AD35" s="264">
        <f>SUM(AD36:AD37)</f>
        <v>0</v>
      </c>
      <c r="AE35" s="14" t="s">
        <v>23</v>
      </c>
      <c r="AF35" s="14">
        <f>SUM(AD37:AD38)</f>
        <v>0</v>
      </c>
      <c r="AG35" s="14"/>
      <c r="AL35" s="154" t="s">
        <v>389</v>
      </c>
      <c r="AM35" s="81" t="s">
        <v>390</v>
      </c>
      <c r="AN35" s="81" t="s">
        <v>418</v>
      </c>
      <c r="AO35" s="81">
        <f>AO28*0.3+0.7</f>
        <v>0.71163105143452476</v>
      </c>
      <c r="AP35" s="81" t="s">
        <v>392</v>
      </c>
      <c r="AQ35" s="204">
        <v>0.46100000000000002</v>
      </c>
      <c r="AU35" s="205" t="s">
        <v>389</v>
      </c>
      <c r="AV35" s="205" t="s">
        <v>390</v>
      </c>
      <c r="AW35" s="205" t="s">
        <v>418</v>
      </c>
      <c r="AX35" s="207" t="s">
        <v>434</v>
      </c>
      <c r="AY35" s="206">
        <f t="shared" si="3"/>
        <v>0.59799999999999998</v>
      </c>
      <c r="AZ35" s="205" t="s">
        <v>392</v>
      </c>
      <c r="BI35" s="81" t="s">
        <v>285</v>
      </c>
      <c r="BJ35" s="81">
        <f>BJ15+BJ14</f>
        <v>1396.0128617363343</v>
      </c>
      <c r="BP35" s="154" t="s">
        <v>389</v>
      </c>
      <c r="BQ35" s="81" t="s">
        <v>390</v>
      </c>
      <c r="BR35" s="81" t="s">
        <v>418</v>
      </c>
      <c r="BS35" s="204">
        <f t="shared" si="20"/>
        <v>0.46100000000000002</v>
      </c>
      <c r="BT35" s="81" t="s">
        <v>392</v>
      </c>
      <c r="BU35" s="204">
        <v>0.46100000000000002</v>
      </c>
      <c r="BY35" s="211">
        <f>CN25</f>
        <v>0.59799999999999998</v>
      </c>
      <c r="BZ35" s="211"/>
      <c r="CA35" s="81" t="s">
        <v>491</v>
      </c>
      <c r="CB35" s="204">
        <v>-6</v>
      </c>
      <c r="CC35" s="204">
        <v>2.3599999999999999E-2</v>
      </c>
      <c r="CG35" s="81" t="s">
        <v>120</v>
      </c>
      <c r="CH35" s="204">
        <v>274</v>
      </c>
      <c r="CI35" s="204">
        <v>1.37</v>
      </c>
      <c r="CJ35" s="81">
        <v>200.04</v>
      </c>
      <c r="CK35" s="81" t="s">
        <v>505</v>
      </c>
      <c r="CM35" s="81" t="s">
        <v>493</v>
      </c>
      <c r="CN35" s="204">
        <v>3.5699999999999998E-3</v>
      </c>
      <c r="CO35" s="204">
        <v>1.0900000000000001E-4</v>
      </c>
      <c r="CP35" s="81">
        <v>32.700000000000003</v>
      </c>
      <c r="CQ35" s="81" t="s">
        <v>509</v>
      </c>
      <c r="CR35" s="204">
        <v>2E-16</v>
      </c>
      <c r="CS35" s="81" t="s">
        <v>510</v>
      </c>
      <c r="CU35" s="212" t="s">
        <v>506</v>
      </c>
      <c r="CV35" s="81" t="s">
        <v>477</v>
      </c>
      <c r="CW35" s="204">
        <v>-10</v>
      </c>
      <c r="CX35" s="204">
        <v>2.1000000000000001E-4</v>
      </c>
      <c r="CY35" s="81">
        <v>-47558</v>
      </c>
      <c r="CZ35" s="81" t="s">
        <v>505</v>
      </c>
      <c r="DA35" s="81" t="s">
        <v>510</v>
      </c>
      <c r="DE35" s="81" t="s">
        <v>389</v>
      </c>
      <c r="DF35" s="81" t="s">
        <v>390</v>
      </c>
      <c r="DG35" s="81" t="str">
        <f t="shared" si="13"/>
        <v>f3N</v>
      </c>
      <c r="DH35" s="81" t="s">
        <v>434</v>
      </c>
      <c r="DI35" s="204">
        <f t="shared" si="14"/>
        <v>0.64500000000000002</v>
      </c>
      <c r="DJ35" s="81" t="s">
        <v>392</v>
      </c>
      <c r="DL35" s="287">
        <f t="shared" si="0"/>
        <v>0</v>
      </c>
      <c r="DM35" s="287">
        <f t="shared" si="1"/>
        <v>0</v>
      </c>
      <c r="DN35" s="287">
        <f t="shared" si="2"/>
        <v>0</v>
      </c>
      <c r="DP35" s="290" t="s">
        <v>506</v>
      </c>
      <c r="DQ35" s="290" t="s">
        <v>291</v>
      </c>
      <c r="DR35" s="291">
        <v>20900000</v>
      </c>
      <c r="DS35" s="291">
        <v>305000</v>
      </c>
      <c r="DT35" s="290">
        <v>68.650000000000006</v>
      </c>
      <c r="DU35" s="290" t="s">
        <v>509</v>
      </c>
      <c r="DV35" s="291">
        <v>2E-16</v>
      </c>
      <c r="DW35" s="81" t="s">
        <v>510</v>
      </c>
      <c r="DX35" s="212" t="s">
        <v>568</v>
      </c>
      <c r="DY35" s="296" t="s">
        <v>407</v>
      </c>
      <c r="DZ35" s="292" t="s">
        <v>434</v>
      </c>
      <c r="EA35" s="293">
        <f t="shared" si="23"/>
        <v>112</v>
      </c>
      <c r="EB35" s="212" t="s">
        <v>392</v>
      </c>
    </row>
    <row r="36" spans="1:132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320" t="s">
        <v>119</v>
      </c>
      <c r="F36" s="314"/>
      <c r="G36" s="76">
        <f>B17</f>
        <v>0</v>
      </c>
      <c r="K36" s="81"/>
      <c r="L36" s="81"/>
      <c r="M36" s="81" t="s">
        <v>117</v>
      </c>
      <c r="N36" s="3">
        <f>SUM(Q10:Q13,Q21:Q24)</f>
        <v>90.8</v>
      </c>
      <c r="P36" s="81"/>
      <c r="Q36" s="81"/>
      <c r="W36" s="271"/>
      <c r="X36" s="272" t="s">
        <v>16</v>
      </c>
      <c r="Y36" s="272">
        <v>1.361</v>
      </c>
      <c r="Z36" s="272" t="s">
        <v>5</v>
      </c>
      <c r="AA36" s="272"/>
      <c r="AB36" s="272" t="s">
        <v>608</v>
      </c>
      <c r="AC36" s="272">
        <f>(Z35-(1-AC37)*Y36)/0.25</f>
        <v>3.9169999999999998</v>
      </c>
      <c r="AD36" s="276"/>
      <c r="AE36" s="14"/>
      <c r="AF36" s="14"/>
      <c r="AG36" s="14"/>
      <c r="AP36" s="81" t="s">
        <v>392</v>
      </c>
      <c r="AU36" s="205"/>
      <c r="AV36" s="205"/>
      <c r="AW36" s="205"/>
      <c r="AX36" s="207"/>
      <c r="AZ36" s="205"/>
      <c r="BI36" s="81" t="s">
        <v>457</v>
      </c>
      <c r="BJ36" s="3">
        <f>BJ32+BJ33</f>
        <v>312.11134887992517</v>
      </c>
      <c r="BS36" s="204"/>
      <c r="BT36" s="81" t="s">
        <v>392</v>
      </c>
      <c r="BY36" s="211"/>
      <c r="BZ36" s="211"/>
      <c r="CA36" s="81" t="s">
        <v>492</v>
      </c>
      <c r="CB36" s="204">
        <v>-6.6</v>
      </c>
      <c r="CC36" s="204">
        <v>2.63E-2</v>
      </c>
      <c r="CG36" s="81" t="s">
        <v>488</v>
      </c>
      <c r="CH36" s="204">
        <v>-5.75</v>
      </c>
      <c r="CI36" s="204">
        <v>2.35E-2</v>
      </c>
      <c r="CJ36" s="81">
        <v>-244.53</v>
      </c>
      <c r="CK36" s="81" t="s">
        <v>505</v>
      </c>
      <c r="CM36" s="81" t="s">
        <v>494</v>
      </c>
      <c r="CN36" s="204">
        <v>186</v>
      </c>
      <c r="CO36" s="204">
        <v>2.46</v>
      </c>
      <c r="CP36" s="81">
        <v>75.599999999999994</v>
      </c>
      <c r="CQ36" s="81" t="s">
        <v>509</v>
      </c>
      <c r="CR36" s="204">
        <v>2E-16</v>
      </c>
      <c r="CS36" s="81" t="s">
        <v>510</v>
      </c>
      <c r="CU36" s="212" t="s">
        <v>506</v>
      </c>
      <c r="CV36" s="81" t="s">
        <v>528</v>
      </c>
      <c r="CW36" s="204">
        <v>-10</v>
      </c>
      <c r="CX36" s="204">
        <v>2.1000000000000001E-4</v>
      </c>
      <c r="CY36" s="81">
        <v>-47558</v>
      </c>
      <c r="CZ36" s="81" t="s">
        <v>505</v>
      </c>
      <c r="DA36" s="81" t="s">
        <v>510</v>
      </c>
      <c r="DE36" s="81" t="s">
        <v>389</v>
      </c>
      <c r="DF36" s="81" t="s">
        <v>390</v>
      </c>
      <c r="DG36" s="81" t="str">
        <f t="shared" si="13"/>
        <v>f5D</v>
      </c>
      <c r="DH36" s="81" t="s">
        <v>434</v>
      </c>
      <c r="DI36" s="204">
        <f t="shared" si="14"/>
        <v>7.0000000000000007E-2</v>
      </c>
      <c r="DJ36" s="81" t="s">
        <v>392</v>
      </c>
      <c r="DK36" s="81" t="s">
        <v>419</v>
      </c>
      <c r="DL36" s="289">
        <f t="shared" si="0"/>
        <v>209.91638731534948</v>
      </c>
      <c r="DM36" s="289">
        <f t="shared" si="1"/>
        <v>467</v>
      </c>
      <c r="DN36" s="289">
        <f t="shared" si="2"/>
        <v>194</v>
      </c>
      <c r="DP36" s="290" t="s">
        <v>506</v>
      </c>
      <c r="DQ36" s="290" t="s">
        <v>293</v>
      </c>
      <c r="DR36" s="291">
        <v>25500000</v>
      </c>
      <c r="DS36" s="291">
        <v>204000</v>
      </c>
      <c r="DT36" s="290">
        <v>125.05</v>
      </c>
      <c r="DU36" s="290" t="s">
        <v>509</v>
      </c>
      <c r="DV36" s="291">
        <v>2E-16</v>
      </c>
      <c r="DW36" s="81" t="s">
        <v>510</v>
      </c>
      <c r="DX36" s="212" t="s">
        <v>568</v>
      </c>
      <c r="DY36" s="297" t="s">
        <v>409</v>
      </c>
      <c r="DZ36" s="292" t="s">
        <v>434</v>
      </c>
      <c r="EA36" s="293">
        <f>DR59</f>
        <v>42.6</v>
      </c>
      <c r="EB36" s="212" t="s">
        <v>392</v>
      </c>
    </row>
    <row r="37" spans="1:132" ht="15" customHeight="1" thickTop="1" thickBot="1" x14ac:dyDescent="0.35">
      <c r="K37" s="81"/>
      <c r="L37" s="81"/>
      <c r="M37" s="81" t="s">
        <v>120</v>
      </c>
      <c r="N37" s="3">
        <f>'Verwarming Tabula'!B60</f>
        <v>138.03320000000002</v>
      </c>
      <c r="P37" s="81"/>
      <c r="Q37" s="81"/>
      <c r="W37" s="237"/>
      <c r="X37" s="219" t="s">
        <v>121</v>
      </c>
      <c r="Y37" s="219">
        <v>0.47</v>
      </c>
      <c r="Z37" s="219"/>
      <c r="AA37" s="219"/>
      <c r="AB37" s="219" t="s">
        <v>607</v>
      </c>
      <c r="AC37" s="219">
        <v>0.25</v>
      </c>
      <c r="AD37" s="242"/>
      <c r="AE37" s="14"/>
      <c r="AF37" s="14"/>
      <c r="AG37" s="14"/>
      <c r="AL37" s="154" t="s">
        <v>389</v>
      </c>
      <c r="AM37" s="81" t="s">
        <v>390</v>
      </c>
      <c r="AN37" s="81" t="s">
        <v>419</v>
      </c>
      <c r="AO37" s="81">
        <f>SUM(N17:N20)*(1/(SUM(AC18:AC19)*0.5+1/8))+N25*(1/(SUM(AC9:AC10)*0.5+1/8))</f>
        <v>209.91638731534948</v>
      </c>
      <c r="AP37" s="81" t="s">
        <v>392</v>
      </c>
      <c r="AQ37" s="204">
        <v>467</v>
      </c>
      <c r="AU37" s="205" t="s">
        <v>389</v>
      </c>
      <c r="AV37" s="205" t="s">
        <v>390</v>
      </c>
      <c r="AW37" s="205" t="s">
        <v>419</v>
      </c>
      <c r="AX37" s="207" t="s">
        <v>434</v>
      </c>
      <c r="AY37" s="206">
        <f t="shared" si="3"/>
        <v>194</v>
      </c>
      <c r="AZ37" s="205" t="s">
        <v>392</v>
      </c>
      <c r="BP37" s="154" t="s">
        <v>389</v>
      </c>
      <c r="BQ37" s="81" t="s">
        <v>390</v>
      </c>
      <c r="BR37" s="81" t="s">
        <v>419</v>
      </c>
      <c r="BS37" s="204">
        <f t="shared" si="20"/>
        <v>467</v>
      </c>
      <c r="BT37" s="81" t="s">
        <v>392</v>
      </c>
      <c r="BU37" s="204">
        <v>467</v>
      </c>
      <c r="BY37" s="211">
        <f>CN27</f>
        <v>194</v>
      </c>
      <c r="BZ37" s="211"/>
      <c r="CA37" s="81" t="s">
        <v>493</v>
      </c>
      <c r="CB37" s="204">
        <v>6.4400000000000004E-3</v>
      </c>
      <c r="CC37" s="204">
        <v>1.36E-4</v>
      </c>
      <c r="CG37" s="81" t="s">
        <v>489</v>
      </c>
      <c r="CH37" s="204">
        <v>-6.06</v>
      </c>
      <c r="CI37" s="204">
        <v>2.58E-2</v>
      </c>
      <c r="CJ37" s="81">
        <v>-234.52</v>
      </c>
      <c r="CK37" s="81" t="s">
        <v>505</v>
      </c>
      <c r="CM37" s="81" t="s">
        <v>495</v>
      </c>
      <c r="CN37" s="204">
        <v>761</v>
      </c>
      <c r="CO37" s="204">
        <v>784</v>
      </c>
      <c r="CP37" s="81">
        <v>0.97</v>
      </c>
      <c r="CQ37" s="81">
        <v>0.33200000000000002</v>
      </c>
      <c r="CU37" s="212" t="s">
        <v>506</v>
      </c>
      <c r="CV37" s="81" t="s">
        <v>529</v>
      </c>
      <c r="CW37" s="204">
        <v>-10</v>
      </c>
      <c r="CX37" s="204">
        <v>2.1000000000000001E-4</v>
      </c>
      <c r="CY37" s="81">
        <v>-47558</v>
      </c>
      <c r="CZ37" s="81" t="s">
        <v>505</v>
      </c>
      <c r="DA37" s="81" t="s">
        <v>510</v>
      </c>
      <c r="DE37" s="81" t="s">
        <v>389</v>
      </c>
      <c r="DF37" s="81" t="s">
        <v>390</v>
      </c>
      <c r="DG37" s="81" t="str">
        <f t="shared" si="13"/>
        <v>f5N</v>
      </c>
      <c r="DH37" s="81" t="s">
        <v>434</v>
      </c>
      <c r="DI37" s="204">
        <f t="shared" si="14"/>
        <v>0.13</v>
      </c>
      <c r="DJ37" s="81" t="s">
        <v>392</v>
      </c>
      <c r="DK37" s="81" t="s">
        <v>420</v>
      </c>
      <c r="DL37" s="289">
        <f t="shared" si="0"/>
        <v>196.13980707395501</v>
      </c>
      <c r="DM37" s="289">
        <f t="shared" si="1"/>
        <v>247</v>
      </c>
      <c r="DN37" s="289">
        <f t="shared" si="2"/>
        <v>83.2</v>
      </c>
      <c r="DP37" s="290" t="s">
        <v>506</v>
      </c>
      <c r="DQ37" s="290" t="s">
        <v>476</v>
      </c>
      <c r="DR37" s="291">
        <v>-6.91</v>
      </c>
      <c r="DS37" s="291">
        <v>6.3899999999999998E-2</v>
      </c>
      <c r="DT37" s="290">
        <v>-108.05</v>
      </c>
      <c r="DU37" s="290" t="s">
        <v>509</v>
      </c>
      <c r="DV37" s="291">
        <v>2E-16</v>
      </c>
      <c r="DW37" s="81" t="s">
        <v>510</v>
      </c>
      <c r="DX37" s="212" t="s">
        <v>568</v>
      </c>
      <c r="DY37" s="297" t="s">
        <v>408</v>
      </c>
      <c r="DZ37" s="292" t="s">
        <v>434</v>
      </c>
      <c r="EA37" s="293">
        <f>1/DR56</f>
        <v>72.463768115942031</v>
      </c>
      <c r="EB37" s="212" t="s">
        <v>392</v>
      </c>
    </row>
    <row r="38" spans="1:132" ht="15" customHeight="1" thickTop="1" thickBot="1" x14ac:dyDescent="0.35">
      <c r="B38" s="3"/>
      <c r="K38" s="81"/>
      <c r="L38" s="81"/>
      <c r="M38" s="81"/>
      <c r="N38" s="3"/>
      <c r="P38" s="81"/>
      <c r="Q38" s="81"/>
      <c r="W38" s="258"/>
      <c r="X38" s="258"/>
      <c r="Y38" s="258"/>
      <c r="Z38" s="258"/>
      <c r="AA38" s="258"/>
      <c r="AB38" s="258"/>
      <c r="AC38" s="258"/>
      <c r="AD38" s="258"/>
      <c r="AE38" s="14"/>
      <c r="AF38" s="14"/>
      <c r="AG38" s="14"/>
      <c r="AL38" s="154" t="s">
        <v>389</v>
      </c>
      <c r="AM38" s="81" t="s">
        <v>390</v>
      </c>
      <c r="AN38" s="81" t="s">
        <v>420</v>
      </c>
      <c r="AO38" s="81">
        <f>4*Z21*N28</f>
        <v>196.13980707395501</v>
      </c>
      <c r="AP38" s="81" t="s">
        <v>392</v>
      </c>
      <c r="AQ38" s="204">
        <v>247</v>
      </c>
      <c r="AU38" s="205" t="s">
        <v>389</v>
      </c>
      <c r="AV38" s="205" t="s">
        <v>390</v>
      </c>
      <c r="AW38" s="205" t="s">
        <v>420</v>
      </c>
      <c r="AX38" s="207" t="s">
        <v>434</v>
      </c>
      <c r="AY38" s="206">
        <f t="shared" si="3"/>
        <v>83.2</v>
      </c>
      <c r="AZ38" s="205" t="s">
        <v>392</v>
      </c>
      <c r="BP38" s="154" t="s">
        <v>389</v>
      </c>
      <c r="BQ38" s="81" t="s">
        <v>390</v>
      </c>
      <c r="BR38" s="81" t="s">
        <v>420</v>
      </c>
      <c r="BS38" s="204">
        <f t="shared" si="20"/>
        <v>247</v>
      </c>
      <c r="BT38" s="81" t="s">
        <v>392</v>
      </c>
      <c r="BU38" s="204">
        <v>247</v>
      </c>
      <c r="BY38" s="211">
        <f>CN28</f>
        <v>83.2</v>
      </c>
      <c r="BZ38" s="211"/>
      <c r="CA38" s="81" t="s">
        <v>494</v>
      </c>
      <c r="CB38" s="204">
        <v>143</v>
      </c>
      <c r="CC38" s="204">
        <v>1.36</v>
      </c>
      <c r="CG38" s="81" t="s">
        <v>490</v>
      </c>
      <c r="CH38" s="204">
        <v>-6.94</v>
      </c>
      <c r="CI38" s="204">
        <v>3.6200000000000003E-2</v>
      </c>
      <c r="CJ38" s="81">
        <v>-191.49</v>
      </c>
      <c r="CK38" s="81" t="s">
        <v>505</v>
      </c>
      <c r="CU38" s="212" t="s">
        <v>506</v>
      </c>
      <c r="CV38" s="81" t="s">
        <v>400</v>
      </c>
      <c r="CW38" s="204">
        <v>0.06</v>
      </c>
      <c r="CX38" s="204">
        <v>9.4099999999999997E-7</v>
      </c>
      <c r="CY38" s="81">
        <v>63794</v>
      </c>
      <c r="CZ38" s="81" t="s">
        <v>505</v>
      </c>
      <c r="DA38" s="81" t="s">
        <v>510</v>
      </c>
      <c r="DE38" s="81" t="s">
        <v>389</v>
      </c>
      <c r="DF38" s="81" t="s">
        <v>390</v>
      </c>
      <c r="DG38" s="81" t="str">
        <f t="shared" si="13"/>
        <v>hwD</v>
      </c>
      <c r="DH38" s="81" t="s">
        <v>434</v>
      </c>
      <c r="DI38" s="204">
        <f t="shared" si="14"/>
        <v>281</v>
      </c>
      <c r="DJ38" s="81" t="s">
        <v>392</v>
      </c>
      <c r="DK38" s="81" t="s">
        <v>421</v>
      </c>
      <c r="DL38" s="289">
        <f t="shared" si="0"/>
        <v>79.936389473684216</v>
      </c>
      <c r="DM38" s="289">
        <f t="shared" si="1"/>
        <v>82.5</v>
      </c>
      <c r="DN38" s="289">
        <f t="shared" si="2"/>
        <v>64.400000000000006</v>
      </c>
      <c r="DP38" s="290" t="s">
        <v>506</v>
      </c>
      <c r="DQ38" s="290" t="s">
        <v>477</v>
      </c>
      <c r="DR38" s="291">
        <v>-15.5</v>
      </c>
      <c r="DS38" s="291">
        <v>2.09</v>
      </c>
      <c r="DT38" s="290">
        <v>-7.39</v>
      </c>
      <c r="DU38" s="291">
        <v>1.4999999999999999E-13</v>
      </c>
      <c r="DV38" s="290" t="s">
        <v>510</v>
      </c>
      <c r="DX38" s="212" t="s">
        <v>568</v>
      </c>
      <c r="DY38" s="294" t="s">
        <v>400</v>
      </c>
      <c r="DZ38" s="292" t="s">
        <v>434</v>
      </c>
      <c r="EA38" s="293">
        <f>DR42</f>
        <v>6.7000000000000004E-2</v>
      </c>
      <c r="EB38" s="212" t="s">
        <v>392</v>
      </c>
    </row>
    <row r="39" spans="1:132" ht="15" customHeight="1" thickTop="1" thickBot="1" x14ac:dyDescent="0.35">
      <c r="K39" s="81"/>
      <c r="L39" s="81"/>
      <c r="M39" s="81" t="s">
        <v>122</v>
      </c>
      <c r="N39" s="3">
        <f>B4*1.204*1012*5/1000000</f>
        <v>4.3285365199999992</v>
      </c>
      <c r="O39" s="81" t="s">
        <v>123</v>
      </c>
      <c r="Q39" s="81"/>
      <c r="W39" s="258"/>
      <c r="X39" s="258"/>
      <c r="Y39" s="259"/>
      <c r="Z39" s="259"/>
      <c r="AA39" s="259"/>
      <c r="AB39" s="258"/>
      <c r="AC39" s="258"/>
      <c r="AD39" s="258"/>
      <c r="AE39" s="14"/>
      <c r="AF39" s="14"/>
      <c r="AG39" s="14"/>
      <c r="AL39" s="154" t="s">
        <v>389</v>
      </c>
      <c r="AM39" s="81" t="s">
        <v>390</v>
      </c>
      <c r="AN39" s="81" t="s">
        <v>421</v>
      </c>
      <c r="AO39" s="3">
        <f>'Verwarming Tabula 2zone'!B139+SUM(Q21:Q24)</f>
        <v>79.936389473684216</v>
      </c>
      <c r="AP39" s="81" t="s">
        <v>392</v>
      </c>
      <c r="AQ39" s="204">
        <v>82.5</v>
      </c>
      <c r="AU39" s="205" t="s">
        <v>389</v>
      </c>
      <c r="AV39" s="205" t="s">
        <v>390</v>
      </c>
      <c r="AW39" s="205" t="s">
        <v>421</v>
      </c>
      <c r="AX39" s="207" t="s">
        <v>434</v>
      </c>
      <c r="AY39" s="206">
        <f t="shared" si="3"/>
        <v>64.400000000000006</v>
      </c>
      <c r="AZ39" s="205" t="s">
        <v>392</v>
      </c>
      <c r="BP39" s="154" t="s">
        <v>389</v>
      </c>
      <c r="BQ39" s="81" t="s">
        <v>390</v>
      </c>
      <c r="BR39" s="81" t="s">
        <v>421</v>
      </c>
      <c r="BS39" s="204">
        <f t="shared" si="20"/>
        <v>82.5</v>
      </c>
      <c r="BT39" s="81" t="s">
        <v>392</v>
      </c>
      <c r="BU39" s="204">
        <v>82.5</v>
      </c>
      <c r="BY39" s="211">
        <f>CN29</f>
        <v>64.400000000000006</v>
      </c>
      <c r="BZ39" s="211"/>
      <c r="CA39" s="81" t="s">
        <v>495</v>
      </c>
      <c r="CB39" s="204">
        <v>1.35E-4</v>
      </c>
      <c r="CC39" s="204">
        <v>1.1900000000000001E-3</v>
      </c>
      <c r="CG39" s="81" t="s">
        <v>491</v>
      </c>
      <c r="CH39" s="204">
        <v>-6</v>
      </c>
      <c r="CI39" s="204">
        <v>2.3599999999999999E-2</v>
      </c>
      <c r="CJ39" s="81">
        <v>-254.34</v>
      </c>
      <c r="CK39" s="81" t="s">
        <v>505</v>
      </c>
      <c r="CU39" s="212" t="s">
        <v>506</v>
      </c>
      <c r="CV39" s="81" t="s">
        <v>416</v>
      </c>
      <c r="CW39" s="204">
        <v>0.16</v>
      </c>
      <c r="CX39" s="204">
        <v>2.48E-6</v>
      </c>
      <c r="CY39" s="81">
        <v>64442</v>
      </c>
      <c r="CZ39" s="81" t="s">
        <v>505</v>
      </c>
      <c r="DA39" s="81" t="s">
        <v>510</v>
      </c>
      <c r="DE39" s="81" t="s">
        <v>389</v>
      </c>
      <c r="DF39" s="81" t="s">
        <v>390</v>
      </c>
      <c r="DG39" s="81" t="str">
        <f t="shared" si="13"/>
        <v>hwiD</v>
      </c>
      <c r="DH39" s="81" t="s">
        <v>434</v>
      </c>
      <c r="DI39" s="204">
        <f t="shared" si="14"/>
        <v>705</v>
      </c>
      <c r="DJ39" s="81" t="s">
        <v>392</v>
      </c>
      <c r="DK39" s="81" t="s">
        <v>422</v>
      </c>
      <c r="DL39" s="289">
        <f t="shared" si="0"/>
        <v>56.417712132527768</v>
      </c>
      <c r="DM39" s="289">
        <f t="shared" si="1"/>
        <v>171.23287671232879</v>
      </c>
      <c r="DN39" s="289">
        <f t="shared" si="2"/>
        <v>280.1120448179272</v>
      </c>
      <c r="DP39" s="290" t="s">
        <v>506</v>
      </c>
      <c r="DQ39" s="290" t="s">
        <v>478</v>
      </c>
      <c r="DR39" s="291">
        <v>-15.3</v>
      </c>
      <c r="DS39" s="291">
        <v>28.6</v>
      </c>
      <c r="DT39" s="290">
        <v>-0.53</v>
      </c>
      <c r="DU39" s="290">
        <v>0.59299999999999997</v>
      </c>
      <c r="DX39" s="212" t="s">
        <v>568</v>
      </c>
      <c r="DY39" s="295" t="s">
        <v>401</v>
      </c>
      <c r="DZ39" s="292" t="s">
        <v>434</v>
      </c>
      <c r="EA39" s="293">
        <f t="shared" ref="EA39:EA42" si="24">DR43</f>
        <v>0.14000000000000001</v>
      </c>
      <c r="EB39" s="212" t="s">
        <v>392</v>
      </c>
    </row>
    <row r="40" spans="1:132" ht="15" customHeight="1" thickTop="1" thickBot="1" x14ac:dyDescent="0.35">
      <c r="A40" s="81" t="s">
        <v>271</v>
      </c>
      <c r="K40" s="81"/>
      <c r="L40" s="81"/>
      <c r="M40" s="81" t="s">
        <v>124</v>
      </c>
      <c r="N40" s="3">
        <f>SUM(R6:R9,R15)/1000000</f>
        <v>54.687691657199991</v>
      </c>
      <c r="O40" s="81" t="s">
        <v>125</v>
      </c>
      <c r="P40" s="3">
        <f>SUM(T6:T9,T15)/1000000</f>
        <v>28.07382501</v>
      </c>
      <c r="Q40" s="81"/>
      <c r="W40" s="260" t="s">
        <v>63</v>
      </c>
      <c r="X40" s="261"/>
      <c r="Y40" s="262" t="s">
        <v>21</v>
      </c>
      <c r="Z40" s="263">
        <f>1/(1/10+SUM(AC42:AC46))</f>
        <v>0.28445648493057907</v>
      </c>
      <c r="AA40" s="261" t="s">
        <v>5</v>
      </c>
      <c r="AB40" s="261"/>
      <c r="AC40" s="261" t="s">
        <v>22</v>
      </c>
      <c r="AD40" s="264">
        <f>SUM(AD42:AD46)</f>
        <v>466626.5</v>
      </c>
      <c r="AE40" s="14" t="s">
        <v>23</v>
      </c>
      <c r="AF40" s="14">
        <f>SUM(AD42:AD43)</f>
        <v>110960</v>
      </c>
      <c r="AG40" s="14"/>
      <c r="AL40" s="154" t="s">
        <v>389</v>
      </c>
      <c r="AM40" s="81" t="s">
        <v>390</v>
      </c>
      <c r="AN40" s="81" t="s">
        <v>422</v>
      </c>
      <c r="AO40" s="81">
        <f>SUM(N17:N20)*1/(SUM(AC15:AC17)+0.5*SUM(AC18:AC19)+1/23)+N25*1/(SUM(AC7:AC9)+0.5*SUM(AC10)+1/23)</f>
        <v>56.417712132527768</v>
      </c>
      <c r="AP40" s="81" t="s">
        <v>392</v>
      </c>
      <c r="AQ40" s="81">
        <f>1/(0.00584)</f>
        <v>171.23287671232879</v>
      </c>
      <c r="AU40" s="205" t="s">
        <v>389</v>
      </c>
      <c r="AV40" s="205" t="s">
        <v>390</v>
      </c>
      <c r="AW40" s="205" t="s">
        <v>422</v>
      </c>
      <c r="AX40" s="207" t="s">
        <v>434</v>
      </c>
      <c r="AY40" s="206">
        <f t="shared" si="3"/>
        <v>280.1120448179272</v>
      </c>
      <c r="AZ40" s="205" t="s">
        <v>392</v>
      </c>
      <c r="BP40" s="154" t="s">
        <v>389</v>
      </c>
      <c r="BQ40" s="81" t="s">
        <v>390</v>
      </c>
      <c r="BR40" s="81" t="s">
        <v>422</v>
      </c>
      <c r="BS40" s="204">
        <f t="shared" si="20"/>
        <v>171.23287671232879</v>
      </c>
      <c r="BT40" s="81" t="s">
        <v>392</v>
      </c>
      <c r="BU40" s="81">
        <f>1/(0.00584)</f>
        <v>171.23287671232879</v>
      </c>
      <c r="BY40" s="211">
        <f>1/CN35</f>
        <v>280.1120448179272</v>
      </c>
      <c r="BZ40" s="211"/>
      <c r="CA40" s="81" t="s">
        <v>496</v>
      </c>
      <c r="CB40" s="204">
        <v>58.3</v>
      </c>
      <c r="CC40" s="204">
        <v>1.63</v>
      </c>
      <c r="CG40" s="81" t="s">
        <v>492</v>
      </c>
      <c r="CH40" s="204">
        <v>-6.6</v>
      </c>
      <c r="CI40" s="204">
        <v>2.63E-2</v>
      </c>
      <c r="CJ40" s="81">
        <v>-250.67</v>
      </c>
      <c r="CK40" s="81" t="s">
        <v>505</v>
      </c>
      <c r="CU40" s="212" t="s">
        <v>506</v>
      </c>
      <c r="CV40" s="81" t="s">
        <v>417</v>
      </c>
      <c r="CW40" s="204">
        <v>5.2999999999999999E-2</v>
      </c>
      <c r="CX40" s="204">
        <v>8.3099999999999996E-7</v>
      </c>
      <c r="CY40" s="81">
        <v>63749</v>
      </c>
      <c r="CZ40" s="81" t="s">
        <v>505</v>
      </c>
      <c r="DA40" s="81" t="s">
        <v>510</v>
      </c>
      <c r="DE40" s="81" t="s">
        <v>389</v>
      </c>
      <c r="DF40" s="81" t="s">
        <v>390</v>
      </c>
      <c r="DG40" s="81" t="str">
        <f t="shared" si="13"/>
        <v>hwiN</v>
      </c>
      <c r="DH40" s="81" t="s">
        <v>434</v>
      </c>
      <c r="DI40" s="204">
        <f t="shared" si="14"/>
        <v>882</v>
      </c>
      <c r="DJ40" s="81" t="s">
        <v>392</v>
      </c>
      <c r="DL40" s="287">
        <f t="shared" si="0"/>
        <v>0</v>
      </c>
      <c r="DM40" s="287">
        <f t="shared" si="1"/>
        <v>0</v>
      </c>
      <c r="DN40" s="287">
        <f t="shared" si="2"/>
        <v>0</v>
      </c>
      <c r="DP40" s="290" t="s">
        <v>506</v>
      </c>
      <c r="DQ40" s="290" t="s">
        <v>479</v>
      </c>
      <c r="DR40" s="291">
        <v>-19.5</v>
      </c>
      <c r="DS40" s="291">
        <v>9.85</v>
      </c>
      <c r="DT40" s="290">
        <v>-1.98</v>
      </c>
      <c r="DU40" s="290">
        <v>4.7300000000000002E-2</v>
      </c>
      <c r="DV40" s="290" t="s">
        <v>511</v>
      </c>
      <c r="DX40" s="212" t="s">
        <v>568</v>
      </c>
      <c r="DY40" s="295" t="s">
        <v>402</v>
      </c>
      <c r="DZ40" s="292" t="s">
        <v>434</v>
      </c>
      <c r="EA40" s="293">
        <f t="shared" si="24"/>
        <v>0.70099999999999996</v>
      </c>
      <c r="EB40" s="212" t="s">
        <v>392</v>
      </c>
    </row>
    <row r="41" spans="1:132" ht="15" customHeight="1" thickTop="1" thickBot="1" x14ac:dyDescent="0.35">
      <c r="A41" s="148" t="s">
        <v>272</v>
      </c>
      <c r="K41" s="81"/>
      <c r="L41" s="81"/>
      <c r="M41" s="81" t="s">
        <v>126</v>
      </c>
      <c r="N41" s="3">
        <f>SUM(R26:R27)/1000000</f>
        <v>89.781309299999975</v>
      </c>
      <c r="O41" s="81" t="s">
        <v>125</v>
      </c>
      <c r="P41" s="3">
        <f>SUM(T26:T27)/1000000</f>
        <v>89.781309299999975</v>
      </c>
      <c r="Q41" s="81"/>
      <c r="W41" s="265"/>
      <c r="X41" s="266" t="s">
        <v>27</v>
      </c>
      <c r="Y41" s="266" t="s">
        <v>28</v>
      </c>
      <c r="Z41" s="266" t="s">
        <v>29</v>
      </c>
      <c r="AA41" s="266" t="s">
        <v>30</v>
      </c>
      <c r="AB41" s="266" t="s">
        <v>31</v>
      </c>
      <c r="AC41" s="266" t="s">
        <v>32</v>
      </c>
      <c r="AD41" s="267" t="s">
        <v>33</v>
      </c>
      <c r="AE41" s="14"/>
      <c r="AF41" s="14"/>
      <c r="AG41" s="14"/>
      <c r="AP41" s="81" t="s">
        <v>392</v>
      </c>
      <c r="AU41" s="205"/>
      <c r="AV41" s="205"/>
      <c r="AW41" s="205"/>
      <c r="AX41" s="207"/>
      <c r="AZ41" s="205"/>
      <c r="BS41" s="204"/>
      <c r="BT41" s="81" t="s">
        <v>392</v>
      </c>
      <c r="BY41" s="211"/>
      <c r="BZ41" s="211"/>
      <c r="CG41" s="81" t="s">
        <v>493</v>
      </c>
      <c r="CH41" s="204">
        <v>6.4400000000000004E-3</v>
      </c>
      <c r="CI41" s="204">
        <v>1.36E-4</v>
      </c>
      <c r="CJ41" s="81">
        <v>47.2</v>
      </c>
      <c r="CK41" s="81" t="s">
        <v>505</v>
      </c>
      <c r="CU41" s="212" t="s">
        <v>506</v>
      </c>
      <c r="CV41" s="81" t="s">
        <v>402</v>
      </c>
      <c r="CW41" s="204">
        <v>0.65</v>
      </c>
      <c r="CX41" s="204">
        <v>9.5799999999999998E-6</v>
      </c>
      <c r="CY41" s="81">
        <v>67820</v>
      </c>
      <c r="CZ41" s="81" t="s">
        <v>505</v>
      </c>
      <c r="DA41" s="81" t="s">
        <v>510</v>
      </c>
      <c r="DE41" s="81" t="s">
        <v>389</v>
      </c>
      <c r="DF41" s="81" t="s">
        <v>390</v>
      </c>
      <c r="DG41" s="81" t="str">
        <f t="shared" si="13"/>
        <v>hwN</v>
      </c>
      <c r="DH41" s="81" t="s">
        <v>434</v>
      </c>
      <c r="DI41" s="204">
        <f t="shared" si="14"/>
        <v>384</v>
      </c>
      <c r="DJ41" s="81" t="s">
        <v>392</v>
      </c>
      <c r="DK41" s="81" t="s">
        <v>423</v>
      </c>
      <c r="DL41" s="286">
        <f t="shared" si="0"/>
        <v>0.1881393552609017</v>
      </c>
      <c r="DM41" s="286">
        <f t="shared" si="1"/>
        <v>0.112</v>
      </c>
      <c r="DN41" s="286">
        <f t="shared" si="2"/>
        <v>0.14199999999999999</v>
      </c>
      <c r="DP41" s="290" t="s">
        <v>506</v>
      </c>
      <c r="DQ41" s="290" t="s">
        <v>480</v>
      </c>
      <c r="DR41" s="291">
        <v>-18</v>
      </c>
      <c r="DS41" s="291">
        <v>1.41</v>
      </c>
      <c r="DT41" s="290">
        <v>-12.78</v>
      </c>
      <c r="DU41" s="290" t="s">
        <v>509</v>
      </c>
      <c r="DV41" s="291">
        <v>2E-16</v>
      </c>
      <c r="DW41" s="81" t="s">
        <v>510</v>
      </c>
      <c r="DX41" s="212" t="s">
        <v>568</v>
      </c>
      <c r="DY41" s="292" t="s">
        <v>403</v>
      </c>
      <c r="DZ41" s="292" t="s">
        <v>434</v>
      </c>
      <c r="EA41" s="293">
        <f t="shared" si="24"/>
        <v>6.0999999999999999E-2</v>
      </c>
      <c r="EB41" s="212" t="s">
        <v>392</v>
      </c>
    </row>
    <row r="42" spans="1:132" ht="15" customHeight="1" thickTop="1" thickBot="1" x14ac:dyDescent="0.35">
      <c r="A42" s="81" t="s">
        <v>273</v>
      </c>
      <c r="C42" s="81">
        <f>0.55</f>
        <v>0.55000000000000004</v>
      </c>
      <c r="K42" s="81"/>
      <c r="L42" s="81"/>
      <c r="M42" s="81" t="s">
        <v>127</v>
      </c>
      <c r="N42" s="3">
        <f>R14/1000000</f>
        <v>64.767758200000003</v>
      </c>
      <c r="P42" s="3">
        <f>T14/1000000</f>
        <v>15.401248000000002</v>
      </c>
      <c r="Q42" s="81"/>
      <c r="W42" s="271"/>
      <c r="X42" s="272" t="s">
        <v>128</v>
      </c>
      <c r="Y42" s="272">
        <v>0.02</v>
      </c>
      <c r="Z42" s="272">
        <v>1.4</v>
      </c>
      <c r="AA42" s="272">
        <v>2100</v>
      </c>
      <c r="AB42" s="272">
        <v>840</v>
      </c>
      <c r="AC42" s="273">
        <f>Y42/Z42</f>
        <v>1.4285714285714287E-2</v>
      </c>
      <c r="AD42" s="274">
        <f>Y42*AA42*AB42</f>
        <v>35280</v>
      </c>
      <c r="AE42" s="14" t="s">
        <v>104</v>
      </c>
      <c r="AF42" s="14"/>
      <c r="AG42" s="14"/>
      <c r="AL42" s="154" t="s">
        <v>389</v>
      </c>
      <c r="AM42" s="81" t="s">
        <v>390</v>
      </c>
      <c r="AN42" s="81" t="s">
        <v>423</v>
      </c>
      <c r="AO42" s="81">
        <f>SUM(N26)/SUM(N6:N14,N26:N27)</f>
        <v>0.1881393552609017</v>
      </c>
      <c r="AP42" s="81" t="s">
        <v>392</v>
      </c>
      <c r="AQ42" s="204">
        <v>0.112</v>
      </c>
      <c r="AU42" s="205" t="s">
        <v>389</v>
      </c>
      <c r="AV42" s="205" t="s">
        <v>390</v>
      </c>
      <c r="AW42" s="205" t="s">
        <v>423</v>
      </c>
      <c r="AX42" s="207" t="s">
        <v>434</v>
      </c>
      <c r="AY42" s="206">
        <f t="shared" si="3"/>
        <v>0.14199999999999999</v>
      </c>
      <c r="AZ42" s="205" t="s">
        <v>392</v>
      </c>
      <c r="BP42" s="154" t="s">
        <v>389</v>
      </c>
      <c r="BQ42" s="81" t="s">
        <v>390</v>
      </c>
      <c r="BR42" s="81" t="s">
        <v>423</v>
      </c>
      <c r="BS42" s="204">
        <f t="shared" si="20"/>
        <v>0.112</v>
      </c>
      <c r="BT42" s="81" t="s">
        <v>392</v>
      </c>
      <c r="BU42" s="204">
        <v>0.112</v>
      </c>
      <c r="BY42" s="211">
        <f>CH16</f>
        <v>0.14199999999999999</v>
      </c>
      <c r="BZ42" s="211"/>
      <c r="CG42" s="81" t="s">
        <v>494</v>
      </c>
      <c r="CH42" s="204">
        <v>143</v>
      </c>
      <c r="CI42" s="204">
        <v>1.36</v>
      </c>
      <c r="CJ42" s="81">
        <v>105.13</v>
      </c>
      <c r="CK42" s="81" t="s">
        <v>505</v>
      </c>
      <c r="CU42" s="212" t="s">
        <v>506</v>
      </c>
      <c r="CV42" s="81" t="s">
        <v>418</v>
      </c>
      <c r="CW42" s="204">
        <v>0.64500000000000002</v>
      </c>
      <c r="CX42" s="204">
        <v>9.5200000000000003E-6</v>
      </c>
      <c r="CY42" s="81">
        <v>67783</v>
      </c>
      <c r="CZ42" s="81" t="s">
        <v>505</v>
      </c>
      <c r="DA42" s="81" t="s">
        <v>510</v>
      </c>
      <c r="DE42" s="81" t="s">
        <v>389</v>
      </c>
      <c r="DF42" s="81" t="s">
        <v>390</v>
      </c>
      <c r="DG42" s="81" t="str">
        <f t="shared" si="13"/>
        <v>infD</v>
      </c>
      <c r="DH42" s="81" t="s">
        <v>434</v>
      </c>
      <c r="DI42" s="204">
        <f t="shared" si="14"/>
        <v>53</v>
      </c>
      <c r="DJ42" s="81" t="s">
        <v>392</v>
      </c>
      <c r="DK42" s="81" t="s">
        <v>424</v>
      </c>
      <c r="DL42" s="286">
        <f t="shared" si="0"/>
        <v>0.34044878893029051</v>
      </c>
      <c r="DM42" s="286">
        <f t="shared" si="1"/>
        <v>0.23</v>
      </c>
      <c r="DN42" s="286">
        <f t="shared" si="2"/>
        <v>0.34599999999999997</v>
      </c>
      <c r="DP42" s="290" t="s">
        <v>506</v>
      </c>
      <c r="DQ42" s="290" t="s">
        <v>481</v>
      </c>
      <c r="DR42" s="291">
        <v>6.7000000000000004E-2</v>
      </c>
      <c r="DS42" s="291">
        <v>3.7100000000000002E-4</v>
      </c>
      <c r="DT42" s="290">
        <v>180.66</v>
      </c>
      <c r="DU42" s="290" t="s">
        <v>509</v>
      </c>
      <c r="DV42" s="291">
        <v>2E-16</v>
      </c>
      <c r="DW42" s="81" t="s">
        <v>510</v>
      </c>
      <c r="DX42" s="212" t="s">
        <v>568</v>
      </c>
      <c r="DY42" s="292" t="s">
        <v>518</v>
      </c>
      <c r="DZ42" s="292" t="s">
        <v>434</v>
      </c>
      <c r="EA42" s="293">
        <f t="shared" si="24"/>
        <v>4.2700000000000002E-2</v>
      </c>
      <c r="EB42" s="212" t="s">
        <v>392</v>
      </c>
    </row>
    <row r="43" spans="1:132" ht="15" customHeight="1" thickTop="1" thickBot="1" x14ac:dyDescent="0.35">
      <c r="A43" s="81" t="s">
        <v>274</v>
      </c>
      <c r="C43" s="81">
        <v>0.99</v>
      </c>
      <c r="D43" s="81" t="s">
        <v>275</v>
      </c>
      <c r="K43" s="81"/>
      <c r="L43" s="81"/>
      <c r="M43" s="81"/>
      <c r="P43" s="81"/>
      <c r="Q43" s="81"/>
      <c r="W43" s="220"/>
      <c r="X43" s="221" t="s">
        <v>129</v>
      </c>
      <c r="Y43" s="221">
        <v>0.08</v>
      </c>
      <c r="Z43" s="221">
        <v>0.6</v>
      </c>
      <c r="AA43" s="221">
        <v>1100</v>
      </c>
      <c r="AB43" s="221">
        <v>860</v>
      </c>
      <c r="AC43" s="268">
        <f>Y43/Z43</f>
        <v>0.13333333333333333</v>
      </c>
      <c r="AD43" s="222">
        <f>Y43*AA43*AB43</f>
        <v>75680</v>
      </c>
      <c r="AE43" s="14"/>
      <c r="AF43" s="14"/>
      <c r="AG43" s="14"/>
      <c r="AL43" s="154" t="s">
        <v>389</v>
      </c>
      <c r="AM43" s="81" t="s">
        <v>390</v>
      </c>
      <c r="AN43" s="81" t="s">
        <v>424</v>
      </c>
      <c r="AO43" s="81">
        <f>SUM(N26)/SUM(N$17:N$25,N$28,N$26)</f>
        <v>0.34044878893029051</v>
      </c>
      <c r="AP43" s="81" t="s">
        <v>392</v>
      </c>
      <c r="AQ43" s="204">
        <v>0.23</v>
      </c>
      <c r="AU43" s="205" t="s">
        <v>389</v>
      </c>
      <c r="AV43" s="205" t="s">
        <v>390</v>
      </c>
      <c r="AW43" s="205" t="s">
        <v>424</v>
      </c>
      <c r="AX43" s="207" t="s">
        <v>434</v>
      </c>
      <c r="AY43" s="206">
        <f t="shared" si="3"/>
        <v>0.34599999999999997</v>
      </c>
      <c r="AZ43" s="205" t="s">
        <v>392</v>
      </c>
      <c r="BP43" s="154" t="s">
        <v>389</v>
      </c>
      <c r="BQ43" s="81" t="s">
        <v>390</v>
      </c>
      <c r="BR43" s="81" t="s">
        <v>424</v>
      </c>
      <c r="BS43" s="204">
        <f t="shared" si="20"/>
        <v>0.23</v>
      </c>
      <c r="BT43" s="81" t="s">
        <v>392</v>
      </c>
      <c r="BU43" s="204">
        <v>0.23</v>
      </c>
      <c r="BY43" s="211">
        <f>CN14</f>
        <v>0.34599999999999997</v>
      </c>
      <c r="BZ43" s="211"/>
      <c r="CG43" s="81" t="s">
        <v>495</v>
      </c>
      <c r="CH43" s="204">
        <v>1.35E-4</v>
      </c>
      <c r="CI43" s="204">
        <v>1.1900000000000001E-3</v>
      </c>
      <c r="CJ43" s="81">
        <v>0.11</v>
      </c>
      <c r="CK43" s="81">
        <v>0.91</v>
      </c>
      <c r="CU43" s="212" t="s">
        <v>506</v>
      </c>
      <c r="CV43" s="81" t="s">
        <v>518</v>
      </c>
      <c r="CW43" s="204">
        <v>7.0000000000000007E-2</v>
      </c>
      <c r="CX43" s="204">
        <v>1.1000000000000001E-6</v>
      </c>
      <c r="CY43" s="81">
        <v>63858</v>
      </c>
      <c r="CZ43" s="81" t="s">
        <v>505</v>
      </c>
      <c r="DA43" s="81" t="s">
        <v>510</v>
      </c>
      <c r="DE43" s="81" t="s">
        <v>389</v>
      </c>
      <c r="DF43" s="81" t="s">
        <v>390</v>
      </c>
      <c r="DG43" s="81" t="str">
        <f t="shared" si="13"/>
        <v>infN</v>
      </c>
      <c r="DH43" s="81" t="s">
        <v>434</v>
      </c>
      <c r="DI43" s="204">
        <f t="shared" si="14"/>
        <v>36.9</v>
      </c>
      <c r="DJ43" s="81" t="s">
        <v>392</v>
      </c>
      <c r="DK43" s="81" t="s">
        <v>425</v>
      </c>
      <c r="DL43" s="288">
        <f t="shared" si="0"/>
        <v>27839291.999999993</v>
      </c>
      <c r="DM43" s="288">
        <f t="shared" si="1"/>
        <v>10700000</v>
      </c>
      <c r="DN43" s="288">
        <f t="shared" si="2"/>
        <v>120000000</v>
      </c>
      <c r="DP43" s="290" t="s">
        <v>506</v>
      </c>
      <c r="DQ43" s="290" t="s">
        <v>482</v>
      </c>
      <c r="DR43" s="291">
        <v>0.14000000000000001</v>
      </c>
      <c r="DS43" s="291">
        <v>6.0099999999999997E-4</v>
      </c>
      <c r="DT43" s="290">
        <v>232.67</v>
      </c>
      <c r="DU43" s="290" t="s">
        <v>509</v>
      </c>
      <c r="DV43" s="291">
        <v>2E-16</v>
      </c>
      <c r="DW43" s="81" t="s">
        <v>510</v>
      </c>
      <c r="DZ43" s="292"/>
    </row>
    <row r="44" spans="1:132" ht="15" customHeight="1" thickTop="1" thickBot="1" x14ac:dyDescent="0.35">
      <c r="A44" s="81" t="s">
        <v>277</v>
      </c>
      <c r="C44" s="81">
        <v>0.7</v>
      </c>
      <c r="E44" s="79"/>
      <c r="K44" s="81"/>
      <c r="L44" s="81"/>
      <c r="M44" s="81"/>
      <c r="P44" s="81"/>
      <c r="Q44" s="81"/>
      <c r="W44" s="220"/>
      <c r="X44" s="221" t="s">
        <v>276</v>
      </c>
      <c r="Y44" s="303">
        <v>7.4999999999999997E-2</v>
      </c>
      <c r="Z44" s="303">
        <v>2.4E-2</v>
      </c>
      <c r="AA44" s="221">
        <v>26</v>
      </c>
      <c r="AB44" s="221">
        <v>1470</v>
      </c>
      <c r="AC44" s="268">
        <f>Y44/Z44</f>
        <v>3.125</v>
      </c>
      <c r="AD44" s="222">
        <f>Y44*AA44*AB44</f>
        <v>2866.5</v>
      </c>
      <c r="AE44" s="14"/>
      <c r="AF44" s="14"/>
      <c r="AG44" s="14"/>
      <c r="AL44" s="154" t="s">
        <v>389</v>
      </c>
      <c r="AM44" s="81" t="s">
        <v>390</v>
      </c>
      <c r="AN44" s="81" t="s">
        <v>425</v>
      </c>
      <c r="AO44" s="81">
        <f>T26/2</f>
        <v>27839291.999999993</v>
      </c>
      <c r="AP44" s="81" t="s">
        <v>392</v>
      </c>
      <c r="AQ44" s="204">
        <v>10700000</v>
      </c>
      <c r="AU44" s="205" t="s">
        <v>389</v>
      </c>
      <c r="AV44" s="205" t="s">
        <v>390</v>
      </c>
      <c r="AW44" s="205" t="s">
        <v>425</v>
      </c>
      <c r="AX44" s="207" t="s">
        <v>434</v>
      </c>
      <c r="AY44" s="206">
        <f t="shared" si="3"/>
        <v>120000000</v>
      </c>
      <c r="AZ44" s="205" t="s">
        <v>392</v>
      </c>
      <c r="BP44" s="154" t="s">
        <v>389</v>
      </c>
      <c r="BQ44" s="81" t="s">
        <v>390</v>
      </c>
      <c r="BR44" s="81" t="s">
        <v>425</v>
      </c>
      <c r="BS44" s="204">
        <f t="shared" si="20"/>
        <v>10700000</v>
      </c>
      <c r="BT44" s="81" t="s">
        <v>392</v>
      </c>
      <c r="BU44" s="204">
        <v>10700000</v>
      </c>
      <c r="BY44" s="211">
        <f>CO51</f>
        <v>120000000</v>
      </c>
      <c r="BZ44" s="211"/>
      <c r="CG44" s="81" t="s">
        <v>496</v>
      </c>
      <c r="CH44" s="204">
        <v>58.3</v>
      </c>
      <c r="CI44" s="204">
        <v>1.63</v>
      </c>
      <c r="CJ44" s="81">
        <v>35.75</v>
      </c>
      <c r="CK44" s="81" t="s">
        <v>505</v>
      </c>
      <c r="CM44" s="81" t="s">
        <v>497</v>
      </c>
      <c r="CN44" s="81" t="s">
        <v>512</v>
      </c>
      <c r="CU44" s="212" t="s">
        <v>506</v>
      </c>
      <c r="CV44" s="81" t="s">
        <v>519</v>
      </c>
      <c r="CW44" s="204">
        <v>0.13</v>
      </c>
      <c r="CX44" s="204">
        <v>2.0200000000000001E-6</v>
      </c>
      <c r="CY44" s="81">
        <v>64246</v>
      </c>
      <c r="CZ44" s="81" t="s">
        <v>505</v>
      </c>
      <c r="DA44" s="81" t="s">
        <v>510</v>
      </c>
      <c r="DI44" s="204"/>
      <c r="DK44" s="81" t="s">
        <v>426</v>
      </c>
      <c r="DL44" s="288">
        <f t="shared" si="0"/>
        <v>27839291.999999993</v>
      </c>
      <c r="DM44" s="288">
        <f t="shared" si="1"/>
        <v>33900000</v>
      </c>
      <c r="DN44" s="288">
        <f t="shared" si="2"/>
        <v>630000</v>
      </c>
      <c r="DP44" s="290" t="s">
        <v>506</v>
      </c>
      <c r="DQ44" s="290" t="s">
        <v>483</v>
      </c>
      <c r="DR44" s="291">
        <v>0.70099999999999996</v>
      </c>
      <c r="DS44" s="291">
        <v>1.5399999999999999E-3</v>
      </c>
      <c r="DT44" s="290">
        <v>453.91</v>
      </c>
      <c r="DU44" s="290" t="s">
        <v>509</v>
      </c>
      <c r="DV44" s="291">
        <v>2E-16</v>
      </c>
      <c r="DW44" s="81" t="s">
        <v>510</v>
      </c>
      <c r="DX44" s="212" t="s">
        <v>568</v>
      </c>
      <c r="DY44" s="297" t="s">
        <v>590</v>
      </c>
      <c r="DZ44" s="292" t="s">
        <v>434</v>
      </c>
      <c r="EA44" s="293">
        <f>DR69</f>
        <v>0.46700000000000003</v>
      </c>
      <c r="EB44" s="212" t="s">
        <v>392</v>
      </c>
    </row>
    <row r="45" spans="1:132" ht="15" customHeight="1" thickTop="1" thickBot="1" x14ac:dyDescent="0.35">
      <c r="A45" s="81" t="s">
        <v>278</v>
      </c>
      <c r="C45" s="81">
        <v>0.7</v>
      </c>
      <c r="E45" s="79"/>
      <c r="K45" s="81"/>
      <c r="L45" s="81"/>
      <c r="M45" s="81"/>
      <c r="P45" s="81"/>
      <c r="Q45" s="81"/>
      <c r="W45" s="220"/>
      <c r="X45" s="221" t="s">
        <v>131</v>
      </c>
      <c r="Y45" s="221">
        <v>0.2</v>
      </c>
      <c r="Z45" s="221">
        <v>1.4</v>
      </c>
      <c r="AA45" s="221">
        <v>2100</v>
      </c>
      <c r="AB45" s="221">
        <v>840</v>
      </c>
      <c r="AC45" s="268">
        <f>Y45/Z45</f>
        <v>0.14285714285714288</v>
      </c>
      <c r="AD45" s="222">
        <f>Y45*AA45*AB45</f>
        <v>352800</v>
      </c>
      <c r="AE45" s="14"/>
      <c r="AF45" s="14"/>
      <c r="AG45" s="14"/>
      <c r="AL45" s="154" t="s">
        <v>389</v>
      </c>
      <c r="AM45" s="81" t="s">
        <v>390</v>
      </c>
      <c r="AN45" s="81" t="s">
        <v>426</v>
      </c>
      <c r="AO45" s="81">
        <f>T26/2</f>
        <v>27839291.999999993</v>
      </c>
      <c r="AP45" s="81" t="s">
        <v>392</v>
      </c>
      <c r="AQ45" s="204">
        <v>33900000</v>
      </c>
      <c r="AU45" s="205" t="s">
        <v>389</v>
      </c>
      <c r="AV45" s="205" t="s">
        <v>390</v>
      </c>
      <c r="AW45" s="205" t="s">
        <v>426</v>
      </c>
      <c r="AX45" s="207" t="s">
        <v>434</v>
      </c>
      <c r="AY45" s="206">
        <f t="shared" si="3"/>
        <v>630000</v>
      </c>
      <c r="AZ45" s="205" t="s">
        <v>392</v>
      </c>
      <c r="BP45" s="154" t="s">
        <v>389</v>
      </c>
      <c r="BQ45" s="81" t="s">
        <v>390</v>
      </c>
      <c r="BR45" s="81" t="s">
        <v>426</v>
      </c>
      <c r="BS45" s="204">
        <f t="shared" si="20"/>
        <v>33900000</v>
      </c>
      <c r="BT45" s="81" t="s">
        <v>392</v>
      </c>
      <c r="BU45" s="204">
        <v>33900000</v>
      </c>
      <c r="BY45" s="211">
        <f>CO52</f>
        <v>630000</v>
      </c>
      <c r="BZ45" s="211"/>
      <c r="CM45" s="81" t="s">
        <v>506</v>
      </c>
      <c r="CN45" s="81" t="s">
        <v>499</v>
      </c>
      <c r="CU45" s="212" t="s">
        <v>506</v>
      </c>
      <c r="CV45" s="81" t="s">
        <v>404</v>
      </c>
      <c r="CW45" s="204">
        <v>281</v>
      </c>
      <c r="CX45" s="204">
        <v>1.15E-3</v>
      </c>
      <c r="CY45" s="81">
        <v>244765</v>
      </c>
      <c r="CZ45" s="81" t="s">
        <v>505</v>
      </c>
      <c r="DA45" s="81" t="s">
        <v>510</v>
      </c>
      <c r="DI45" s="204"/>
      <c r="DK45" s="81" t="s">
        <v>427</v>
      </c>
      <c r="DL45" s="286">
        <f t="shared" si="0"/>
        <v>5.6441806578270505E-2</v>
      </c>
      <c r="DM45" s="286">
        <f t="shared" si="1"/>
        <v>7.5399999999999995E-2</v>
      </c>
      <c r="DN45" s="286">
        <f t="shared" si="2"/>
        <v>5.4300000000000001E-2</v>
      </c>
      <c r="DP45" s="290" t="s">
        <v>506</v>
      </c>
      <c r="DQ45" s="290" t="s">
        <v>484</v>
      </c>
      <c r="DR45" s="291">
        <v>6.0999999999999999E-2</v>
      </c>
      <c r="DS45" s="291">
        <v>2.3900000000000001E-4</v>
      </c>
      <c r="DT45" s="290">
        <v>255.36</v>
      </c>
      <c r="DU45" s="290" t="s">
        <v>509</v>
      </c>
      <c r="DV45" s="291">
        <v>2E-16</v>
      </c>
      <c r="DW45" s="81" t="s">
        <v>510</v>
      </c>
      <c r="DX45" s="212" t="s">
        <v>568</v>
      </c>
      <c r="DY45" s="297" t="s">
        <v>591</v>
      </c>
      <c r="DZ45" s="292" t="s">
        <v>434</v>
      </c>
      <c r="EA45" s="293">
        <f t="shared" ref="EA45:EA59" si="25">DR70</f>
        <v>1.86</v>
      </c>
      <c r="EB45" s="212" t="s">
        <v>392</v>
      </c>
    </row>
    <row r="46" spans="1:132" ht="15" customHeight="1" thickTop="1" thickBot="1" x14ac:dyDescent="0.35">
      <c r="K46" s="81"/>
      <c r="L46" s="81"/>
      <c r="M46" s="81"/>
      <c r="P46" s="81"/>
      <c r="Q46" s="81"/>
      <c r="W46" s="237"/>
      <c r="X46" s="219" t="s">
        <v>132</v>
      </c>
      <c r="Y46" s="219">
        <v>0</v>
      </c>
      <c r="Z46" s="219">
        <v>0.02</v>
      </c>
      <c r="AA46" s="219">
        <v>30</v>
      </c>
      <c r="AB46" s="219">
        <v>1470</v>
      </c>
      <c r="AC46" s="269">
        <f>Y46/Z46</f>
        <v>0</v>
      </c>
      <c r="AD46" s="242">
        <f>Y46*AA46*AB46</f>
        <v>0</v>
      </c>
      <c r="AE46" s="14"/>
      <c r="AF46" s="14"/>
      <c r="AG46" s="14"/>
      <c r="AL46" s="154" t="s">
        <v>389</v>
      </c>
      <c r="AM46" s="81" t="s">
        <v>390</v>
      </c>
      <c r="AN46" s="81" t="s">
        <v>427</v>
      </c>
      <c r="AO46" s="81">
        <f>AO42*0.3</f>
        <v>5.6441806578270505E-2</v>
      </c>
      <c r="AP46" s="81" t="s">
        <v>392</v>
      </c>
      <c r="AQ46" s="204">
        <v>7.5399999999999995E-2</v>
      </c>
      <c r="AU46" s="205" t="s">
        <v>389</v>
      </c>
      <c r="AV46" s="205" t="s">
        <v>390</v>
      </c>
      <c r="AW46" s="205" t="s">
        <v>427</v>
      </c>
      <c r="AX46" s="207" t="s">
        <v>434</v>
      </c>
      <c r="AY46" s="206">
        <f t="shared" si="3"/>
        <v>5.4300000000000001E-2</v>
      </c>
      <c r="AZ46" s="205" t="s">
        <v>392</v>
      </c>
      <c r="BP46" s="154" t="s">
        <v>389</v>
      </c>
      <c r="BQ46" s="81" t="s">
        <v>390</v>
      </c>
      <c r="BR46" s="81" t="s">
        <v>427</v>
      </c>
      <c r="BS46" s="204">
        <f t="shared" si="20"/>
        <v>7.5399999999999995E-2</v>
      </c>
      <c r="BT46" s="81" t="s">
        <v>392</v>
      </c>
      <c r="BU46" s="204">
        <v>7.5399999999999995E-2</v>
      </c>
      <c r="BY46" s="211">
        <f>CH31</f>
        <v>5.4300000000000001E-2</v>
      </c>
      <c r="BZ46" s="211"/>
      <c r="CM46" s="81" t="s">
        <v>506</v>
      </c>
      <c r="CN46" s="81" t="s">
        <v>500</v>
      </c>
      <c r="CO46" s="81" t="s">
        <v>501</v>
      </c>
      <c r="CP46" s="81" t="s">
        <v>502</v>
      </c>
      <c r="CQ46" s="81" t="s">
        <v>503</v>
      </c>
      <c r="CR46" s="81" t="s">
        <v>504</v>
      </c>
      <c r="CS46" s="81" t="s">
        <v>508</v>
      </c>
      <c r="CU46" s="212" t="s">
        <v>506</v>
      </c>
      <c r="CV46" s="81" t="s">
        <v>406</v>
      </c>
      <c r="CW46" s="204">
        <v>705</v>
      </c>
      <c r="CX46" s="204">
        <v>2.7899999999999999E-3</v>
      </c>
      <c r="CY46" s="81">
        <v>252594</v>
      </c>
      <c r="CZ46" s="81" t="s">
        <v>505</v>
      </c>
      <c r="DA46" s="81" t="s">
        <v>510</v>
      </c>
      <c r="DI46" s="204"/>
      <c r="DK46" s="81" t="s">
        <v>428</v>
      </c>
      <c r="DL46" s="286">
        <f t="shared" si="0"/>
        <v>0.10213463667908715</v>
      </c>
      <c r="DM46" s="286">
        <f t="shared" si="1"/>
        <v>0.127</v>
      </c>
      <c r="DN46" s="286">
        <f t="shared" si="2"/>
        <v>9.5100000000000004E-2</v>
      </c>
      <c r="DP46" s="290" t="s">
        <v>506</v>
      </c>
      <c r="DQ46" s="290" t="s">
        <v>485</v>
      </c>
      <c r="DR46" s="291">
        <v>4.2700000000000002E-2</v>
      </c>
      <c r="DS46" s="291">
        <v>1.3200000000000001E-4</v>
      </c>
      <c r="DT46" s="290">
        <v>324.41000000000003</v>
      </c>
      <c r="DU46" s="290" t="s">
        <v>509</v>
      </c>
      <c r="DV46" s="291">
        <v>2E-16</v>
      </c>
      <c r="DW46" s="81" t="s">
        <v>510</v>
      </c>
      <c r="DX46" s="212" t="s">
        <v>568</v>
      </c>
      <c r="DY46" s="297" t="s">
        <v>592</v>
      </c>
      <c r="DZ46" s="292" t="s">
        <v>434</v>
      </c>
      <c r="EA46" s="293">
        <f t="shared" si="25"/>
        <v>1.57</v>
      </c>
      <c r="EB46" s="212" t="s">
        <v>392</v>
      </c>
    </row>
    <row r="47" spans="1:132" ht="15" customHeight="1" thickTop="1" thickBot="1" x14ac:dyDescent="0.35">
      <c r="B47" s="3"/>
      <c r="K47" s="81"/>
      <c r="L47" s="81"/>
      <c r="M47" s="81"/>
      <c r="P47" s="81"/>
      <c r="Q47" s="81"/>
      <c r="W47" s="221"/>
      <c r="X47" s="221"/>
      <c r="Y47" s="221"/>
      <c r="Z47" s="221"/>
      <c r="AA47" s="221"/>
      <c r="AB47" s="221"/>
      <c r="AC47" s="268"/>
      <c r="AD47" s="221"/>
      <c r="AE47" s="14"/>
      <c r="AF47" s="14"/>
      <c r="AG47" s="14"/>
      <c r="AL47" s="154" t="s">
        <v>389</v>
      </c>
      <c r="AM47" s="81" t="s">
        <v>390</v>
      </c>
      <c r="AN47" s="81" t="s">
        <v>428</v>
      </c>
      <c r="AO47" s="81">
        <f>AO43*0.3</f>
        <v>0.10213463667908715</v>
      </c>
      <c r="AP47" s="81" t="s">
        <v>392</v>
      </c>
      <c r="AQ47" s="204">
        <v>0.127</v>
      </c>
      <c r="AU47" s="205" t="s">
        <v>389</v>
      </c>
      <c r="AV47" s="205" t="s">
        <v>390</v>
      </c>
      <c r="AW47" s="205" t="s">
        <v>428</v>
      </c>
      <c r="AX47" s="207" t="s">
        <v>434</v>
      </c>
      <c r="AY47" s="206">
        <f t="shared" si="3"/>
        <v>9.5100000000000004E-2</v>
      </c>
      <c r="AZ47" s="205" t="s">
        <v>392</v>
      </c>
      <c r="BP47" s="154" t="s">
        <v>389</v>
      </c>
      <c r="BQ47" s="81" t="s">
        <v>390</v>
      </c>
      <c r="BR47" s="81" t="s">
        <v>428</v>
      </c>
      <c r="BS47" s="204">
        <f t="shared" si="20"/>
        <v>0.127</v>
      </c>
      <c r="BT47" s="81" t="s">
        <v>392</v>
      </c>
      <c r="BU47" s="204">
        <v>0.127</v>
      </c>
      <c r="BY47" s="211">
        <f>CN26</f>
        <v>9.5100000000000004E-2</v>
      </c>
      <c r="BZ47" s="211"/>
      <c r="CM47" s="81" t="s">
        <v>506</v>
      </c>
      <c r="CN47" s="81" t="s">
        <v>513</v>
      </c>
      <c r="CO47" s="204">
        <v>290</v>
      </c>
      <c r="CP47" s="204">
        <v>0.14499999999999999</v>
      </c>
      <c r="CQ47" s="81">
        <v>1995.82</v>
      </c>
      <c r="CR47" s="81" t="s">
        <v>509</v>
      </c>
      <c r="CS47" s="204">
        <v>2E-16</v>
      </c>
      <c r="CT47" s="81" t="s">
        <v>510</v>
      </c>
      <c r="CU47" s="212" t="s">
        <v>506</v>
      </c>
      <c r="CV47" s="81" t="s">
        <v>420</v>
      </c>
      <c r="CW47" s="204">
        <v>882</v>
      </c>
      <c r="CX47" s="204">
        <v>6.6800000000000002E-3</v>
      </c>
      <c r="CY47" s="81">
        <v>132039</v>
      </c>
      <c r="CZ47" s="81" t="s">
        <v>505</v>
      </c>
      <c r="DA47" s="81" t="s">
        <v>510</v>
      </c>
      <c r="DI47" s="204"/>
      <c r="DK47" s="81" t="s">
        <v>429</v>
      </c>
      <c r="DL47" s="289">
        <f t="shared" si="0"/>
        <v>696.05542725173189</v>
      </c>
      <c r="DM47" s="289">
        <f t="shared" si="1"/>
        <v>599</v>
      </c>
      <c r="DN47" s="289">
        <f t="shared" si="2"/>
        <v>138</v>
      </c>
      <c r="DP47" s="290" t="s">
        <v>506</v>
      </c>
      <c r="DQ47" s="290" t="s">
        <v>486</v>
      </c>
      <c r="DR47" s="291">
        <v>277</v>
      </c>
      <c r="DS47" s="291">
        <v>1.01</v>
      </c>
      <c r="DT47" s="290">
        <v>273.24</v>
      </c>
      <c r="DU47" s="290" t="s">
        <v>509</v>
      </c>
      <c r="DV47" s="291">
        <v>2E-16</v>
      </c>
      <c r="DW47" s="81" t="s">
        <v>510</v>
      </c>
      <c r="DX47" s="212" t="s">
        <v>568</v>
      </c>
      <c r="DY47" s="297" t="s">
        <v>593</v>
      </c>
      <c r="DZ47" s="292" t="s">
        <v>434</v>
      </c>
      <c r="EA47" s="293">
        <f t="shared" si="25"/>
        <v>1.44</v>
      </c>
      <c r="EB47" s="212" t="s">
        <v>392</v>
      </c>
    </row>
    <row r="48" spans="1:132" ht="15" customHeight="1" thickTop="1" thickBot="1" x14ac:dyDescent="0.35">
      <c r="B48" s="3"/>
      <c r="K48" s="81"/>
      <c r="L48" s="81"/>
      <c r="M48" s="81"/>
      <c r="P48" s="81"/>
      <c r="Q48" s="81"/>
      <c r="W48" s="258"/>
      <c r="X48" s="258"/>
      <c r="Y48" s="277"/>
      <c r="Z48" s="277"/>
      <c r="AA48" s="277"/>
      <c r="AB48" s="258"/>
      <c r="AC48" s="258"/>
      <c r="AD48" s="258"/>
      <c r="AE48" s="14"/>
      <c r="AF48" s="14"/>
      <c r="AG48" s="14"/>
      <c r="AL48" s="154" t="s">
        <v>389</v>
      </c>
      <c r="AM48" s="81" t="s">
        <v>390</v>
      </c>
      <c r="AN48" s="81" t="s">
        <v>429</v>
      </c>
      <c r="AO48" s="81">
        <f>Z27*4*N26</f>
        <v>696.05542725173189</v>
      </c>
      <c r="AP48" s="81" t="s">
        <v>392</v>
      </c>
      <c r="AQ48" s="204">
        <v>599</v>
      </c>
      <c r="AU48" s="205" t="s">
        <v>389</v>
      </c>
      <c r="AV48" s="205" t="s">
        <v>390</v>
      </c>
      <c r="AW48" s="205" t="s">
        <v>429</v>
      </c>
      <c r="AX48" s="207" t="s">
        <v>434</v>
      </c>
      <c r="AY48" s="206">
        <f t="shared" si="3"/>
        <v>138</v>
      </c>
      <c r="AZ48" s="205" t="s">
        <v>392</v>
      </c>
      <c r="BP48" s="154" t="s">
        <v>389</v>
      </c>
      <c r="BQ48" s="81" t="s">
        <v>390</v>
      </c>
      <c r="BR48" s="81" t="s">
        <v>429</v>
      </c>
      <c r="BS48" s="204">
        <f t="shared" si="20"/>
        <v>599</v>
      </c>
      <c r="BT48" s="81" t="s">
        <v>392</v>
      </c>
      <c r="BU48" s="204">
        <v>599</v>
      </c>
      <c r="BY48" s="211">
        <f>CO60</f>
        <v>138</v>
      </c>
      <c r="BZ48" s="211"/>
      <c r="CM48" s="81" t="s">
        <v>506</v>
      </c>
      <c r="CN48" s="81" t="s">
        <v>514</v>
      </c>
      <c r="CO48" s="204">
        <v>291</v>
      </c>
      <c r="CP48" s="204">
        <v>0.76600000000000001</v>
      </c>
      <c r="CQ48" s="81">
        <v>379.48</v>
      </c>
      <c r="CR48" s="81" t="s">
        <v>509</v>
      </c>
      <c r="CS48" s="204">
        <v>2E-16</v>
      </c>
      <c r="CT48" s="81" t="s">
        <v>510</v>
      </c>
      <c r="CU48" s="212" t="s">
        <v>506</v>
      </c>
      <c r="CV48" s="81" t="s">
        <v>419</v>
      </c>
      <c r="CW48" s="204">
        <v>384</v>
      </c>
      <c r="CX48" s="204">
        <v>1.17E-3</v>
      </c>
      <c r="CY48" s="81">
        <v>328443</v>
      </c>
      <c r="CZ48" s="81" t="s">
        <v>505</v>
      </c>
      <c r="DA48" s="81" t="s">
        <v>510</v>
      </c>
      <c r="DI48" s="204"/>
      <c r="DK48" s="81" t="s">
        <v>430</v>
      </c>
      <c r="DL48" s="289">
        <f t="shared" si="0"/>
        <v>348.02771362586594</v>
      </c>
      <c r="DM48" s="289">
        <f t="shared" si="1"/>
        <v>537</v>
      </c>
      <c r="DN48" s="289">
        <f t="shared" si="2"/>
        <v>7610</v>
      </c>
      <c r="DP48" s="290" t="s">
        <v>506</v>
      </c>
      <c r="DQ48" s="290" t="s">
        <v>487</v>
      </c>
      <c r="DR48" s="291">
        <v>192</v>
      </c>
      <c r="DS48" s="291">
        <v>0.63</v>
      </c>
      <c r="DT48" s="290">
        <v>305.41000000000003</v>
      </c>
      <c r="DU48" s="290" t="s">
        <v>509</v>
      </c>
      <c r="DV48" s="291">
        <v>2E-16</v>
      </c>
      <c r="DW48" s="81" t="s">
        <v>510</v>
      </c>
      <c r="DX48" s="212" t="s">
        <v>568</v>
      </c>
      <c r="DY48" s="297" t="s">
        <v>594</v>
      </c>
      <c r="DZ48" s="292" t="s">
        <v>434</v>
      </c>
      <c r="EA48" s="293">
        <f t="shared" si="25"/>
        <v>0.60299999999999998</v>
      </c>
      <c r="EB48" s="212" t="s">
        <v>392</v>
      </c>
    </row>
    <row r="49" spans="2:132" ht="15" customHeight="1" thickTop="1" thickBot="1" x14ac:dyDescent="0.35">
      <c r="B49" s="3"/>
      <c r="K49" s="81"/>
      <c r="L49" s="81"/>
      <c r="M49" s="81"/>
      <c r="P49" s="81"/>
      <c r="Q49" s="81"/>
      <c r="W49" s="278" t="s">
        <v>68</v>
      </c>
      <c r="X49" s="279"/>
      <c r="Y49" s="280" t="s">
        <v>21</v>
      </c>
      <c r="Z49" s="281">
        <v>3.5</v>
      </c>
      <c r="AA49" s="279" t="s">
        <v>5</v>
      </c>
      <c r="AB49" s="279"/>
      <c r="AC49" s="279" t="s">
        <v>22</v>
      </c>
      <c r="AD49" s="282">
        <f>0.04*550*1660</f>
        <v>36520</v>
      </c>
      <c r="AE49" s="14" t="s">
        <v>23</v>
      </c>
      <c r="AF49" s="14">
        <f>SUM(AD51:AD52)</f>
        <v>0</v>
      </c>
      <c r="AG49" s="14"/>
      <c r="AL49" s="154" t="s">
        <v>389</v>
      </c>
      <c r="AM49" s="81" t="s">
        <v>390</v>
      </c>
      <c r="AN49" s="81" t="s">
        <v>430</v>
      </c>
      <c r="AO49" s="81">
        <f>AO50/2</f>
        <v>348.02771362586594</v>
      </c>
      <c r="AP49" s="81" t="s">
        <v>392</v>
      </c>
      <c r="AQ49" s="204">
        <v>537</v>
      </c>
      <c r="AU49" s="205" t="s">
        <v>389</v>
      </c>
      <c r="AV49" s="205" t="s">
        <v>390</v>
      </c>
      <c r="AW49" s="205" t="s">
        <v>430</v>
      </c>
      <c r="AX49" s="207" t="s">
        <v>434</v>
      </c>
      <c r="AY49" s="206">
        <f>BY49</f>
        <v>7610</v>
      </c>
      <c r="AZ49" s="205" t="s">
        <v>392</v>
      </c>
      <c r="BP49" s="154" t="s">
        <v>389</v>
      </c>
      <c r="BQ49" s="81" t="s">
        <v>390</v>
      </c>
      <c r="BR49" s="81" t="s">
        <v>430</v>
      </c>
      <c r="BS49" s="204">
        <f t="shared" si="20"/>
        <v>537</v>
      </c>
      <c r="BT49" s="81" t="s">
        <v>392</v>
      </c>
      <c r="BU49" s="204">
        <v>537</v>
      </c>
      <c r="BY49" s="211">
        <f>CO61</f>
        <v>7610</v>
      </c>
      <c r="BZ49" s="211"/>
      <c r="CM49" s="81" t="s">
        <v>506</v>
      </c>
      <c r="CN49" s="81" t="s">
        <v>423</v>
      </c>
      <c r="CO49" s="204">
        <v>0.14299999999999999</v>
      </c>
      <c r="CP49" s="204">
        <v>7.2499999999999995E-4</v>
      </c>
      <c r="CQ49" s="81">
        <v>197.29</v>
      </c>
      <c r="CR49" s="81" t="s">
        <v>509</v>
      </c>
      <c r="CS49" s="204">
        <v>2E-16</v>
      </c>
      <c r="CT49" s="81" t="s">
        <v>510</v>
      </c>
      <c r="CU49" s="212" t="s">
        <v>506</v>
      </c>
      <c r="CV49" s="81" t="s">
        <v>407</v>
      </c>
      <c r="CW49" s="204">
        <v>53</v>
      </c>
      <c r="CX49" s="204">
        <v>2.9300000000000002E-4</v>
      </c>
      <c r="CY49" s="81">
        <v>180769</v>
      </c>
      <c r="CZ49" s="81" t="s">
        <v>505</v>
      </c>
      <c r="DA49" s="81" t="s">
        <v>510</v>
      </c>
      <c r="DI49" s="204"/>
      <c r="DK49" s="81" t="s">
        <v>431</v>
      </c>
      <c r="DL49" s="289">
        <f t="shared" si="0"/>
        <v>696.05542725173189</v>
      </c>
      <c r="DM49" s="289">
        <f t="shared" si="1"/>
        <v>594</v>
      </c>
      <c r="DN49" s="289">
        <f>BY50</f>
        <v>371</v>
      </c>
      <c r="DP49" s="290" t="s">
        <v>506</v>
      </c>
      <c r="DQ49" s="290" t="s">
        <v>285</v>
      </c>
      <c r="DR49" s="291">
        <v>498</v>
      </c>
      <c r="DS49" s="291">
        <v>1.64</v>
      </c>
      <c r="DT49" s="290">
        <v>304.17</v>
      </c>
      <c r="DU49" s="290" t="s">
        <v>509</v>
      </c>
      <c r="DV49" s="291">
        <v>2E-16</v>
      </c>
      <c r="DW49" s="81" t="s">
        <v>510</v>
      </c>
      <c r="DX49" s="212" t="s">
        <v>568</v>
      </c>
      <c r="DY49" s="297" t="s">
        <v>595</v>
      </c>
      <c r="DZ49" s="292" t="s">
        <v>434</v>
      </c>
      <c r="EA49" s="293">
        <f t="shared" si="25"/>
        <v>6.3E-2</v>
      </c>
      <c r="EB49" s="212" t="s">
        <v>392</v>
      </c>
    </row>
    <row r="50" spans="2:132" ht="15" customHeight="1" thickTop="1" thickBot="1" x14ac:dyDescent="0.35">
      <c r="K50" s="81"/>
      <c r="L50" s="81"/>
      <c r="M50" s="81"/>
      <c r="P50" s="81"/>
      <c r="Q50" s="81"/>
      <c r="W50" s="283"/>
      <c r="X50" s="284" t="s">
        <v>16</v>
      </c>
      <c r="Y50" s="284">
        <v>3.5</v>
      </c>
      <c r="Z50" s="284" t="s">
        <v>5</v>
      </c>
      <c r="AA50" s="284"/>
      <c r="AB50" s="284" t="s">
        <v>303</v>
      </c>
      <c r="AC50" s="284">
        <f>(1/Z49-1/8-1/23)*0.11</f>
        <v>1.2895962732919253E-2</v>
      </c>
      <c r="AD50" s="285"/>
      <c r="AE50" s="14"/>
      <c r="AF50" s="14"/>
      <c r="AG50" s="14"/>
      <c r="AL50" s="154" t="s">
        <v>389</v>
      </c>
      <c r="AM50" s="81" t="s">
        <v>390</v>
      </c>
      <c r="AN50" s="81" t="s">
        <v>431</v>
      </c>
      <c r="AO50" s="81">
        <f>AO48</f>
        <v>696.05542725173189</v>
      </c>
      <c r="AP50" s="81" t="s">
        <v>392</v>
      </c>
      <c r="AQ50" s="204">
        <v>594</v>
      </c>
      <c r="AU50" s="205" t="s">
        <v>389</v>
      </c>
      <c r="AV50" s="205" t="s">
        <v>390</v>
      </c>
      <c r="AW50" s="205" t="s">
        <v>431</v>
      </c>
      <c r="AX50" s="207" t="s">
        <v>434</v>
      </c>
      <c r="AY50" s="206">
        <f t="shared" si="3"/>
        <v>371</v>
      </c>
      <c r="AZ50" s="205" t="s">
        <v>392</v>
      </c>
      <c r="BP50" s="154" t="s">
        <v>389</v>
      </c>
      <c r="BQ50" s="81" t="s">
        <v>390</v>
      </c>
      <c r="BR50" s="81" t="s">
        <v>431</v>
      </c>
      <c r="BS50" s="204">
        <f t="shared" si="20"/>
        <v>594</v>
      </c>
      <c r="BT50" s="81" t="s">
        <v>392</v>
      </c>
      <c r="BU50" s="204">
        <v>594</v>
      </c>
      <c r="BY50" s="211">
        <f>CO62</f>
        <v>371</v>
      </c>
      <c r="BZ50" s="211"/>
      <c r="CM50" s="81" t="s">
        <v>506</v>
      </c>
      <c r="CN50" s="81" t="s">
        <v>424</v>
      </c>
      <c r="CO50" s="204">
        <v>0.72299999999999998</v>
      </c>
      <c r="CP50" s="204">
        <v>2.46E-2</v>
      </c>
      <c r="CQ50" s="81">
        <v>29.4</v>
      </c>
      <c r="CR50" s="81" t="s">
        <v>509</v>
      </c>
      <c r="CS50" s="204">
        <v>2E-16</v>
      </c>
      <c r="CT50" s="81" t="s">
        <v>510</v>
      </c>
      <c r="CU50" s="212" t="s">
        <v>506</v>
      </c>
      <c r="CV50" s="81" t="s">
        <v>421</v>
      </c>
      <c r="CW50" s="204">
        <v>36.9</v>
      </c>
      <c r="CX50" s="204">
        <v>5.6099999999999998E-4</v>
      </c>
      <c r="CY50" s="81">
        <v>65843</v>
      </c>
      <c r="CZ50" s="81" t="s">
        <v>505</v>
      </c>
      <c r="DA50" s="81" t="s">
        <v>510</v>
      </c>
      <c r="DI50" s="204"/>
      <c r="DP50" s="290" t="s">
        <v>506</v>
      </c>
      <c r="DQ50" s="290" t="s">
        <v>120</v>
      </c>
      <c r="DR50" s="291">
        <v>112</v>
      </c>
      <c r="DS50" s="291">
        <v>0.222</v>
      </c>
      <c r="DT50" s="290">
        <v>502.25</v>
      </c>
      <c r="DU50" s="290" t="s">
        <v>509</v>
      </c>
      <c r="DV50" s="291">
        <v>2E-16</v>
      </c>
      <c r="DW50" s="81" t="s">
        <v>510</v>
      </c>
      <c r="DX50" s="212" t="s">
        <v>568</v>
      </c>
      <c r="DY50" s="297" t="s">
        <v>596</v>
      </c>
      <c r="DZ50" s="292" t="s">
        <v>434</v>
      </c>
      <c r="EA50" s="293">
        <f t="shared" si="25"/>
        <v>0.48899999999999999</v>
      </c>
      <c r="EB50" s="212" t="s">
        <v>392</v>
      </c>
    </row>
    <row r="51" spans="2:132" ht="15" customHeight="1" thickTop="1" thickBot="1" x14ac:dyDescent="0.35">
      <c r="K51" s="81"/>
      <c r="L51" s="81"/>
      <c r="M51" s="81"/>
      <c r="P51" s="81"/>
      <c r="Q51" s="81"/>
      <c r="W51" s="258"/>
      <c r="X51" s="258"/>
      <c r="Y51" s="259"/>
      <c r="Z51" s="259"/>
      <c r="AA51" s="259"/>
      <c r="AB51" s="258"/>
      <c r="AC51" s="258"/>
      <c r="AD51" s="258"/>
      <c r="AE51" s="14"/>
      <c r="AF51" s="14"/>
      <c r="AG51" s="14"/>
      <c r="CM51" s="81" t="s">
        <v>506</v>
      </c>
      <c r="CN51" s="81" t="s">
        <v>515</v>
      </c>
      <c r="CO51" s="204">
        <v>120000000</v>
      </c>
      <c r="CP51" s="204">
        <v>15700000</v>
      </c>
      <c r="CQ51" s="81">
        <v>7.65</v>
      </c>
      <c r="CR51" s="204">
        <v>2.8000000000000001E-14</v>
      </c>
      <c r="CS51" s="81" t="s">
        <v>510</v>
      </c>
      <c r="CU51" s="212" t="s">
        <v>506</v>
      </c>
      <c r="CV51" s="81" t="s">
        <v>488</v>
      </c>
      <c r="CW51" s="204">
        <v>-10</v>
      </c>
      <c r="CX51" s="204">
        <v>1.5799999999999999E-4</v>
      </c>
      <c r="CY51" s="81">
        <v>-63411</v>
      </c>
      <c r="CZ51" s="81" t="s">
        <v>505</v>
      </c>
      <c r="DA51" s="81" t="s">
        <v>510</v>
      </c>
      <c r="DI51" s="204"/>
      <c r="DP51" s="290" t="s">
        <v>506</v>
      </c>
      <c r="DQ51" s="290" t="s">
        <v>488</v>
      </c>
      <c r="DR51" s="291">
        <v>-6.67</v>
      </c>
      <c r="DS51" s="291">
        <v>1.8499999999999999E-2</v>
      </c>
      <c r="DT51" s="290">
        <v>-361.67</v>
      </c>
      <c r="DU51" s="290" t="s">
        <v>509</v>
      </c>
      <c r="DV51" s="291">
        <v>2E-16</v>
      </c>
      <c r="DW51" s="81" t="s">
        <v>510</v>
      </c>
      <c r="DX51" s="212" t="s">
        <v>568</v>
      </c>
      <c r="DY51" s="297" t="s">
        <v>597</v>
      </c>
      <c r="DZ51" s="292" t="s">
        <v>434</v>
      </c>
      <c r="EA51" s="293">
        <f t="shared" si="25"/>
        <v>0.35</v>
      </c>
      <c r="EB51" s="212" t="s">
        <v>392</v>
      </c>
    </row>
    <row r="52" spans="2:132" thickTop="1" thickBot="1" x14ac:dyDescent="0.35">
      <c r="CM52" s="81" t="s">
        <v>506</v>
      </c>
      <c r="CN52" s="81" t="s">
        <v>426</v>
      </c>
      <c r="CO52" s="204">
        <v>630000</v>
      </c>
      <c r="CP52" s="204">
        <v>33500</v>
      </c>
      <c r="CQ52" s="81">
        <v>18.79</v>
      </c>
      <c r="CR52" s="81" t="s">
        <v>509</v>
      </c>
      <c r="CS52" s="204">
        <v>2E-16</v>
      </c>
      <c r="CT52" s="81" t="s">
        <v>510</v>
      </c>
      <c r="CU52" s="212" t="s">
        <v>506</v>
      </c>
      <c r="CV52" s="81" t="s">
        <v>489</v>
      </c>
      <c r="CW52" s="204">
        <v>-10</v>
      </c>
      <c r="CX52" s="204">
        <v>1.5799999999999999E-4</v>
      </c>
      <c r="CY52" s="81">
        <v>-63411</v>
      </c>
      <c r="CZ52" s="81" t="s">
        <v>505</v>
      </c>
      <c r="DA52" s="81" t="s">
        <v>510</v>
      </c>
      <c r="DE52" s="81" t="s">
        <v>389</v>
      </c>
      <c r="DF52" s="81" t="s">
        <v>390</v>
      </c>
      <c r="DG52" s="81" t="str">
        <f t="shared" si="13"/>
        <v>UfDN</v>
      </c>
      <c r="DH52" s="81" t="s">
        <v>434</v>
      </c>
      <c r="DI52" s="204">
        <f t="shared" si="14"/>
        <v>532</v>
      </c>
      <c r="DJ52" s="81" t="s">
        <v>392</v>
      </c>
      <c r="DP52" s="290" t="s">
        <v>506</v>
      </c>
      <c r="DQ52" s="290" t="s">
        <v>489</v>
      </c>
      <c r="DR52" s="291">
        <v>-7.26</v>
      </c>
      <c r="DS52" s="291">
        <v>1.6199999999999999E-2</v>
      </c>
      <c r="DT52" s="290">
        <v>-449.2</v>
      </c>
      <c r="DU52" s="290" t="s">
        <v>509</v>
      </c>
      <c r="DV52" s="291">
        <v>2E-16</v>
      </c>
      <c r="DW52" s="81" t="s">
        <v>510</v>
      </c>
      <c r="DX52" s="212" t="s">
        <v>568</v>
      </c>
      <c r="DY52" s="297" t="s">
        <v>598</v>
      </c>
      <c r="DZ52" s="292" t="s">
        <v>434</v>
      </c>
      <c r="EA52" s="293">
        <f t="shared" si="25"/>
        <v>3.1100000000000002E-19</v>
      </c>
      <c r="EB52" s="212" t="s">
        <v>392</v>
      </c>
    </row>
    <row r="53" spans="2:132" thickTop="1" thickBot="1" x14ac:dyDescent="0.35">
      <c r="CM53" s="81">
        <v>17</v>
      </c>
      <c r="CU53" s="212" t="s">
        <v>506</v>
      </c>
      <c r="CV53" s="81" t="s">
        <v>490</v>
      </c>
      <c r="CW53" s="204">
        <v>-10</v>
      </c>
      <c r="CX53" s="204">
        <v>1.5799999999999999E-4</v>
      </c>
      <c r="CY53" s="81">
        <v>-63411</v>
      </c>
      <c r="CZ53" s="81" t="s">
        <v>505</v>
      </c>
      <c r="DA53" s="81" t="s">
        <v>510</v>
      </c>
      <c r="DE53" s="81" t="s">
        <v>389</v>
      </c>
      <c r="DF53" s="81" t="s">
        <v>390</v>
      </c>
      <c r="DG53" s="81" t="str">
        <f t="shared" si="13"/>
        <v>Ufi</v>
      </c>
      <c r="DH53" s="81" t="s">
        <v>434</v>
      </c>
      <c r="DI53" s="204">
        <f t="shared" si="14"/>
        <v>1</v>
      </c>
      <c r="DJ53" s="81" t="s">
        <v>392</v>
      </c>
      <c r="DP53" s="290" t="s">
        <v>506</v>
      </c>
      <c r="DQ53" s="290" t="s">
        <v>490</v>
      </c>
      <c r="DR53" s="291">
        <v>-7.59</v>
      </c>
      <c r="DS53" s="291">
        <v>2.2800000000000001E-2</v>
      </c>
      <c r="DT53" s="290">
        <v>-332.45</v>
      </c>
      <c r="DU53" s="290" t="s">
        <v>509</v>
      </c>
      <c r="DV53" s="291">
        <v>2E-16</v>
      </c>
      <c r="DW53" s="81" t="s">
        <v>510</v>
      </c>
      <c r="DX53" s="212" t="s">
        <v>568</v>
      </c>
      <c r="DY53" s="297" t="s">
        <v>599</v>
      </c>
      <c r="DZ53" s="292" t="s">
        <v>434</v>
      </c>
      <c r="EA53" s="293">
        <f t="shared" si="25"/>
        <v>1.56E-12</v>
      </c>
      <c r="EB53" s="212" t="s">
        <v>392</v>
      </c>
    </row>
    <row r="54" spans="2:132" thickTop="1" thickBot="1" x14ac:dyDescent="0.35">
      <c r="AN54" s="160" t="s">
        <v>432</v>
      </c>
      <c r="AO54" s="160">
        <f>SUM(AO42,AO4:AO7)</f>
        <v>0.99999999999999989</v>
      </c>
      <c r="AP54" s="160"/>
      <c r="BR54" s="160" t="s">
        <v>432</v>
      </c>
      <c r="BS54" s="160">
        <f>SUM(BS42,BS4:BS7)</f>
        <v>0.99119290000000004</v>
      </c>
      <c r="BT54" s="160"/>
      <c r="CM54" s="81" t="s">
        <v>506</v>
      </c>
      <c r="CN54" s="81" t="s">
        <v>480</v>
      </c>
      <c r="CO54" s="204">
        <v>-3.69</v>
      </c>
      <c r="CP54" s="204">
        <v>1.17</v>
      </c>
      <c r="CQ54" s="81">
        <v>-3.14</v>
      </c>
      <c r="CR54" s="81">
        <v>1.6999999999999999E-3</v>
      </c>
      <c r="CS54" s="81" t="s">
        <v>516</v>
      </c>
      <c r="CU54" s="212" t="s">
        <v>506</v>
      </c>
      <c r="CV54" s="81" t="s">
        <v>491</v>
      </c>
      <c r="CW54" s="204">
        <v>-10</v>
      </c>
      <c r="CX54" s="204">
        <v>1.5799999999999999E-4</v>
      </c>
      <c r="CY54" s="81">
        <v>-63411</v>
      </c>
      <c r="CZ54" s="81" t="s">
        <v>505</v>
      </c>
      <c r="DA54" s="81" t="s">
        <v>510</v>
      </c>
      <c r="DE54" s="81" t="s">
        <v>389</v>
      </c>
      <c r="DF54" s="81" t="s">
        <v>390</v>
      </c>
      <c r="DG54" s="81" t="str">
        <f t="shared" si="13"/>
        <v>UfND</v>
      </c>
      <c r="DH54" s="81" t="s">
        <v>434</v>
      </c>
      <c r="DI54" s="204">
        <f t="shared" si="14"/>
        <v>351</v>
      </c>
      <c r="DJ54" s="81" t="s">
        <v>392</v>
      </c>
      <c r="DP54" s="290" t="s">
        <v>506</v>
      </c>
      <c r="DQ54" s="290" t="s">
        <v>491</v>
      </c>
      <c r="DR54" s="291">
        <v>-6.61</v>
      </c>
      <c r="DS54" s="291">
        <v>1.5100000000000001E-2</v>
      </c>
      <c r="DT54" s="290">
        <v>-437.4</v>
      </c>
      <c r="DU54" s="290" t="s">
        <v>509</v>
      </c>
      <c r="DV54" s="291">
        <v>2E-16</v>
      </c>
      <c r="DW54" s="81" t="s">
        <v>510</v>
      </c>
      <c r="DX54" s="212" t="s">
        <v>568</v>
      </c>
      <c r="DY54" s="297" t="s">
        <v>600</v>
      </c>
      <c r="DZ54" s="292" t="s">
        <v>434</v>
      </c>
      <c r="EA54" s="293">
        <f t="shared" si="25"/>
        <v>1.81E-8</v>
      </c>
      <c r="EB54" s="212" t="s">
        <v>392</v>
      </c>
    </row>
    <row r="55" spans="2:132" thickTop="1" thickBot="1" x14ac:dyDescent="0.35">
      <c r="AN55" s="160" t="s">
        <v>432</v>
      </c>
      <c r="AO55" s="160">
        <f>SUM(AO43,AO26:AO28)</f>
        <v>1</v>
      </c>
      <c r="AP55" s="160"/>
      <c r="BR55" s="160" t="s">
        <v>432</v>
      </c>
      <c r="BS55" s="160">
        <f>SUM(BS43,BS26:BS28)</f>
        <v>1.006</v>
      </c>
      <c r="BT55" s="160"/>
      <c r="CM55" s="81" t="s">
        <v>506</v>
      </c>
      <c r="CN55" s="81" t="s">
        <v>517</v>
      </c>
      <c r="CO55" s="204">
        <v>-0.99099999999999999</v>
      </c>
      <c r="CP55" s="204">
        <v>0.94399999999999995</v>
      </c>
      <c r="CQ55" s="81">
        <v>-1.05</v>
      </c>
      <c r="CR55" s="81">
        <v>0.29389999999999999</v>
      </c>
      <c r="CU55" s="212" t="s">
        <v>506</v>
      </c>
      <c r="CV55" s="81" t="s">
        <v>492</v>
      </c>
      <c r="CW55" s="204">
        <v>-10</v>
      </c>
      <c r="CX55" s="204">
        <v>1.5799999999999999E-4</v>
      </c>
      <c r="CY55" s="81">
        <v>-63411</v>
      </c>
      <c r="CZ55" s="81" t="s">
        <v>505</v>
      </c>
      <c r="DA55" s="81" t="s">
        <v>510</v>
      </c>
      <c r="DE55" s="81" t="s">
        <v>389</v>
      </c>
      <c r="DF55" s="81" t="s">
        <v>390</v>
      </c>
      <c r="DG55" s="81" t="str">
        <f t="shared" si="13"/>
        <v>UwD</v>
      </c>
      <c r="DH55" s="81" t="s">
        <v>434</v>
      </c>
      <c r="DI55" s="204">
        <f t="shared" si="14"/>
        <v>61.2</v>
      </c>
      <c r="DJ55" s="81" t="s">
        <v>392</v>
      </c>
      <c r="DP55" s="290" t="s">
        <v>506</v>
      </c>
      <c r="DQ55" s="290" t="s">
        <v>492</v>
      </c>
      <c r="DR55" s="291">
        <v>-7.56</v>
      </c>
      <c r="DS55" s="291">
        <v>2.1000000000000001E-2</v>
      </c>
      <c r="DT55" s="290">
        <v>-360.96</v>
      </c>
      <c r="DU55" s="290" t="s">
        <v>509</v>
      </c>
      <c r="DV55" s="291">
        <v>2E-16</v>
      </c>
      <c r="DW55" s="81" t="s">
        <v>510</v>
      </c>
      <c r="DX55" s="212" t="s">
        <v>568</v>
      </c>
      <c r="DY55" s="297" t="s">
        <v>601</v>
      </c>
      <c r="DZ55" s="292" t="s">
        <v>434</v>
      </c>
      <c r="EA55" s="293">
        <f t="shared" si="25"/>
        <v>0.255</v>
      </c>
      <c r="EB55" s="212" t="s">
        <v>392</v>
      </c>
    </row>
    <row r="56" spans="2:132" thickTop="1" thickBot="1" x14ac:dyDescent="0.35">
      <c r="AN56" s="160" t="s">
        <v>433</v>
      </c>
      <c r="AO56" s="160">
        <f>SUM(AO46,AO14:AO17)</f>
        <v>0.99999999999999989</v>
      </c>
      <c r="AP56" s="160"/>
      <c r="BR56" s="160" t="s">
        <v>433</v>
      </c>
      <c r="BS56" s="160">
        <f>SUM(BS46,BS14:BS17)</f>
        <v>0.98349999999999993</v>
      </c>
      <c r="BT56" s="160"/>
      <c r="CM56" s="81" t="s">
        <v>506</v>
      </c>
      <c r="CN56" s="81" t="s">
        <v>518</v>
      </c>
      <c r="CO56" s="204">
        <v>5.6500000000000002E-2</v>
      </c>
      <c r="CP56" s="204">
        <v>4.6299999999999998E-4</v>
      </c>
      <c r="CQ56" s="81">
        <v>122.19</v>
      </c>
      <c r="CR56" s="81" t="s">
        <v>509</v>
      </c>
      <c r="CS56" s="204">
        <v>2E-16</v>
      </c>
      <c r="CT56" s="81" t="s">
        <v>510</v>
      </c>
      <c r="CU56" s="212" t="s">
        <v>506</v>
      </c>
      <c r="CV56" s="81" t="s">
        <v>530</v>
      </c>
      <c r="CW56" s="204">
        <v>-10</v>
      </c>
      <c r="CX56" s="204">
        <v>1.5799999999999999E-4</v>
      </c>
      <c r="CY56" s="81">
        <v>-63411</v>
      </c>
      <c r="CZ56" s="81" t="s">
        <v>505</v>
      </c>
      <c r="DA56" s="81" t="s">
        <v>510</v>
      </c>
      <c r="DE56" s="81" t="s">
        <v>389</v>
      </c>
      <c r="DF56" s="81" t="s">
        <v>390</v>
      </c>
      <c r="DG56" s="81" t="str">
        <f t="shared" si="13"/>
        <v>UwN</v>
      </c>
      <c r="DH56" s="81" t="s">
        <v>434</v>
      </c>
      <c r="DI56" s="204">
        <f t="shared" si="14"/>
        <v>50</v>
      </c>
      <c r="DJ56" s="81" t="s">
        <v>392</v>
      </c>
      <c r="DP56" s="290" t="s">
        <v>506</v>
      </c>
      <c r="DQ56" s="290" t="s">
        <v>493</v>
      </c>
      <c r="DR56" s="291">
        <v>1.38E-2</v>
      </c>
      <c r="DS56" s="291">
        <v>1.36E-4</v>
      </c>
      <c r="DT56" s="290">
        <v>101.91</v>
      </c>
      <c r="DU56" s="290" t="s">
        <v>509</v>
      </c>
      <c r="DV56" s="291">
        <v>2E-16</v>
      </c>
      <c r="DW56" s="81" t="s">
        <v>510</v>
      </c>
      <c r="DX56" s="212" t="s">
        <v>568</v>
      </c>
      <c r="DY56" s="297" t="s">
        <v>602</v>
      </c>
      <c r="DZ56" s="292" t="s">
        <v>434</v>
      </c>
      <c r="EA56" s="293">
        <f t="shared" si="25"/>
        <v>1.6</v>
      </c>
      <c r="EB56" s="212" t="s">
        <v>392</v>
      </c>
    </row>
    <row r="57" spans="2:132" thickTop="1" thickBot="1" x14ac:dyDescent="0.35">
      <c r="AN57" s="160" t="s">
        <v>433</v>
      </c>
      <c r="AO57" s="160">
        <f>SUM(AO47,AO33:AO35)</f>
        <v>1</v>
      </c>
      <c r="AP57" s="160"/>
      <c r="BR57" s="160" t="s">
        <v>433</v>
      </c>
      <c r="BS57" s="160">
        <f>SUM(BS47,BS33:BS35)</f>
        <v>0.98880000000000012</v>
      </c>
      <c r="BT57" s="160"/>
      <c r="CM57" s="81" t="s">
        <v>506</v>
      </c>
      <c r="CN57" s="81" t="s">
        <v>519</v>
      </c>
      <c r="CO57" s="204">
        <v>1.15E-3</v>
      </c>
      <c r="CP57" s="204">
        <v>8.8200000000000003E-5</v>
      </c>
      <c r="CQ57" s="81">
        <v>13.04</v>
      </c>
      <c r="CR57" s="81" t="s">
        <v>509</v>
      </c>
      <c r="CS57" s="204">
        <v>2E-16</v>
      </c>
      <c r="CT57" s="81" t="s">
        <v>510</v>
      </c>
      <c r="CU57" s="212" t="s">
        <v>506</v>
      </c>
      <c r="CV57" s="81" t="s">
        <v>531</v>
      </c>
      <c r="CW57" s="204">
        <v>-10</v>
      </c>
      <c r="CX57" s="204">
        <v>1.5799999999999999E-4</v>
      </c>
      <c r="CY57" s="81">
        <v>-63411</v>
      </c>
      <c r="CZ57" s="81" t="s">
        <v>505</v>
      </c>
      <c r="DA57" s="81" t="s">
        <v>510</v>
      </c>
      <c r="DI57" s="204"/>
      <c r="DP57" s="290" t="s">
        <v>506</v>
      </c>
      <c r="DQ57" s="290" t="s">
        <v>494</v>
      </c>
      <c r="DR57" s="291">
        <v>75.400000000000006</v>
      </c>
      <c r="DS57" s="291">
        <v>0.40600000000000003</v>
      </c>
      <c r="DT57" s="290">
        <v>185.87</v>
      </c>
      <c r="DU57" s="290" t="s">
        <v>509</v>
      </c>
      <c r="DV57" s="291">
        <v>2E-16</v>
      </c>
      <c r="DW57" s="81" t="s">
        <v>510</v>
      </c>
      <c r="DX57" s="212" t="s">
        <v>568</v>
      </c>
      <c r="DY57" s="297" t="s">
        <v>603</v>
      </c>
      <c r="DZ57" s="292" t="s">
        <v>434</v>
      </c>
      <c r="EA57" s="293">
        <f t="shared" si="25"/>
        <v>0.68500000000000005</v>
      </c>
      <c r="EB57" s="212" t="s">
        <v>392</v>
      </c>
    </row>
    <row r="58" spans="2:132" thickTop="1" thickBot="1" x14ac:dyDescent="0.35">
      <c r="CM58" s="81" t="s">
        <v>506</v>
      </c>
      <c r="CN58" s="81" t="s">
        <v>492</v>
      </c>
      <c r="CO58" s="204">
        <v>-2.19</v>
      </c>
      <c r="CP58" s="204">
        <v>2.1600000000000001E-2</v>
      </c>
      <c r="CQ58" s="81">
        <v>-101.52</v>
      </c>
      <c r="CR58" s="81" t="s">
        <v>509</v>
      </c>
      <c r="CS58" s="204">
        <v>2E-16</v>
      </c>
      <c r="CT58" s="81" t="s">
        <v>510</v>
      </c>
      <c r="CU58" s="212" t="s">
        <v>506</v>
      </c>
      <c r="CV58" s="81" t="s">
        <v>532</v>
      </c>
      <c r="CW58" s="204">
        <v>-10</v>
      </c>
      <c r="CX58" s="204">
        <v>1.5799999999999999E-4</v>
      </c>
      <c r="CY58" s="81">
        <v>-63411</v>
      </c>
      <c r="CZ58" s="81" t="s">
        <v>505</v>
      </c>
      <c r="DA58" s="81" t="s">
        <v>510</v>
      </c>
      <c r="DI58" s="204"/>
      <c r="DP58" s="290" t="s">
        <v>506</v>
      </c>
      <c r="DQ58" s="290" t="s">
        <v>495</v>
      </c>
      <c r="DR58" s="291">
        <v>9970</v>
      </c>
      <c r="DS58" s="291">
        <v>122</v>
      </c>
      <c r="DT58" s="290">
        <v>81.72</v>
      </c>
      <c r="DU58" s="291" t="s">
        <v>509</v>
      </c>
      <c r="DV58" s="291">
        <v>2E-16</v>
      </c>
      <c r="DW58" s="81" t="s">
        <v>510</v>
      </c>
      <c r="DX58" s="212" t="s">
        <v>568</v>
      </c>
      <c r="DY58" s="297" t="s">
        <v>604</v>
      </c>
      <c r="DZ58" s="292" t="s">
        <v>434</v>
      </c>
      <c r="EA58" s="293">
        <f t="shared" si="25"/>
        <v>1.22</v>
      </c>
      <c r="EB58" s="212" t="s">
        <v>392</v>
      </c>
    </row>
    <row r="59" spans="2:132" thickTop="1" thickBot="1" x14ac:dyDescent="0.35">
      <c r="CM59" s="81" t="s">
        <v>506</v>
      </c>
      <c r="CN59" s="81" t="s">
        <v>520</v>
      </c>
      <c r="CO59" s="204">
        <v>-5.72</v>
      </c>
      <c r="CP59" s="204">
        <v>2.24E-2</v>
      </c>
      <c r="CQ59" s="81">
        <v>-255.17</v>
      </c>
      <c r="CR59" s="81" t="s">
        <v>509</v>
      </c>
      <c r="CS59" s="204">
        <v>2E-16</v>
      </c>
      <c r="CT59" s="81" t="s">
        <v>510</v>
      </c>
      <c r="CU59" s="212" t="s">
        <v>506</v>
      </c>
      <c r="CV59" s="81" t="s">
        <v>429</v>
      </c>
      <c r="CW59" s="204">
        <v>532</v>
      </c>
      <c r="CX59" s="204">
        <v>8.1700000000000002E-3</v>
      </c>
      <c r="CY59" s="81">
        <v>65144</v>
      </c>
      <c r="CZ59" s="81" t="s">
        <v>505</v>
      </c>
      <c r="DA59" s="81" t="s">
        <v>510</v>
      </c>
      <c r="DI59" s="204"/>
      <c r="DP59" s="290" t="s">
        <v>506</v>
      </c>
      <c r="DQ59" s="290" t="s">
        <v>496</v>
      </c>
      <c r="DR59" s="291">
        <v>42.6</v>
      </c>
      <c r="DS59" s="291">
        <v>0.66700000000000004</v>
      </c>
      <c r="DT59" s="290">
        <v>63.82</v>
      </c>
      <c r="DU59" s="290" t="s">
        <v>509</v>
      </c>
      <c r="DV59" s="291">
        <v>2E-16</v>
      </c>
      <c r="DW59" s="81" t="s">
        <v>510</v>
      </c>
      <c r="DX59" s="212" t="s">
        <v>568</v>
      </c>
      <c r="DY59" s="297" t="s">
        <v>605</v>
      </c>
      <c r="DZ59" s="292" t="s">
        <v>434</v>
      </c>
      <c r="EA59" s="293">
        <f t="shared" si="25"/>
        <v>0.74199999999999999</v>
      </c>
      <c r="EB59" s="212" t="s">
        <v>392</v>
      </c>
    </row>
    <row r="60" spans="2:132" thickTop="1" thickBot="1" x14ac:dyDescent="0.35">
      <c r="CM60" s="81" t="s">
        <v>506</v>
      </c>
      <c r="CN60" s="81" t="s">
        <v>429</v>
      </c>
      <c r="CO60" s="204">
        <v>138</v>
      </c>
      <c r="CP60" s="204">
        <v>1.2</v>
      </c>
      <c r="CQ60" s="81">
        <v>115.34</v>
      </c>
      <c r="CR60" s="81" t="s">
        <v>509</v>
      </c>
      <c r="CS60" s="204">
        <v>2E-16</v>
      </c>
      <c r="CT60" s="81" t="s">
        <v>510</v>
      </c>
      <c r="CU60" s="212" t="s">
        <v>506</v>
      </c>
      <c r="CV60" s="81" t="s">
        <v>430</v>
      </c>
      <c r="CW60" s="204">
        <v>1</v>
      </c>
      <c r="CX60" s="204">
        <v>1.5800000000000001E-5</v>
      </c>
      <c r="CY60" s="81">
        <v>63424</v>
      </c>
      <c r="CZ60" s="81" t="s">
        <v>505</v>
      </c>
      <c r="DA60" s="81" t="s">
        <v>510</v>
      </c>
      <c r="DI60" s="204"/>
      <c r="DY60" s="297"/>
      <c r="DZ60" s="292"/>
      <c r="EA60" s="293"/>
    </row>
    <row r="61" spans="2:132" thickTop="1" thickBot="1" x14ac:dyDescent="0.35">
      <c r="CM61" s="81" t="s">
        <v>506</v>
      </c>
      <c r="CN61" s="81" t="s">
        <v>430</v>
      </c>
      <c r="CO61" s="204">
        <v>7610</v>
      </c>
      <c r="CP61" s="204">
        <v>117</v>
      </c>
      <c r="CQ61" s="81">
        <v>64.83</v>
      </c>
      <c r="CR61" s="81" t="s">
        <v>509</v>
      </c>
      <c r="CS61" s="204">
        <v>2E-16</v>
      </c>
      <c r="CT61" s="81" t="s">
        <v>510</v>
      </c>
      <c r="CU61" s="212" t="s">
        <v>506</v>
      </c>
      <c r="CV61" s="81" t="s">
        <v>431</v>
      </c>
      <c r="CW61" s="204">
        <v>351</v>
      </c>
      <c r="CX61" s="204">
        <v>5.3400000000000001E-3</v>
      </c>
      <c r="CY61" s="81">
        <v>65718</v>
      </c>
      <c r="CZ61" s="81" t="s">
        <v>505</v>
      </c>
      <c r="DA61" s="81" t="s">
        <v>510</v>
      </c>
      <c r="DI61" s="204"/>
      <c r="DX61" s="212" t="s">
        <v>568</v>
      </c>
      <c r="DY61" s="297" t="s">
        <v>413</v>
      </c>
      <c r="DZ61" s="292" t="s">
        <v>434</v>
      </c>
      <c r="EA61" s="293">
        <f>DR86</f>
        <v>2080000</v>
      </c>
      <c r="EB61" s="212" t="s">
        <v>392</v>
      </c>
    </row>
    <row r="62" spans="2:132" thickTop="1" thickBot="1" x14ac:dyDescent="0.35">
      <c r="CM62" s="81" t="s">
        <v>506</v>
      </c>
      <c r="CN62" s="81" t="s">
        <v>431</v>
      </c>
      <c r="CO62" s="204">
        <v>371</v>
      </c>
      <c r="CP62" s="204">
        <v>5.67</v>
      </c>
      <c r="CQ62" s="81">
        <v>65.489999999999995</v>
      </c>
      <c r="CR62" s="81" t="s">
        <v>509</v>
      </c>
      <c r="CS62" s="204">
        <v>2E-16</v>
      </c>
      <c r="CT62" s="81" t="s">
        <v>510</v>
      </c>
      <c r="CU62" s="212" t="s">
        <v>506</v>
      </c>
      <c r="CV62" s="81" t="s">
        <v>408</v>
      </c>
      <c r="CW62" s="204">
        <v>61.2</v>
      </c>
      <c r="CX62" s="204">
        <v>2.7300000000000002E-4</v>
      </c>
      <c r="CY62" s="81">
        <v>224462</v>
      </c>
      <c r="CZ62" s="81" t="s">
        <v>505</v>
      </c>
      <c r="DA62" s="81" t="s">
        <v>510</v>
      </c>
      <c r="DI62" s="204"/>
      <c r="DP62" s="290" t="s">
        <v>506</v>
      </c>
      <c r="DQ62" s="290" t="s">
        <v>497</v>
      </c>
      <c r="DR62" s="290" t="s">
        <v>558</v>
      </c>
      <c r="DX62" s="212" t="s">
        <v>568</v>
      </c>
      <c r="DY62" s="297" t="s">
        <v>414</v>
      </c>
      <c r="DZ62" s="292" t="s">
        <v>434</v>
      </c>
      <c r="EA62" s="293">
        <f t="shared" ref="EA62:EA63" si="26">DR87</f>
        <v>2170000</v>
      </c>
      <c r="EB62" s="212" t="s">
        <v>392</v>
      </c>
    </row>
    <row r="63" spans="2:132" thickTop="1" thickBot="1" x14ac:dyDescent="0.35">
      <c r="CU63" s="212" t="s">
        <v>506</v>
      </c>
      <c r="CV63" s="81" t="s">
        <v>422</v>
      </c>
      <c r="CW63" s="204">
        <v>50</v>
      </c>
      <c r="CX63" s="204">
        <v>2.2499999999999999E-4</v>
      </c>
      <c r="CY63" s="81">
        <v>221939</v>
      </c>
      <c r="CZ63" s="81" t="s">
        <v>505</v>
      </c>
      <c r="DA63" s="81" t="s">
        <v>510</v>
      </c>
      <c r="DP63" s="290" t="s">
        <v>506</v>
      </c>
      <c r="DQ63" s="290" t="s">
        <v>499</v>
      </c>
      <c r="DX63" s="212" t="s">
        <v>568</v>
      </c>
      <c r="DY63" s="297" t="s">
        <v>415</v>
      </c>
      <c r="DZ63" s="292" t="s">
        <v>434</v>
      </c>
      <c r="EA63" s="293">
        <f t="shared" si="26"/>
        <v>4070000</v>
      </c>
      <c r="EB63" s="212" t="s">
        <v>392</v>
      </c>
    </row>
    <row r="64" spans="2:132" thickTop="1" thickBot="1" x14ac:dyDescent="0.35">
      <c r="DP64" s="290" t="s">
        <v>506</v>
      </c>
      <c r="DQ64" s="290" t="s">
        <v>500</v>
      </c>
      <c r="DR64" s="290" t="s">
        <v>501</v>
      </c>
      <c r="DS64" s="290" t="s">
        <v>502</v>
      </c>
      <c r="DT64" s="290" t="s">
        <v>503</v>
      </c>
      <c r="DU64" s="290" t="s">
        <v>504</v>
      </c>
      <c r="DV64" s="290" t="s">
        <v>508</v>
      </c>
      <c r="DZ64" s="292"/>
    </row>
    <row r="65" spans="120:132" thickTop="1" thickBot="1" x14ac:dyDescent="0.35">
      <c r="DP65" s="290" t="s">
        <v>506</v>
      </c>
      <c r="DQ65" s="290" t="s">
        <v>465</v>
      </c>
      <c r="DR65" s="291">
        <v>291</v>
      </c>
      <c r="DS65" s="291">
        <v>1.9199999999999998E-2</v>
      </c>
      <c r="DT65" s="290">
        <v>15143.4</v>
      </c>
      <c r="DU65" s="290" t="s">
        <v>509</v>
      </c>
      <c r="DV65" s="291">
        <v>2E-16</v>
      </c>
      <c r="DW65" s="81" t="s">
        <v>510</v>
      </c>
      <c r="DX65" s="212" t="s">
        <v>568</v>
      </c>
      <c r="DY65" s="297" t="s">
        <v>416</v>
      </c>
      <c r="DZ65" s="292" t="s">
        <v>434</v>
      </c>
      <c r="EA65" s="293">
        <f>DR93</f>
        <v>0.159</v>
      </c>
      <c r="EB65" s="212" t="s">
        <v>392</v>
      </c>
    </row>
    <row r="66" spans="120:132" thickTop="1" thickBot="1" x14ac:dyDescent="0.35">
      <c r="DP66" s="290" t="s">
        <v>506</v>
      </c>
      <c r="DQ66" s="290" t="s">
        <v>466</v>
      </c>
      <c r="DR66" s="291">
        <v>289</v>
      </c>
      <c r="DS66" s="291">
        <v>6.7500000000000004E-2</v>
      </c>
      <c r="DT66" s="290">
        <v>4273.4799999999996</v>
      </c>
      <c r="DU66" s="290" t="s">
        <v>509</v>
      </c>
      <c r="DV66" s="291">
        <v>2E-16</v>
      </c>
      <c r="DW66" s="81" t="s">
        <v>510</v>
      </c>
      <c r="DX66" s="212" t="s">
        <v>568</v>
      </c>
      <c r="DY66" s="297" t="s">
        <v>417</v>
      </c>
      <c r="DZ66" s="292" t="s">
        <v>434</v>
      </c>
      <c r="EA66" s="293">
        <f t="shared" ref="EA66:EA68" si="27">DR94</f>
        <v>4.4699999999999997E-2</v>
      </c>
      <c r="EB66" s="212" t="s">
        <v>392</v>
      </c>
    </row>
    <row r="67" spans="120:132" thickTop="1" thickBot="1" x14ac:dyDescent="0.35">
      <c r="DP67" s="290" t="s">
        <v>506</v>
      </c>
      <c r="DQ67" s="290" t="s">
        <v>467</v>
      </c>
      <c r="DR67" s="291">
        <v>292</v>
      </c>
      <c r="DS67" s="291">
        <v>4.3099999999999999E-2</v>
      </c>
      <c r="DT67" s="290">
        <v>6779.9</v>
      </c>
      <c r="DU67" s="290" t="s">
        <v>509</v>
      </c>
      <c r="DV67" s="291">
        <v>2E-16</v>
      </c>
      <c r="DW67" s="81" t="s">
        <v>510</v>
      </c>
      <c r="DX67" s="212" t="s">
        <v>568</v>
      </c>
      <c r="DY67" s="297" t="s">
        <v>418</v>
      </c>
      <c r="DZ67" s="292" t="s">
        <v>434</v>
      </c>
      <c r="EA67" s="293">
        <f t="shared" si="27"/>
        <v>0.69799999999999995</v>
      </c>
      <c r="EB67" s="212" t="s">
        <v>392</v>
      </c>
    </row>
    <row r="68" spans="120:132" thickTop="1" thickBot="1" x14ac:dyDescent="0.35">
      <c r="DP68" s="290" t="s">
        <v>506</v>
      </c>
      <c r="DQ68" s="290" t="s">
        <v>468</v>
      </c>
      <c r="DR68" s="291">
        <v>294</v>
      </c>
      <c r="DS68" s="291">
        <v>7.0199999999999999E-2</v>
      </c>
      <c r="DT68" s="290">
        <v>4192.3500000000004</v>
      </c>
      <c r="DU68" s="290" t="s">
        <v>509</v>
      </c>
      <c r="DV68" s="291">
        <v>2E-16</v>
      </c>
      <c r="DW68" s="81" t="s">
        <v>510</v>
      </c>
      <c r="DX68" s="212" t="s">
        <v>568</v>
      </c>
      <c r="DY68" s="297" t="s">
        <v>519</v>
      </c>
      <c r="DZ68" s="292" t="s">
        <v>434</v>
      </c>
      <c r="EA68" s="293">
        <f t="shared" si="27"/>
        <v>9.3600000000000003E-2</v>
      </c>
      <c r="EB68" s="212" t="s">
        <v>392</v>
      </c>
    </row>
    <row r="69" spans="120:132" thickTop="1" thickBot="1" x14ac:dyDescent="0.35">
      <c r="DP69" s="290" t="s">
        <v>506</v>
      </c>
      <c r="DQ69" s="290" t="s">
        <v>541</v>
      </c>
      <c r="DR69" s="291">
        <v>0.46700000000000003</v>
      </c>
      <c r="DS69" s="291">
        <v>6.6500000000000004E-2</v>
      </c>
      <c r="DT69" s="290">
        <v>7.02</v>
      </c>
      <c r="DU69" s="291">
        <v>2.2999999999999999E-12</v>
      </c>
      <c r="DV69" s="290" t="s">
        <v>510</v>
      </c>
      <c r="DZ69" s="292"/>
    </row>
    <row r="70" spans="120:132" thickTop="1" thickBot="1" x14ac:dyDescent="0.35">
      <c r="DP70" s="290" t="s">
        <v>506</v>
      </c>
      <c r="DQ70" s="290" t="s">
        <v>410</v>
      </c>
      <c r="DR70" s="291">
        <v>1.86</v>
      </c>
      <c r="DS70" s="291">
        <v>0.127</v>
      </c>
      <c r="DT70" s="290">
        <v>14.66</v>
      </c>
      <c r="DU70" s="290" t="s">
        <v>509</v>
      </c>
      <c r="DV70" s="291">
        <v>2E-16</v>
      </c>
      <c r="DW70" s="81" t="s">
        <v>510</v>
      </c>
      <c r="DX70" s="212" t="s">
        <v>568</v>
      </c>
      <c r="DY70" s="297" t="s">
        <v>419</v>
      </c>
      <c r="DZ70" s="292" t="s">
        <v>434</v>
      </c>
      <c r="EA70" s="293">
        <f>DR97</f>
        <v>177</v>
      </c>
      <c r="EB70" s="212" t="s">
        <v>392</v>
      </c>
    </row>
    <row r="71" spans="120:132" thickTop="1" thickBot="1" x14ac:dyDescent="0.35">
      <c r="DP71" s="290" t="s">
        <v>506</v>
      </c>
      <c r="DQ71" s="290" t="s">
        <v>542</v>
      </c>
      <c r="DR71" s="291">
        <v>1.57</v>
      </c>
      <c r="DS71" s="291">
        <v>2.7699999999999999E-2</v>
      </c>
      <c r="DT71" s="290">
        <v>56.71</v>
      </c>
      <c r="DU71" s="290" t="s">
        <v>509</v>
      </c>
      <c r="DV71" s="291">
        <v>2E-16</v>
      </c>
      <c r="DW71" s="81" t="s">
        <v>510</v>
      </c>
      <c r="DX71" s="212" t="s">
        <v>568</v>
      </c>
      <c r="DY71" s="297" t="s">
        <v>420</v>
      </c>
      <c r="DZ71" s="292" t="s">
        <v>434</v>
      </c>
      <c r="EA71" s="293">
        <f t="shared" ref="EA71:EA72" si="28">DR98</f>
        <v>71.5</v>
      </c>
      <c r="EB71" s="212" t="s">
        <v>392</v>
      </c>
    </row>
    <row r="72" spans="120:132" thickTop="1" thickBot="1" x14ac:dyDescent="0.35">
      <c r="DP72" s="290" t="s">
        <v>506</v>
      </c>
      <c r="DQ72" s="290" t="s">
        <v>543</v>
      </c>
      <c r="DR72" s="291">
        <v>1.44</v>
      </c>
      <c r="DS72" s="291">
        <v>2.6599999999999999E-2</v>
      </c>
      <c r="DT72" s="290">
        <v>54.02</v>
      </c>
      <c r="DU72" s="290" t="s">
        <v>509</v>
      </c>
      <c r="DV72" s="291">
        <v>2E-16</v>
      </c>
      <c r="DW72" s="81" t="s">
        <v>510</v>
      </c>
      <c r="DX72" s="212" t="s">
        <v>568</v>
      </c>
      <c r="DY72" s="297" t="s">
        <v>421</v>
      </c>
      <c r="DZ72" s="292" t="s">
        <v>434</v>
      </c>
      <c r="EA72" s="293">
        <f t="shared" si="28"/>
        <v>43.4</v>
      </c>
      <c r="EB72" s="212" t="s">
        <v>392</v>
      </c>
    </row>
    <row r="73" spans="120:132" thickTop="1" thickBot="1" x14ac:dyDescent="0.35">
      <c r="DP73" s="290" t="s">
        <v>506</v>
      </c>
      <c r="DQ73" s="290" t="s">
        <v>544</v>
      </c>
      <c r="DR73" s="291">
        <v>0.60299999999999998</v>
      </c>
      <c r="DS73" s="291">
        <v>2.47E-2</v>
      </c>
      <c r="DT73" s="290">
        <v>24.47</v>
      </c>
      <c r="DU73" s="290" t="s">
        <v>509</v>
      </c>
      <c r="DV73" s="291">
        <v>2E-16</v>
      </c>
      <c r="DW73" s="81" t="s">
        <v>510</v>
      </c>
      <c r="DX73" s="212" t="s">
        <v>568</v>
      </c>
      <c r="DY73" s="297" t="s">
        <v>422</v>
      </c>
      <c r="DZ73" s="292" t="s">
        <v>434</v>
      </c>
      <c r="EA73" s="293">
        <f>1/DR104</f>
        <v>80.645161290322577</v>
      </c>
      <c r="EB73" s="212" t="s">
        <v>392</v>
      </c>
    </row>
    <row r="74" spans="120:132" thickTop="1" thickBot="1" x14ac:dyDescent="0.35">
      <c r="DP74" s="290" t="s">
        <v>506</v>
      </c>
      <c r="DQ74" s="290" t="s">
        <v>411</v>
      </c>
      <c r="DR74" s="291">
        <v>6.3E-2</v>
      </c>
      <c r="DS74" s="291">
        <v>5.6800000000000003E-2</v>
      </c>
      <c r="DT74" s="290">
        <v>1.1100000000000001</v>
      </c>
      <c r="DU74" s="291">
        <v>0.27</v>
      </c>
      <c r="DZ74" s="292"/>
    </row>
    <row r="75" spans="120:132" thickTop="1" thickBot="1" x14ac:dyDescent="0.35">
      <c r="DP75" s="290" t="s">
        <v>506</v>
      </c>
      <c r="DQ75" s="290" t="s">
        <v>545</v>
      </c>
      <c r="DR75" s="291">
        <v>0.48899999999999999</v>
      </c>
      <c r="DS75" s="291">
        <v>1.03E-2</v>
      </c>
      <c r="DT75" s="290">
        <v>47.34</v>
      </c>
      <c r="DU75" s="290" t="s">
        <v>509</v>
      </c>
      <c r="DV75" s="291">
        <v>2E-16</v>
      </c>
      <c r="DW75" s="81" t="s">
        <v>510</v>
      </c>
      <c r="DX75" s="212" t="s">
        <v>568</v>
      </c>
      <c r="DY75" s="297" t="s">
        <v>515</v>
      </c>
      <c r="DZ75" s="292" t="s">
        <v>434</v>
      </c>
      <c r="EA75" s="293">
        <f>DR115</f>
        <v>995000000</v>
      </c>
      <c r="EB75" s="212" t="s">
        <v>392</v>
      </c>
    </row>
    <row r="76" spans="120:132" thickTop="1" thickBot="1" x14ac:dyDescent="0.35">
      <c r="DP76" s="290" t="s">
        <v>506</v>
      </c>
      <c r="DQ76" s="290" t="s">
        <v>546</v>
      </c>
      <c r="DR76" s="291">
        <v>0.35</v>
      </c>
      <c r="DS76" s="291">
        <v>8.5800000000000008E-3</v>
      </c>
      <c r="DT76" s="290">
        <v>40.81</v>
      </c>
      <c r="DU76" s="290" t="s">
        <v>509</v>
      </c>
      <c r="DV76" s="291">
        <v>2E-16</v>
      </c>
      <c r="DW76" s="81" t="s">
        <v>510</v>
      </c>
      <c r="DX76" s="212" t="s">
        <v>568</v>
      </c>
      <c r="DY76" s="297" t="s">
        <v>426</v>
      </c>
      <c r="DZ76" s="292" t="s">
        <v>434</v>
      </c>
      <c r="EA76" s="293">
        <f>DR116</f>
        <v>994000000</v>
      </c>
      <c r="EB76" s="212" t="s">
        <v>392</v>
      </c>
    </row>
    <row r="77" spans="120:132" thickTop="1" thickBot="1" x14ac:dyDescent="0.35">
      <c r="DP77" s="290" t="s">
        <v>506</v>
      </c>
      <c r="DQ77" s="290" t="s">
        <v>547</v>
      </c>
      <c r="DR77" s="291">
        <v>3.1100000000000002E-19</v>
      </c>
      <c r="DS77" s="291">
        <v>9.9299999999999994E-17</v>
      </c>
      <c r="DT77" s="290">
        <v>0</v>
      </c>
      <c r="DU77" s="290">
        <v>1</v>
      </c>
      <c r="DX77" s="212" t="s">
        <v>568</v>
      </c>
      <c r="DY77" s="297" t="s">
        <v>429</v>
      </c>
      <c r="DZ77" s="292" t="s">
        <v>434</v>
      </c>
      <c r="EA77" s="293">
        <f>DR123</f>
        <v>71.7</v>
      </c>
      <c r="EB77" s="212" t="s">
        <v>392</v>
      </c>
    </row>
    <row r="78" spans="120:132" thickTop="1" thickBot="1" x14ac:dyDescent="0.35">
      <c r="DP78" s="290" t="s">
        <v>506</v>
      </c>
      <c r="DQ78" s="290" t="s">
        <v>412</v>
      </c>
      <c r="DR78" s="291">
        <v>1.56E-12</v>
      </c>
      <c r="DS78" s="291">
        <v>2.01E-10</v>
      </c>
      <c r="DT78" s="290">
        <v>0.01</v>
      </c>
      <c r="DU78" s="290">
        <v>0.99</v>
      </c>
      <c r="DX78" s="212" t="s">
        <v>568</v>
      </c>
      <c r="DY78" s="297" t="s">
        <v>430</v>
      </c>
      <c r="DZ78" s="292" t="s">
        <v>434</v>
      </c>
      <c r="EA78" s="293">
        <f t="shared" ref="EA78:EA79" si="29">DR124</f>
        <v>1.5499999999999999E-3</v>
      </c>
      <c r="EB78" s="212" t="s">
        <v>392</v>
      </c>
    </row>
    <row r="79" spans="120:132" thickTop="1" thickBot="1" x14ac:dyDescent="0.35">
      <c r="DP79" s="290" t="s">
        <v>506</v>
      </c>
      <c r="DQ79" s="290" t="s">
        <v>548</v>
      </c>
      <c r="DR79" s="291">
        <v>1.81E-8</v>
      </c>
      <c r="DS79" s="291">
        <v>1.77E-6</v>
      </c>
      <c r="DT79" s="290">
        <v>0.01</v>
      </c>
      <c r="DU79" s="290">
        <v>0.99</v>
      </c>
      <c r="DX79" s="212" t="s">
        <v>568</v>
      </c>
      <c r="DY79" s="297" t="s">
        <v>431</v>
      </c>
      <c r="DZ79" s="292" t="s">
        <v>434</v>
      </c>
      <c r="EA79" s="293">
        <f t="shared" si="29"/>
        <v>147</v>
      </c>
      <c r="EB79" s="212" t="s">
        <v>392</v>
      </c>
    </row>
    <row r="80" spans="120:132" thickTop="1" thickBot="1" x14ac:dyDescent="0.35">
      <c r="DP80" s="290" t="s">
        <v>506</v>
      </c>
      <c r="DQ80" s="290" t="s">
        <v>549</v>
      </c>
      <c r="DR80" s="291">
        <v>0.255</v>
      </c>
      <c r="DS80" s="291">
        <v>4.19E-2</v>
      </c>
      <c r="DT80" s="290">
        <v>6.08</v>
      </c>
      <c r="DU80" s="291">
        <v>1.2E-9</v>
      </c>
      <c r="DV80" s="290" t="s">
        <v>510</v>
      </c>
    </row>
    <row r="81" spans="120:127" thickTop="1" thickBot="1" x14ac:dyDescent="0.35">
      <c r="DP81" s="290" t="s">
        <v>506</v>
      </c>
      <c r="DQ81" s="290" t="s">
        <v>550</v>
      </c>
      <c r="DR81" s="291">
        <v>1.6</v>
      </c>
      <c r="DS81" s="291">
        <v>6.0400000000000002E-2</v>
      </c>
      <c r="DT81" s="290">
        <v>26.47</v>
      </c>
      <c r="DU81" s="290" t="s">
        <v>509</v>
      </c>
      <c r="DV81" s="291">
        <v>2E-16</v>
      </c>
      <c r="DW81" s="81" t="s">
        <v>510</v>
      </c>
    </row>
    <row r="82" spans="120:127" thickTop="1" thickBot="1" x14ac:dyDescent="0.35">
      <c r="DP82" s="290" t="s">
        <v>506</v>
      </c>
      <c r="DQ82" s="290" t="s">
        <v>551</v>
      </c>
      <c r="DR82" s="291">
        <v>0.68500000000000005</v>
      </c>
      <c r="DS82" s="291">
        <v>0.122</v>
      </c>
      <c r="DT82" s="290">
        <v>5.6</v>
      </c>
      <c r="DU82" s="291">
        <v>2.1999999999999998E-8</v>
      </c>
      <c r="DV82" s="291" t="s">
        <v>510</v>
      </c>
    </row>
    <row r="83" spans="120:127" thickTop="1" thickBot="1" x14ac:dyDescent="0.35">
      <c r="DP83" s="290" t="s">
        <v>506</v>
      </c>
      <c r="DQ83" s="290" t="s">
        <v>552</v>
      </c>
      <c r="DR83" s="291">
        <v>1.22</v>
      </c>
      <c r="DS83" s="291">
        <v>2.52E-2</v>
      </c>
      <c r="DT83" s="290">
        <v>48.49</v>
      </c>
      <c r="DU83" s="290" t="s">
        <v>509</v>
      </c>
      <c r="DV83" s="291">
        <v>2E-16</v>
      </c>
      <c r="DW83" s="81" t="s">
        <v>510</v>
      </c>
    </row>
    <row r="84" spans="120:127" thickTop="1" thickBot="1" x14ac:dyDescent="0.35">
      <c r="DP84" s="290" t="s">
        <v>506</v>
      </c>
      <c r="DQ84" s="290" t="s">
        <v>553</v>
      </c>
      <c r="DR84" s="291">
        <v>0.74199999999999999</v>
      </c>
      <c r="DS84" s="291">
        <v>2.3E-2</v>
      </c>
      <c r="DT84" s="290">
        <v>32.229999999999997</v>
      </c>
      <c r="DU84" s="291" t="s">
        <v>509</v>
      </c>
      <c r="DV84" s="291">
        <v>2E-16</v>
      </c>
      <c r="DW84" s="81" t="s">
        <v>510</v>
      </c>
    </row>
    <row r="85" spans="120:127" thickTop="1" thickBot="1" x14ac:dyDescent="0.35">
      <c r="DP85" s="290" t="s">
        <v>506</v>
      </c>
      <c r="DQ85" s="290" t="s">
        <v>298</v>
      </c>
      <c r="DR85" s="291">
        <v>995000000</v>
      </c>
      <c r="DS85" s="291">
        <v>22800000</v>
      </c>
      <c r="DT85" s="290">
        <v>43.72</v>
      </c>
      <c r="DU85" s="290" t="s">
        <v>509</v>
      </c>
      <c r="DV85" s="291">
        <v>2E-16</v>
      </c>
      <c r="DW85" s="81" t="s">
        <v>510</v>
      </c>
    </row>
    <row r="86" spans="120:127" thickTop="1" thickBot="1" x14ac:dyDescent="0.35">
      <c r="DP86" s="290" t="s">
        <v>506</v>
      </c>
      <c r="DQ86" s="290" t="s">
        <v>475</v>
      </c>
      <c r="DR86" s="291">
        <v>2080000</v>
      </c>
      <c r="DS86" s="291">
        <v>11300</v>
      </c>
      <c r="DT86" s="290">
        <v>183.7</v>
      </c>
      <c r="DU86" s="290" t="s">
        <v>509</v>
      </c>
      <c r="DV86" s="291">
        <v>2E-16</v>
      </c>
      <c r="DW86" s="81" t="s">
        <v>510</v>
      </c>
    </row>
    <row r="87" spans="120:127" thickTop="1" thickBot="1" x14ac:dyDescent="0.35">
      <c r="DP87" s="290" t="s">
        <v>506</v>
      </c>
      <c r="DQ87" s="290" t="s">
        <v>291</v>
      </c>
      <c r="DR87" s="291">
        <v>2170000</v>
      </c>
      <c r="DS87" s="291">
        <v>37900</v>
      </c>
      <c r="DT87" s="290">
        <v>57.28</v>
      </c>
      <c r="DU87" s="290" t="s">
        <v>509</v>
      </c>
      <c r="DV87" s="291">
        <v>2E-16</v>
      </c>
      <c r="DW87" s="81" t="s">
        <v>510</v>
      </c>
    </row>
    <row r="88" spans="120:127" thickTop="1" thickBot="1" x14ac:dyDescent="0.35">
      <c r="DP88" s="290" t="s">
        <v>506</v>
      </c>
      <c r="DQ88" s="290" t="s">
        <v>293</v>
      </c>
      <c r="DR88" s="291">
        <v>4070000</v>
      </c>
      <c r="DS88" s="291">
        <v>171000</v>
      </c>
      <c r="DT88" s="290">
        <v>23.83</v>
      </c>
      <c r="DU88" s="291" t="s">
        <v>509</v>
      </c>
      <c r="DV88" s="291">
        <v>2E-16</v>
      </c>
      <c r="DW88" s="81" t="s">
        <v>510</v>
      </c>
    </row>
    <row r="89" spans="120:127" thickTop="1" thickBot="1" x14ac:dyDescent="0.35">
      <c r="DP89" s="290" t="s">
        <v>506</v>
      </c>
      <c r="DQ89" s="290" t="s">
        <v>476</v>
      </c>
      <c r="DR89" s="291">
        <v>-40</v>
      </c>
      <c r="DS89" s="291">
        <v>106</v>
      </c>
      <c r="DT89" s="290">
        <v>-0.38</v>
      </c>
      <c r="DU89" s="290">
        <v>0.7</v>
      </c>
      <c r="DV89" s="291"/>
    </row>
    <row r="90" spans="120:127" thickTop="1" thickBot="1" x14ac:dyDescent="0.35">
      <c r="DP90" s="290" t="s">
        <v>506</v>
      </c>
      <c r="DQ90" s="290" t="s">
        <v>477</v>
      </c>
      <c r="DR90" s="291">
        <v>-21.3</v>
      </c>
      <c r="DS90" s="291">
        <v>670</v>
      </c>
      <c r="DT90" s="290">
        <v>-0.03</v>
      </c>
      <c r="DU90" s="290">
        <v>0.97</v>
      </c>
    </row>
    <row r="91" spans="120:127" thickTop="1" thickBot="1" x14ac:dyDescent="0.35">
      <c r="DP91" s="290" t="s">
        <v>506</v>
      </c>
      <c r="DQ91" s="290" t="s">
        <v>478</v>
      </c>
      <c r="DR91" s="291">
        <v>-22.5</v>
      </c>
      <c r="DS91" s="291">
        <v>155</v>
      </c>
      <c r="DT91" s="290">
        <v>-0.15</v>
      </c>
      <c r="DU91" s="290">
        <v>0.88</v>
      </c>
    </row>
    <row r="92" spans="120:127" thickTop="1" thickBot="1" x14ac:dyDescent="0.35">
      <c r="DP92" s="290" t="s">
        <v>506</v>
      </c>
      <c r="DQ92" s="290" t="s">
        <v>479</v>
      </c>
      <c r="DR92" s="291">
        <v>-22.3</v>
      </c>
      <c r="DS92" s="291">
        <v>598</v>
      </c>
      <c r="DT92" s="290">
        <v>-0.04</v>
      </c>
      <c r="DU92" s="290">
        <v>0.97</v>
      </c>
    </row>
    <row r="93" spans="120:127" thickTop="1" thickBot="1" x14ac:dyDescent="0.35">
      <c r="DP93" s="290" t="s">
        <v>506</v>
      </c>
      <c r="DQ93" s="290" t="s">
        <v>481</v>
      </c>
      <c r="DR93" s="291">
        <v>0.159</v>
      </c>
      <c r="DS93" s="291">
        <v>8.7100000000000003E-4</v>
      </c>
      <c r="DT93" s="290">
        <v>182.08</v>
      </c>
      <c r="DU93" s="290" t="s">
        <v>509</v>
      </c>
      <c r="DV93" s="291">
        <v>2E-16</v>
      </c>
      <c r="DW93" s="81" t="s">
        <v>510</v>
      </c>
    </row>
    <row r="94" spans="120:127" thickTop="1" thickBot="1" x14ac:dyDescent="0.35">
      <c r="DP94" s="290" t="s">
        <v>506</v>
      </c>
      <c r="DQ94" s="290" t="s">
        <v>482</v>
      </c>
      <c r="DR94" s="291">
        <v>4.4699999999999997E-2</v>
      </c>
      <c r="DS94" s="291">
        <v>2.4399999999999999E-4</v>
      </c>
      <c r="DT94" s="290">
        <v>183.24</v>
      </c>
      <c r="DU94" s="290" t="s">
        <v>509</v>
      </c>
      <c r="DV94" s="291">
        <v>2E-16</v>
      </c>
      <c r="DW94" s="81" t="s">
        <v>510</v>
      </c>
    </row>
    <row r="95" spans="120:127" thickTop="1" thickBot="1" x14ac:dyDescent="0.35">
      <c r="DP95" s="290" t="s">
        <v>506</v>
      </c>
      <c r="DQ95" s="290" t="s">
        <v>483</v>
      </c>
      <c r="DR95" s="291">
        <v>0.69799999999999995</v>
      </c>
      <c r="DS95" s="291">
        <v>2.5400000000000002E-3</v>
      </c>
      <c r="DT95" s="290">
        <v>274.64</v>
      </c>
      <c r="DU95" s="290" t="s">
        <v>509</v>
      </c>
      <c r="DV95" s="291">
        <v>2E-16</v>
      </c>
      <c r="DW95" s="81" t="s">
        <v>510</v>
      </c>
    </row>
    <row r="96" spans="120:127" thickTop="1" thickBot="1" x14ac:dyDescent="0.35">
      <c r="DP96" s="290" t="s">
        <v>506</v>
      </c>
      <c r="DQ96" s="290" t="s">
        <v>484</v>
      </c>
      <c r="DR96" s="291">
        <v>9.3600000000000003E-2</v>
      </c>
      <c r="DS96" s="291">
        <v>6.3299999999999999E-4</v>
      </c>
      <c r="DT96" s="290">
        <v>147.74</v>
      </c>
      <c r="DU96" s="290" t="s">
        <v>509</v>
      </c>
      <c r="DV96" s="291">
        <v>2E-16</v>
      </c>
      <c r="DW96" s="81" t="s">
        <v>510</v>
      </c>
    </row>
    <row r="97" spans="120:127" thickTop="1" thickBot="1" x14ac:dyDescent="0.35">
      <c r="DP97" s="290" t="s">
        <v>506</v>
      </c>
      <c r="DQ97" s="290" t="s">
        <v>486</v>
      </c>
      <c r="DR97" s="291">
        <v>177</v>
      </c>
      <c r="DS97" s="291">
        <v>2.38</v>
      </c>
      <c r="DT97" s="290">
        <v>74.56</v>
      </c>
      <c r="DU97" s="290" t="s">
        <v>509</v>
      </c>
      <c r="DV97" s="291">
        <v>2E-16</v>
      </c>
      <c r="DW97" s="81" t="s">
        <v>510</v>
      </c>
    </row>
    <row r="98" spans="120:127" thickTop="1" thickBot="1" x14ac:dyDescent="0.35">
      <c r="DP98" s="290" t="s">
        <v>506</v>
      </c>
      <c r="DQ98" s="290" t="s">
        <v>285</v>
      </c>
      <c r="DR98" s="291">
        <v>71.5</v>
      </c>
      <c r="DS98" s="291">
        <v>0.71599999999999997</v>
      </c>
      <c r="DT98" s="290">
        <v>99.9</v>
      </c>
      <c r="DU98" s="290" t="s">
        <v>509</v>
      </c>
      <c r="DV98" s="291">
        <v>2E-16</v>
      </c>
      <c r="DW98" s="81" t="s">
        <v>510</v>
      </c>
    </row>
    <row r="99" spans="120:127" thickTop="1" thickBot="1" x14ac:dyDescent="0.35">
      <c r="DP99" s="290" t="s">
        <v>506</v>
      </c>
      <c r="DQ99" s="290" t="s">
        <v>120</v>
      </c>
      <c r="DR99" s="291">
        <v>43.4</v>
      </c>
      <c r="DS99" s="291">
        <v>0.184</v>
      </c>
      <c r="DT99" s="290">
        <v>236.41</v>
      </c>
      <c r="DU99" s="290" t="s">
        <v>509</v>
      </c>
      <c r="DV99" s="291">
        <v>2E-16</v>
      </c>
      <c r="DW99" s="81" t="s">
        <v>510</v>
      </c>
    </row>
    <row r="100" spans="120:127" thickTop="1" thickBot="1" x14ac:dyDescent="0.35">
      <c r="DP100" s="290" t="s">
        <v>506</v>
      </c>
      <c r="DQ100" s="290" t="s">
        <v>488</v>
      </c>
      <c r="DR100" s="291">
        <v>-7.34</v>
      </c>
      <c r="DS100" s="291">
        <v>1.77E-2</v>
      </c>
      <c r="DT100" s="290">
        <v>-414.69</v>
      </c>
      <c r="DU100" s="290" t="s">
        <v>509</v>
      </c>
      <c r="DV100" s="291">
        <v>2E-16</v>
      </c>
      <c r="DW100" s="81" t="s">
        <v>510</v>
      </c>
    </row>
    <row r="101" spans="120:127" thickTop="1" thickBot="1" x14ac:dyDescent="0.35">
      <c r="DP101" s="290" t="s">
        <v>506</v>
      </c>
      <c r="DQ101" s="290" t="s">
        <v>489</v>
      </c>
      <c r="DR101" s="291">
        <v>-6.24</v>
      </c>
      <c r="DS101" s="291">
        <v>1.9800000000000002E-2</v>
      </c>
      <c r="DT101" s="290">
        <v>-315.31</v>
      </c>
      <c r="DU101" s="290" t="s">
        <v>509</v>
      </c>
      <c r="DV101" s="291">
        <v>2E-16</v>
      </c>
      <c r="DW101" s="81" t="s">
        <v>510</v>
      </c>
    </row>
    <row r="102" spans="120:127" thickTop="1" thickBot="1" x14ac:dyDescent="0.35">
      <c r="DP102" s="290" t="s">
        <v>506</v>
      </c>
      <c r="DQ102" s="290" t="s">
        <v>490</v>
      </c>
      <c r="DR102" s="291">
        <v>-6.58</v>
      </c>
      <c r="DS102" s="291">
        <v>1.67E-2</v>
      </c>
      <c r="DT102" s="290">
        <v>-394.38</v>
      </c>
      <c r="DU102" s="290" t="s">
        <v>509</v>
      </c>
      <c r="DV102" s="291">
        <v>2E-16</v>
      </c>
      <c r="DW102" s="81" t="s">
        <v>510</v>
      </c>
    </row>
    <row r="103" spans="120:127" thickTop="1" thickBot="1" x14ac:dyDescent="0.35">
      <c r="DP103" s="290" t="s">
        <v>506</v>
      </c>
      <c r="DQ103" s="290" t="s">
        <v>491</v>
      </c>
      <c r="DR103" s="291">
        <v>-6.29</v>
      </c>
      <c r="DS103" s="291">
        <v>1.8200000000000001E-2</v>
      </c>
      <c r="DT103" s="290">
        <v>-345.25</v>
      </c>
      <c r="DU103" s="290" t="s">
        <v>509</v>
      </c>
      <c r="DV103" s="291">
        <v>2E-16</v>
      </c>
      <c r="DW103" s="81" t="s">
        <v>510</v>
      </c>
    </row>
    <row r="104" spans="120:127" thickTop="1" thickBot="1" x14ac:dyDescent="0.35">
      <c r="DP104" s="290" t="s">
        <v>506</v>
      </c>
      <c r="DQ104" s="290" t="s">
        <v>493</v>
      </c>
      <c r="DR104" s="291">
        <v>1.24E-2</v>
      </c>
      <c r="DS104" s="291">
        <v>6.9400000000000006E-5</v>
      </c>
      <c r="DT104" s="290">
        <v>178.72</v>
      </c>
      <c r="DU104" s="290" t="s">
        <v>509</v>
      </c>
      <c r="DV104" s="291">
        <v>2E-16</v>
      </c>
      <c r="DW104" s="81" t="s">
        <v>510</v>
      </c>
    </row>
    <row r="105" spans="120:127" thickTop="1" thickBot="1" x14ac:dyDescent="0.35">
      <c r="DP105" s="290" t="s">
        <v>506</v>
      </c>
      <c r="DQ105" s="290" t="s">
        <v>494</v>
      </c>
      <c r="DR105" s="291">
        <v>147</v>
      </c>
      <c r="DS105" s="291">
        <v>1.83</v>
      </c>
      <c r="DT105" s="290">
        <v>80.010000000000005</v>
      </c>
      <c r="DU105" s="290" t="s">
        <v>509</v>
      </c>
      <c r="DV105" s="291">
        <v>2E-16</v>
      </c>
      <c r="DW105" s="81" t="s">
        <v>510</v>
      </c>
    </row>
    <row r="106" spans="120:127" thickTop="1" thickBot="1" x14ac:dyDescent="0.35">
      <c r="DP106" s="290" t="s">
        <v>506</v>
      </c>
      <c r="DQ106" s="290" t="s">
        <v>495</v>
      </c>
      <c r="DR106" s="291">
        <v>7.0500000000000001E-4</v>
      </c>
      <c r="DS106" s="291">
        <v>8.8599999999999998E-2</v>
      </c>
      <c r="DT106" s="290">
        <v>0.01</v>
      </c>
      <c r="DU106" s="290">
        <v>0.99</v>
      </c>
    </row>
    <row r="107" spans="120:127" thickTop="1" thickBot="1" x14ac:dyDescent="0.35">
      <c r="DR107" s="291"/>
      <c r="DS107" s="291"/>
    </row>
    <row r="108" spans="120:127" thickTop="1" thickBot="1" x14ac:dyDescent="0.35">
      <c r="DP108" s="290" t="s">
        <v>565</v>
      </c>
    </row>
    <row r="109" spans="120:127" thickTop="1" thickBot="1" x14ac:dyDescent="0.35">
      <c r="DP109" s="290" t="s">
        <v>506</v>
      </c>
      <c r="DQ109" s="290" t="s">
        <v>499</v>
      </c>
    </row>
    <row r="110" spans="120:127" thickTop="1" thickBot="1" x14ac:dyDescent="0.35">
      <c r="DP110" s="290" t="s">
        <v>506</v>
      </c>
      <c r="DQ110" s="290" t="s">
        <v>500</v>
      </c>
      <c r="DR110" s="290" t="s">
        <v>501</v>
      </c>
      <c r="DS110" s="290" t="s">
        <v>502</v>
      </c>
      <c r="DT110" s="290" t="s">
        <v>503</v>
      </c>
      <c r="DU110" s="290" t="s">
        <v>504</v>
      </c>
      <c r="DV110" s="290" t="s">
        <v>508</v>
      </c>
      <c r="DW110" s="81" t="s">
        <v>510</v>
      </c>
    </row>
    <row r="111" spans="120:127" thickTop="1" thickBot="1" x14ac:dyDescent="0.35">
      <c r="DP111" s="290" t="s">
        <v>506</v>
      </c>
      <c r="DQ111" s="290" t="s">
        <v>513</v>
      </c>
      <c r="DR111" s="291">
        <v>290</v>
      </c>
      <c r="DS111" s="291">
        <v>7.3899999999999993E-2</v>
      </c>
      <c r="DT111" s="290">
        <v>3926.35</v>
      </c>
      <c r="DU111" s="290" t="s">
        <v>505</v>
      </c>
      <c r="DV111" s="290" t="s">
        <v>510</v>
      </c>
      <c r="DW111" s="81" t="s">
        <v>510</v>
      </c>
    </row>
    <row r="112" spans="120:127" thickTop="1" thickBot="1" x14ac:dyDescent="0.35">
      <c r="DP112" s="290" t="s">
        <v>506</v>
      </c>
      <c r="DQ112" s="290" t="s">
        <v>514</v>
      </c>
      <c r="DR112" s="291">
        <v>294</v>
      </c>
      <c r="DS112" s="291">
        <v>7.4999999999999997E-2</v>
      </c>
      <c r="DT112" s="290">
        <v>3925.37</v>
      </c>
      <c r="DU112" s="290" t="s">
        <v>505</v>
      </c>
      <c r="DV112" s="291" t="s">
        <v>510</v>
      </c>
      <c r="DW112" s="81" t="s">
        <v>510</v>
      </c>
    </row>
    <row r="113" spans="120:134" thickTop="1" thickBot="1" x14ac:dyDescent="0.35">
      <c r="DP113" s="290" t="s">
        <v>506</v>
      </c>
      <c r="DQ113" s="290" t="s">
        <v>423</v>
      </c>
      <c r="DR113" s="291">
        <v>9.7799999999999998E-2</v>
      </c>
      <c r="DS113" s="291">
        <v>1.1100000000000001E-3</v>
      </c>
      <c r="DT113" s="290">
        <v>88.05</v>
      </c>
      <c r="DU113" s="290" t="s">
        <v>505</v>
      </c>
      <c r="DV113" s="291" t="s">
        <v>510</v>
      </c>
    </row>
    <row r="114" spans="120:134" thickTop="1" thickBot="1" x14ac:dyDescent="0.35">
      <c r="DP114" s="290" t="s">
        <v>506</v>
      </c>
      <c r="DQ114" s="290" t="s">
        <v>424</v>
      </c>
      <c r="DR114" s="291">
        <v>0.38400000000000001</v>
      </c>
      <c r="DS114" s="291">
        <v>5.13E-3</v>
      </c>
      <c r="DT114" s="290">
        <v>74.790000000000006</v>
      </c>
      <c r="DU114" s="290" t="s">
        <v>505</v>
      </c>
      <c r="DV114" s="291" t="s">
        <v>510</v>
      </c>
      <c r="DW114" s="81" t="s">
        <v>510</v>
      </c>
    </row>
    <row r="115" spans="120:134" thickTop="1" thickBot="1" x14ac:dyDescent="0.35">
      <c r="DP115" s="290" t="s">
        <v>506</v>
      </c>
      <c r="DQ115" s="290" t="s">
        <v>515</v>
      </c>
      <c r="DR115" s="291">
        <v>995000000</v>
      </c>
      <c r="DS115" s="291">
        <v>26800000</v>
      </c>
      <c r="DT115" s="290">
        <v>37.1</v>
      </c>
      <c r="DU115" s="291" t="s">
        <v>505</v>
      </c>
      <c r="DV115" s="290" t="s">
        <v>510</v>
      </c>
    </row>
    <row r="116" spans="120:134" thickTop="1" thickBot="1" x14ac:dyDescent="0.35">
      <c r="DP116" s="290" t="s">
        <v>506</v>
      </c>
      <c r="DQ116" s="290" t="s">
        <v>426</v>
      </c>
      <c r="DR116" s="291">
        <v>994000000</v>
      </c>
      <c r="DS116" s="291">
        <v>29000000</v>
      </c>
      <c r="DT116" s="290">
        <v>34.29</v>
      </c>
      <c r="DU116" s="290" t="s">
        <v>505</v>
      </c>
      <c r="DV116" s="291" t="s">
        <v>510</v>
      </c>
    </row>
    <row r="117" spans="120:134" thickTop="1" thickBot="1" x14ac:dyDescent="0.35">
      <c r="DP117" s="290" t="s">
        <v>506</v>
      </c>
      <c r="DQ117" s="290" t="s">
        <v>480</v>
      </c>
      <c r="DR117" s="291">
        <v>-19.3</v>
      </c>
      <c r="DS117" s="291">
        <v>115</v>
      </c>
      <c r="DT117" s="290">
        <v>-0.17</v>
      </c>
      <c r="DU117" s="290">
        <v>0.87</v>
      </c>
      <c r="DW117" s="81" t="s">
        <v>510</v>
      </c>
    </row>
    <row r="118" spans="120:134" thickTop="1" thickBot="1" x14ac:dyDescent="0.35">
      <c r="DP118" s="290" t="s">
        <v>506</v>
      </c>
      <c r="DQ118" s="290" t="s">
        <v>517</v>
      </c>
      <c r="DR118" s="291">
        <v>-15.1</v>
      </c>
      <c r="DS118" s="291">
        <v>64.900000000000006</v>
      </c>
      <c r="DT118" s="290">
        <v>-0.23</v>
      </c>
      <c r="DU118" s="290">
        <v>0.82</v>
      </c>
      <c r="DW118" s="81" t="s">
        <v>510</v>
      </c>
    </row>
    <row r="119" spans="120:134" thickTop="1" thickBot="1" x14ac:dyDescent="0.35">
      <c r="DP119" s="290" t="s">
        <v>506</v>
      </c>
      <c r="DQ119" s="290" t="s">
        <v>518</v>
      </c>
      <c r="DR119" s="291">
        <v>4.1399999999999999E-2</v>
      </c>
      <c r="DS119" s="291">
        <v>1.06E-4</v>
      </c>
      <c r="DT119" s="290">
        <v>389.99</v>
      </c>
      <c r="DU119" s="290" t="s">
        <v>505</v>
      </c>
      <c r="DV119" s="291" t="s">
        <v>510</v>
      </c>
      <c r="DW119" s="81" t="s">
        <v>510</v>
      </c>
    </row>
    <row r="120" spans="120:134" thickTop="1" thickBot="1" x14ac:dyDescent="0.35">
      <c r="DP120" s="290" t="s">
        <v>506</v>
      </c>
      <c r="DQ120" s="290" t="s">
        <v>519</v>
      </c>
      <c r="DR120" s="291">
        <v>9.11E-2</v>
      </c>
      <c r="DS120" s="291">
        <v>4.4299999999999998E-4</v>
      </c>
      <c r="DT120" s="290">
        <v>205.36</v>
      </c>
      <c r="DU120" s="290" t="s">
        <v>505</v>
      </c>
      <c r="DV120" s="291" t="s">
        <v>510</v>
      </c>
      <c r="DW120" s="81" t="s">
        <v>510</v>
      </c>
    </row>
    <row r="121" spans="120:134" thickTop="1" thickBot="1" x14ac:dyDescent="0.35">
      <c r="DP121" s="290" t="s">
        <v>506</v>
      </c>
      <c r="DQ121" s="290" t="s">
        <v>492</v>
      </c>
      <c r="DR121" s="291">
        <v>-6.13</v>
      </c>
      <c r="DS121" s="291">
        <v>1.8700000000000001E-2</v>
      </c>
      <c r="DT121" s="290">
        <v>-328.33</v>
      </c>
      <c r="DU121" s="290" t="s">
        <v>505</v>
      </c>
      <c r="DV121" s="291" t="s">
        <v>510</v>
      </c>
      <c r="DW121" s="81" t="s">
        <v>510</v>
      </c>
    </row>
    <row r="122" spans="120:134" thickTop="1" thickBot="1" x14ac:dyDescent="0.35">
      <c r="DP122" s="290" t="s">
        <v>506</v>
      </c>
      <c r="DQ122" s="290" t="s">
        <v>520</v>
      </c>
      <c r="DR122" s="291">
        <v>-6.06</v>
      </c>
      <c r="DS122" s="291">
        <v>1.7000000000000001E-2</v>
      </c>
      <c r="DT122" s="290">
        <v>-355.71</v>
      </c>
      <c r="DU122" s="290" t="s">
        <v>505</v>
      </c>
      <c r="DV122" s="291" t="s">
        <v>510</v>
      </c>
      <c r="DW122" s="81" t="s">
        <v>510</v>
      </c>
    </row>
    <row r="123" spans="120:134" thickTop="1" thickBot="1" x14ac:dyDescent="0.35">
      <c r="DP123" s="290" t="s">
        <v>506</v>
      </c>
      <c r="DQ123" s="290" t="s">
        <v>429</v>
      </c>
      <c r="DR123" s="291">
        <v>71.7</v>
      </c>
      <c r="DS123" s="291">
        <v>0.64</v>
      </c>
      <c r="DT123" s="290">
        <v>112.03</v>
      </c>
      <c r="DU123" s="290" t="s">
        <v>505</v>
      </c>
      <c r="DV123" s="291" t="s">
        <v>510</v>
      </c>
      <c r="DW123" s="81" t="s">
        <v>510</v>
      </c>
    </row>
    <row r="124" spans="120:134" thickTop="1" thickBot="1" x14ac:dyDescent="0.35">
      <c r="DP124" s="290" t="s">
        <v>506</v>
      </c>
      <c r="DQ124" s="290" t="s">
        <v>430</v>
      </c>
      <c r="DR124" s="291">
        <v>1.5499999999999999E-3</v>
      </c>
      <c r="DS124" s="291">
        <v>0.41</v>
      </c>
      <c r="DT124" s="290">
        <v>0</v>
      </c>
      <c r="DU124" s="290">
        <v>1</v>
      </c>
      <c r="DV124" s="291"/>
    </row>
    <row r="125" spans="120:134" thickTop="1" thickBot="1" x14ac:dyDescent="0.35">
      <c r="DP125" s="290" t="s">
        <v>506</v>
      </c>
      <c r="DQ125" s="290" t="s">
        <v>431</v>
      </c>
      <c r="DR125" s="291">
        <v>147</v>
      </c>
      <c r="DS125" s="291">
        <v>1.81</v>
      </c>
      <c r="DT125" s="290">
        <v>81.52</v>
      </c>
      <c r="DU125" s="290" t="s">
        <v>505</v>
      </c>
      <c r="DV125" s="291" t="s">
        <v>510</v>
      </c>
      <c r="DW125" s="81">
        <v>0.01</v>
      </c>
      <c r="EC125" s="81" t="s">
        <v>564</v>
      </c>
      <c r="ED125" s="81">
        <v>1</v>
      </c>
    </row>
    <row r="126" spans="120:134" thickTop="1" thickBot="1" x14ac:dyDescent="0.35">
      <c r="DP126" s="290" t="s">
        <v>506</v>
      </c>
      <c r="DQ126" s="290" t="s">
        <v>559</v>
      </c>
    </row>
    <row r="127" spans="120:134" thickTop="1" thickBot="1" x14ac:dyDescent="0.35">
      <c r="DP127" s="290" t="s">
        <v>506</v>
      </c>
      <c r="DQ127" s="290" t="s">
        <v>560</v>
      </c>
      <c r="DR127" s="290" t="s">
        <v>561</v>
      </c>
      <c r="DS127" s="290">
        <v>0</v>
      </c>
      <c r="DT127" s="290" t="s">
        <v>562</v>
      </c>
      <c r="DU127" s="290">
        <v>1E-3</v>
      </c>
      <c r="DV127" s="290" t="s">
        <v>563</v>
      </c>
    </row>
  </sheetData>
  <mergeCells count="7">
    <mergeCell ref="E36:F36"/>
    <mergeCell ref="A1:G1"/>
    <mergeCell ref="A3:H3"/>
    <mergeCell ref="J3:T3"/>
    <mergeCell ref="V3:AG3"/>
    <mergeCell ref="K4:O4"/>
    <mergeCell ref="E33:F33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127"/>
  <sheetViews>
    <sheetView topLeftCell="P1" zoomScale="85" zoomScaleNormal="85" workbookViewId="0">
      <selection activeCell="AO39" sqref="AO39"/>
    </sheetView>
  </sheetViews>
  <sheetFormatPr defaultColWidth="9.109375" defaultRowHeight="15.6" thickTop="1" thickBottom="1" x14ac:dyDescent="0.35"/>
  <cols>
    <col min="1" max="5" width="9.109375" style="81"/>
    <col min="6" max="6" width="8.33203125" style="81" bestFit="1" customWidth="1"/>
    <col min="7" max="7" width="6.88671875" style="81" bestFit="1" customWidth="1"/>
    <col min="8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3"/>
    <col min="18" max="20" width="9.109375" style="81"/>
    <col min="21" max="21" width="9.109375" style="1"/>
    <col min="22" max="34" width="9.109375" style="81"/>
    <col min="35" max="36" width="9.109375" style="173"/>
    <col min="37" max="37" width="9.109375" style="154"/>
    <col min="38" max="38" width="10.33203125" style="154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99"/>
    <col min="51" max="51" width="16.109375" style="206" customWidth="1"/>
    <col min="52" max="52" width="9.109375" style="199"/>
    <col min="53" max="64" width="9.109375" style="81" customWidth="1"/>
    <col min="65" max="66" width="9.109375" style="173"/>
    <col min="67" max="67" width="9.109375" style="154"/>
    <col min="68" max="68" width="10.33203125" style="154" bestFit="1" customWidth="1"/>
    <col min="69" max="70" width="9.109375" style="81"/>
    <col min="71" max="71" width="12.6640625" style="81" bestFit="1" customWidth="1"/>
    <col min="72" max="73" width="12.6640625" style="81" customWidth="1"/>
    <col min="74" max="76" width="9.109375" style="81"/>
    <col min="77" max="77" width="10.44140625" style="210" bestFit="1" customWidth="1"/>
    <col min="78" max="78" width="10.44140625" style="210" customWidth="1"/>
    <col min="79" max="79" width="9.109375" style="81"/>
    <col min="80" max="80" width="10.5546875" style="81" bestFit="1" customWidth="1"/>
    <col min="81" max="85" width="9.109375" style="81"/>
    <col min="86" max="86" width="11" style="81" customWidth="1"/>
    <col min="87" max="91" width="9.109375" style="81"/>
    <col min="92" max="92" width="19.44140625" style="81" bestFit="1" customWidth="1"/>
    <col min="93" max="93" width="12" style="81" customWidth="1"/>
    <col min="94" max="94" width="11" style="81" customWidth="1"/>
    <col min="95" max="98" width="9.109375" style="81"/>
    <col min="99" max="99" width="9.109375" style="212"/>
    <col min="100" max="100" width="9.109375" style="81"/>
    <col min="101" max="101" width="19.44140625" style="81" bestFit="1" customWidth="1"/>
    <col min="102" max="112" width="9.109375" style="81"/>
    <col min="113" max="113" width="9.6640625" style="81" bestFit="1" customWidth="1"/>
    <col min="114" max="115" width="9.109375" style="81"/>
    <col min="116" max="118" width="9.88671875" style="81" bestFit="1" customWidth="1"/>
    <col min="119" max="119" width="9.109375" style="81"/>
    <col min="120" max="126" width="9.109375" style="290"/>
    <col min="127" max="127" width="9.109375" style="81"/>
    <col min="128" max="128" width="15.5546875" style="212" bestFit="1" customWidth="1"/>
    <col min="129" max="132" width="9.109375" style="212"/>
    <col min="133" max="16384" width="9.109375" style="81"/>
  </cols>
  <sheetData>
    <row r="1" spans="1:132" ht="20.25" customHeight="1" thickTop="1" thickBot="1" x14ac:dyDescent="0.45">
      <c r="A1" s="315" t="s">
        <v>0</v>
      </c>
      <c r="B1" s="315"/>
      <c r="C1" s="315"/>
      <c r="D1" s="315"/>
      <c r="E1" s="315"/>
      <c r="F1" s="315"/>
      <c r="G1" s="315"/>
      <c r="AN1" s="191" t="s">
        <v>384</v>
      </c>
      <c r="BC1" s="81" t="s">
        <v>435</v>
      </c>
      <c r="BD1" s="191"/>
      <c r="BE1" s="191" t="s">
        <v>436</v>
      </c>
      <c r="BR1" s="191" t="s">
        <v>384</v>
      </c>
    </row>
    <row r="2" spans="1:132" thickTop="1" thickBot="1" x14ac:dyDescent="0.35">
      <c r="AN2" s="81" t="s">
        <v>385</v>
      </c>
      <c r="BR2" s="81" t="s">
        <v>385</v>
      </c>
      <c r="DK2" s="81" t="s">
        <v>386</v>
      </c>
      <c r="DL2" s="79" t="s">
        <v>534</v>
      </c>
      <c r="DM2" s="79" t="s">
        <v>535</v>
      </c>
      <c r="DN2" s="79" t="s">
        <v>536</v>
      </c>
      <c r="DP2" s="290" t="s">
        <v>537</v>
      </c>
    </row>
    <row r="3" spans="1:132" thickTop="1" thickBot="1" x14ac:dyDescent="0.35">
      <c r="A3" s="321" t="s">
        <v>1</v>
      </c>
      <c r="B3" s="322"/>
      <c r="C3" s="322"/>
      <c r="D3" s="322"/>
      <c r="E3" s="322"/>
      <c r="F3" s="322"/>
      <c r="G3" s="322"/>
      <c r="H3" s="323"/>
      <c r="J3" s="312" t="s">
        <v>2</v>
      </c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4"/>
      <c r="V3" s="312" t="s">
        <v>3</v>
      </c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N3" s="200" t="s">
        <v>386</v>
      </c>
      <c r="AO3" s="201" t="s">
        <v>387</v>
      </c>
      <c r="AP3" s="201"/>
      <c r="AQ3" s="209" t="s">
        <v>458</v>
      </c>
      <c r="AR3" s="202"/>
      <c r="AS3" s="202"/>
      <c r="AU3" s="203" t="s">
        <v>388</v>
      </c>
      <c r="BD3" s="208"/>
      <c r="BE3" s="208" t="s">
        <v>437</v>
      </c>
      <c r="BI3" s="208" t="s">
        <v>438</v>
      </c>
      <c r="BJ3" s="208"/>
      <c r="BR3" s="200" t="s">
        <v>386</v>
      </c>
      <c r="BS3" s="201" t="s">
        <v>387</v>
      </c>
      <c r="BT3" s="201"/>
      <c r="BU3" s="213" t="s">
        <v>533</v>
      </c>
      <c r="CA3" s="81" t="s">
        <v>465</v>
      </c>
      <c r="CB3" s="204">
        <v>292</v>
      </c>
      <c r="CC3" s="204">
        <v>0.10299999999999999</v>
      </c>
      <c r="DK3" s="81" t="s">
        <v>391</v>
      </c>
      <c r="DL3" s="286">
        <f>AO4</f>
        <v>0.27176305138123541</v>
      </c>
      <c r="DM3" s="286">
        <f>BU4</f>
        <v>0.1641929</v>
      </c>
      <c r="DN3" s="286">
        <f>BY4</f>
        <v>0.19500000000000001</v>
      </c>
      <c r="DX3" s="212" t="s">
        <v>567</v>
      </c>
    </row>
    <row r="4" spans="1:132" ht="15.75" customHeight="1" thickTop="1" thickBot="1" x14ac:dyDescent="0.35">
      <c r="A4" s="214" t="s">
        <v>6</v>
      </c>
      <c r="B4" s="215">
        <f>'Tabula data'!B5</f>
        <v>710.5</v>
      </c>
      <c r="C4" s="215" t="s">
        <v>7</v>
      </c>
      <c r="D4" s="214" t="s">
        <v>8</v>
      </c>
      <c r="E4" s="215"/>
      <c r="F4" s="215"/>
      <c r="G4" s="216">
        <f>SUM(H6:H13)</f>
        <v>45.4</v>
      </c>
      <c r="H4" s="217" t="s">
        <v>9</v>
      </c>
      <c r="K4" s="324" t="s">
        <v>2</v>
      </c>
      <c r="L4" s="325"/>
      <c r="M4" s="325"/>
      <c r="N4" s="325"/>
      <c r="O4" s="326"/>
      <c r="W4" s="258"/>
      <c r="X4" s="258"/>
      <c r="Y4" s="259" t="s">
        <v>4</v>
      </c>
      <c r="Z4" s="259">
        <v>0.6</v>
      </c>
      <c r="AA4" s="259" t="s">
        <v>5</v>
      </c>
      <c r="AB4" s="258"/>
      <c r="AC4" s="258"/>
      <c r="AD4" s="258"/>
      <c r="AL4" s="154" t="s">
        <v>389</v>
      </c>
      <c r="AM4" s="81" t="s">
        <v>390</v>
      </c>
      <c r="AN4" s="81" t="s">
        <v>391</v>
      </c>
      <c r="AO4" s="81">
        <f>SUM(N6:N9)/SUM($N$6:$N$14,$N$26:$N$27)</f>
        <v>0.27176305138123541</v>
      </c>
      <c r="AP4" s="81" t="s">
        <v>392</v>
      </c>
      <c r="AQ4" s="204">
        <v>0.1641929</v>
      </c>
      <c r="AU4" s="205" t="s">
        <v>389</v>
      </c>
      <c r="AV4" s="205" t="s">
        <v>390</v>
      </c>
      <c r="AW4" s="205" t="s">
        <v>391</v>
      </c>
      <c r="AX4" s="207" t="s">
        <v>434</v>
      </c>
      <c r="AY4" s="206">
        <f>BY4</f>
        <v>0.19500000000000001</v>
      </c>
      <c r="AZ4" s="205" t="s">
        <v>392</v>
      </c>
      <c r="BE4" s="81" t="s">
        <v>281</v>
      </c>
      <c r="BF4" s="81">
        <f>1/(1/AO19+1/AO23)</f>
        <v>74.276866810904366</v>
      </c>
      <c r="BI4" s="81" t="s">
        <v>439</v>
      </c>
      <c r="BJ4" s="81">
        <f>BF4</f>
        <v>74.276866810904366</v>
      </c>
      <c r="BP4" s="154" t="s">
        <v>389</v>
      </c>
      <c r="BQ4" s="81" t="s">
        <v>390</v>
      </c>
      <c r="BR4" s="81" t="s">
        <v>391</v>
      </c>
      <c r="BS4" s="204">
        <f>AQ4</f>
        <v>0.1641929</v>
      </c>
      <c r="BT4" s="81" t="s">
        <v>392</v>
      </c>
      <c r="BU4" s="204">
        <v>0.1641929</v>
      </c>
      <c r="BY4" s="211">
        <f>CB8</f>
        <v>0.19500000000000001</v>
      </c>
      <c r="BZ4" s="211"/>
      <c r="CA4" s="81" t="s">
        <v>466</v>
      </c>
      <c r="CB4" s="204">
        <v>291</v>
      </c>
      <c r="CC4" s="204">
        <v>0.105</v>
      </c>
      <c r="CG4" s="81" t="s">
        <v>497</v>
      </c>
      <c r="CH4" s="81" t="s">
        <v>498</v>
      </c>
      <c r="CM4" s="81" t="s">
        <v>497</v>
      </c>
      <c r="CN4" s="81" t="s">
        <v>507</v>
      </c>
      <c r="DK4" s="81" t="s">
        <v>393</v>
      </c>
      <c r="DL4" s="286">
        <f t="shared" ref="DL4:DL49" si="0">AO5</f>
        <v>0.27176305138123541</v>
      </c>
      <c r="DM4" s="286">
        <f t="shared" ref="DM4:DM49" si="1">BU5</f>
        <v>0.32600000000000001</v>
      </c>
      <c r="DN4" s="286">
        <f t="shared" ref="DN4:DN48" si="2">BY5</f>
        <v>0.38800000000000001</v>
      </c>
      <c r="DP4" s="290" t="s">
        <v>506</v>
      </c>
      <c r="DQ4" s="290" t="s">
        <v>497</v>
      </c>
      <c r="DR4" s="290" t="s">
        <v>540</v>
      </c>
    </row>
    <row r="5" spans="1:132" ht="15" customHeight="1" thickTop="1" thickBot="1" x14ac:dyDescent="0.35">
      <c r="A5" s="218"/>
      <c r="B5" s="219"/>
      <c r="C5" s="219"/>
      <c r="D5" s="220"/>
      <c r="E5" s="221"/>
      <c r="F5" s="221"/>
      <c r="G5" s="221"/>
      <c r="H5" s="222"/>
      <c r="J5" s="81" t="s">
        <v>10</v>
      </c>
      <c r="K5" s="243" t="s">
        <v>11</v>
      </c>
      <c r="L5" s="244" t="s">
        <v>12</v>
      </c>
      <c r="M5" s="244" t="s">
        <v>13</v>
      </c>
      <c r="N5" s="244" t="s">
        <v>14</v>
      </c>
      <c r="O5" s="245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60" t="s">
        <v>20</v>
      </c>
      <c r="X5" s="261"/>
      <c r="Y5" s="262" t="s">
        <v>21</v>
      </c>
      <c r="Z5" s="263">
        <f>1/(1/10+SUM(AC7:AC10)+1/23)</f>
        <v>0.16141672417624836</v>
      </c>
      <c r="AA5" s="261" t="s">
        <v>5</v>
      </c>
      <c r="AB5" s="261"/>
      <c r="AC5" s="261" t="s">
        <v>22</v>
      </c>
      <c r="AD5" s="264">
        <f>SUM(AD7:AD10)</f>
        <v>76776</v>
      </c>
      <c r="AE5" s="14" t="s">
        <v>23</v>
      </c>
      <c r="AF5" s="14">
        <f>SUM(AD9:AD10)</f>
        <v>41076</v>
      </c>
      <c r="AG5" s="14"/>
      <c r="AL5" s="154" t="s">
        <v>389</v>
      </c>
      <c r="AM5" s="81" t="s">
        <v>390</v>
      </c>
      <c r="AN5" s="81" t="s">
        <v>393</v>
      </c>
      <c r="AO5" s="81">
        <f>SUM(N27)/SUM($N$6:$N$14,$N$26:$N$27)</f>
        <v>0.27176305138123541</v>
      </c>
      <c r="AP5" s="81" t="s">
        <v>392</v>
      </c>
      <c r="AQ5" s="204">
        <v>0.32600000000000001</v>
      </c>
      <c r="AU5" s="205" t="s">
        <v>389</v>
      </c>
      <c r="AV5" s="205" t="s">
        <v>390</v>
      </c>
      <c r="AW5" s="205" t="s">
        <v>393</v>
      </c>
      <c r="AX5" s="207" t="s">
        <v>434</v>
      </c>
      <c r="AY5" s="206">
        <f t="shared" ref="AY5:AY50" si="3">BY5</f>
        <v>0.38800000000000001</v>
      </c>
      <c r="AZ5" s="205" t="s">
        <v>392</v>
      </c>
      <c r="BE5" s="81" t="s">
        <v>291</v>
      </c>
      <c r="BF5" s="204">
        <f>AO10</f>
        <v>23146317.810000002</v>
      </c>
      <c r="BI5" s="81" t="s">
        <v>440</v>
      </c>
      <c r="BJ5" s="81">
        <f>BF24</f>
        <v>32.559659151364379</v>
      </c>
      <c r="BP5" s="154" t="s">
        <v>389</v>
      </c>
      <c r="BQ5" s="81" t="s">
        <v>390</v>
      </c>
      <c r="BR5" s="81" t="s">
        <v>393</v>
      </c>
      <c r="BS5" s="204">
        <f t="shared" ref="BS5:BS7" si="4">AQ5</f>
        <v>0.32600000000000001</v>
      </c>
      <c r="BT5" s="81" t="s">
        <v>392</v>
      </c>
      <c r="BU5" s="204">
        <v>0.32600000000000001</v>
      </c>
      <c r="BY5" s="211">
        <f>CB9</f>
        <v>0.38800000000000001</v>
      </c>
      <c r="BZ5" s="211"/>
      <c r="CA5" s="81" t="s">
        <v>467</v>
      </c>
      <c r="CB5" s="204">
        <v>294</v>
      </c>
      <c r="CC5" s="204">
        <v>5.4199999999999998E-2</v>
      </c>
      <c r="CG5" s="81" t="s">
        <v>499</v>
      </c>
      <c r="CM5" s="81" t="s">
        <v>499</v>
      </c>
      <c r="DK5" s="81" t="s">
        <v>394</v>
      </c>
      <c r="DL5" s="286">
        <f t="shared" si="0"/>
        <v>4.9992213295915196E-2</v>
      </c>
      <c r="DM5" s="286">
        <f t="shared" si="1"/>
        <v>0.251</v>
      </c>
      <c r="DN5" s="286">
        <f t="shared" si="2"/>
        <v>6.13E-2</v>
      </c>
      <c r="DP5" s="290" t="s">
        <v>506</v>
      </c>
      <c r="DQ5" s="290" t="s">
        <v>499</v>
      </c>
      <c r="DX5" s="212" t="s">
        <v>568</v>
      </c>
      <c r="DY5" s="292" t="s">
        <v>569</v>
      </c>
      <c r="DZ5" s="292" t="s">
        <v>434</v>
      </c>
      <c r="EA5" s="293">
        <f>DR12</f>
        <v>1.1000000000000001</v>
      </c>
      <c r="EB5" s="212" t="s">
        <v>392</v>
      </c>
    </row>
    <row r="6" spans="1:132" ht="15" customHeight="1" thickTop="1" thickBot="1" x14ac:dyDescent="0.35">
      <c r="A6" s="223" t="s">
        <v>34</v>
      </c>
      <c r="B6" s="224">
        <f>'Tabula data'!B4</f>
        <v>258.39999999999998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0.1526431718061674</v>
      </c>
      <c r="G6" s="221"/>
      <c r="H6" s="228">
        <f>'Tabula data'!B16*'Tabula 2zone Ref 2'!C45</f>
        <v>6.93</v>
      </c>
      <c r="J6" s="81" t="s">
        <v>24</v>
      </c>
      <c r="K6" s="246">
        <v>0</v>
      </c>
      <c r="L6" s="247">
        <v>1</v>
      </c>
      <c r="M6" s="247" t="s">
        <v>25</v>
      </c>
      <c r="N6" s="248">
        <f>'Tabula data'!B10*C42/2*C43</f>
        <v>54.722250000000003</v>
      </c>
      <c r="O6" s="249" t="s">
        <v>26</v>
      </c>
      <c r="P6" s="30">
        <f t="shared" ref="P6:P28" si="6">VLOOKUP(M6,$W$5:$Z$393,4,0)</f>
        <v>0.22509582884017654</v>
      </c>
      <c r="Q6" s="30">
        <f t="shared" ref="Q6:Q28" si="7">P6*N6</f>
        <v>12.317750219749351</v>
      </c>
      <c r="R6" s="30">
        <f t="shared" ref="R6:R14" si="8">VLOOKUP(M6,$W$5:$AD$393,8,0)*N6</f>
        <v>13902970.140675001</v>
      </c>
      <c r="S6" s="30">
        <f t="shared" ref="S6:S14" si="9">R6/N6</f>
        <v>254064.30000000002</v>
      </c>
      <c r="T6" s="30">
        <f t="shared" ref="T6:T14" si="10">VLOOKUP(M6,$W$5:$AF$393,10,0)*N6</f>
        <v>7331687.0550000006</v>
      </c>
      <c r="U6" s="31"/>
      <c r="V6" s="3"/>
      <c r="W6" s="265"/>
      <c r="X6" s="266" t="s">
        <v>27</v>
      </c>
      <c r="Y6" s="266" t="s">
        <v>28</v>
      </c>
      <c r="Z6" s="266" t="s">
        <v>29</v>
      </c>
      <c r="AA6" s="266" t="s">
        <v>30</v>
      </c>
      <c r="AB6" s="266" t="s">
        <v>31</v>
      </c>
      <c r="AC6" s="266" t="s">
        <v>32</v>
      </c>
      <c r="AD6" s="267" t="s">
        <v>33</v>
      </c>
      <c r="AE6" s="14"/>
      <c r="AF6" s="14"/>
      <c r="AG6" s="14"/>
      <c r="AL6" s="154" t="s">
        <v>389</v>
      </c>
      <c r="AM6" s="81" t="s">
        <v>390</v>
      </c>
      <c r="AN6" s="81" t="s">
        <v>394</v>
      </c>
      <c r="AO6" s="81">
        <f>SUM(N10:N13)/SUM($N$6:$N$14,$N$26:$N$27)</f>
        <v>4.9992213295915196E-2</v>
      </c>
      <c r="AP6" s="81" t="s">
        <v>392</v>
      </c>
      <c r="AQ6" s="204">
        <v>0.251</v>
      </c>
      <c r="AU6" s="205" t="s">
        <v>389</v>
      </c>
      <c r="AV6" s="205" t="s">
        <v>390</v>
      </c>
      <c r="AW6" s="205" t="s">
        <v>394</v>
      </c>
      <c r="AX6" s="207" t="s">
        <v>434</v>
      </c>
      <c r="AY6" s="206">
        <f t="shared" si="3"/>
        <v>6.13E-2</v>
      </c>
      <c r="AZ6" s="205" t="s">
        <v>392</v>
      </c>
      <c r="BE6" s="81" t="s">
        <v>282</v>
      </c>
      <c r="BF6" s="3">
        <f>AO22</f>
        <v>96.114010526315809</v>
      </c>
      <c r="BI6" s="81" t="s">
        <v>441</v>
      </c>
      <c r="BJ6" s="3">
        <f>BF6</f>
        <v>96.114010526315809</v>
      </c>
      <c r="BP6" s="154" t="s">
        <v>389</v>
      </c>
      <c r="BQ6" s="81" t="s">
        <v>390</v>
      </c>
      <c r="BR6" s="81" t="s">
        <v>394</v>
      </c>
      <c r="BS6" s="204">
        <f t="shared" si="4"/>
        <v>0.251</v>
      </c>
      <c r="BT6" s="81" t="s">
        <v>392</v>
      </c>
      <c r="BU6" s="204">
        <v>0.251</v>
      </c>
      <c r="BY6" s="211">
        <f>CB10</f>
        <v>6.13E-2</v>
      </c>
      <c r="BZ6" s="211"/>
      <c r="CA6" s="81" t="s">
        <v>468</v>
      </c>
      <c r="CB6" s="204">
        <v>290</v>
      </c>
      <c r="CC6" s="204">
        <v>0.111</v>
      </c>
      <c r="CG6" s="81" t="s">
        <v>500</v>
      </c>
      <c r="CH6" s="81" t="s">
        <v>501</v>
      </c>
      <c r="CI6" s="81" t="s">
        <v>502</v>
      </c>
      <c r="CJ6" s="81" t="s">
        <v>503</v>
      </c>
      <c r="CK6" s="81" t="s">
        <v>504</v>
      </c>
      <c r="CM6" s="81" t="s">
        <v>500</v>
      </c>
      <c r="CN6" s="81" t="s">
        <v>501</v>
      </c>
      <c r="CO6" s="81" t="s">
        <v>502</v>
      </c>
      <c r="CP6" s="81" t="s">
        <v>503</v>
      </c>
      <c r="CQ6" s="81" t="s">
        <v>504</v>
      </c>
      <c r="CR6" s="81" t="s">
        <v>508</v>
      </c>
      <c r="CU6" s="212" t="s">
        <v>506</v>
      </c>
      <c r="CV6" s="81" t="s">
        <v>497</v>
      </c>
      <c r="CW6" s="81" t="s">
        <v>521</v>
      </c>
      <c r="DK6" s="81" t="s">
        <v>395</v>
      </c>
      <c r="DL6" s="286">
        <f t="shared" si="0"/>
        <v>0.2183423286807121</v>
      </c>
      <c r="DM6" s="286">
        <f t="shared" si="1"/>
        <v>0.13800000000000001</v>
      </c>
      <c r="DN6" s="286">
        <f t="shared" si="2"/>
        <v>0.17799999999999999</v>
      </c>
      <c r="DP6" s="290" t="s">
        <v>506</v>
      </c>
      <c r="DQ6" s="290" t="s">
        <v>500</v>
      </c>
      <c r="DR6" s="290" t="s">
        <v>501</v>
      </c>
      <c r="DS6" s="290" t="s">
        <v>502</v>
      </c>
      <c r="DT6" s="290" t="s">
        <v>503</v>
      </c>
      <c r="DU6" s="290" t="s">
        <v>504</v>
      </c>
      <c r="DV6" s="290" t="s">
        <v>508</v>
      </c>
      <c r="DX6" s="212" t="s">
        <v>568</v>
      </c>
      <c r="DY6" s="292" t="s">
        <v>570</v>
      </c>
      <c r="DZ6" s="292" t="s">
        <v>434</v>
      </c>
      <c r="EA6" s="293">
        <f t="shared" ref="EA6:EA24" si="11">DR13</f>
        <v>0.81100000000000005</v>
      </c>
      <c r="EB6" s="212" t="s">
        <v>392</v>
      </c>
    </row>
    <row r="7" spans="1:132" ht="15" customHeight="1" thickTop="1" thickBot="1" x14ac:dyDescent="0.35">
      <c r="A7" s="226" t="s">
        <v>42</v>
      </c>
      <c r="B7" s="229">
        <f>'Tabula data'!B14</f>
        <v>138.80000000000001</v>
      </c>
      <c r="C7" s="230" t="s">
        <v>9</v>
      </c>
      <c r="D7" s="226" t="s">
        <v>43</v>
      </c>
      <c r="E7" s="221" t="s">
        <v>36</v>
      </c>
      <c r="F7" s="227">
        <f t="shared" si="5"/>
        <v>0.17114537444933919</v>
      </c>
      <c r="G7" s="221"/>
      <c r="H7" s="228">
        <f>'Tabula data'!B17*'Tabula 2zone Ref 2'!C45</f>
        <v>7.77</v>
      </c>
      <c r="J7" s="81" t="s">
        <v>38</v>
      </c>
      <c r="K7" s="250">
        <v>0</v>
      </c>
      <c r="L7" s="251">
        <v>1</v>
      </c>
      <c r="M7" s="251" t="s">
        <v>25</v>
      </c>
      <c r="N7" s="252">
        <f>'Tabula data'!B10*(1-C42)/2*C44</f>
        <v>31.657499999999995</v>
      </c>
      <c r="O7" s="253" t="s">
        <v>39</v>
      </c>
      <c r="P7" s="30">
        <f t="shared" si="6"/>
        <v>0.22509582884017654</v>
      </c>
      <c r="Q7" s="30">
        <f t="shared" si="7"/>
        <v>7.1259712015078875</v>
      </c>
      <c r="R7" s="30">
        <f t="shared" si="8"/>
        <v>8043040.5772499982</v>
      </c>
      <c r="S7" s="30">
        <f t="shared" si="9"/>
        <v>254064.3</v>
      </c>
      <c r="T7" s="30">
        <f t="shared" si="10"/>
        <v>4241471.8499999996</v>
      </c>
      <c r="U7" s="31"/>
      <c r="V7" s="3"/>
      <c r="W7" s="220"/>
      <c r="X7" s="221" t="s">
        <v>40</v>
      </c>
      <c r="Y7" s="221">
        <v>2.5000000000000001E-2</v>
      </c>
      <c r="Z7" s="221">
        <v>1</v>
      </c>
      <c r="AA7" s="221">
        <v>1700</v>
      </c>
      <c r="AB7" s="221">
        <v>840</v>
      </c>
      <c r="AC7" s="268">
        <f>Y7/Z7</f>
        <v>2.5000000000000001E-2</v>
      </c>
      <c r="AD7" s="222">
        <f>Y7*AA7*AB7</f>
        <v>35700</v>
      </c>
      <c r="AE7" s="14" t="s">
        <v>41</v>
      </c>
      <c r="AF7" s="14"/>
      <c r="AG7" s="14"/>
      <c r="AL7" s="154" t="s">
        <v>389</v>
      </c>
      <c r="AM7" s="81" t="s">
        <v>390</v>
      </c>
      <c r="AN7" s="81" t="s">
        <v>395</v>
      </c>
      <c r="AO7" s="81">
        <f>SUM(N14)/SUM(N6:N14,N27,N26)</f>
        <v>0.2183423286807121</v>
      </c>
      <c r="AP7" s="81" t="s">
        <v>392</v>
      </c>
      <c r="AQ7" s="204">
        <v>0.13800000000000001</v>
      </c>
      <c r="AU7" s="205" t="s">
        <v>389</v>
      </c>
      <c r="AV7" s="205" t="s">
        <v>390</v>
      </c>
      <c r="AW7" s="205" t="s">
        <v>395</v>
      </c>
      <c r="AX7" s="207" t="s">
        <v>434</v>
      </c>
      <c r="AY7" s="206">
        <f t="shared" si="3"/>
        <v>0.17799999999999999</v>
      </c>
      <c r="AZ7" s="205" t="s">
        <v>392</v>
      </c>
      <c r="BE7" s="81" t="s">
        <v>122</v>
      </c>
      <c r="BF7" s="204">
        <f>AO9</f>
        <v>2556473.9200000004</v>
      </c>
      <c r="BI7" s="81" t="s">
        <v>442</v>
      </c>
      <c r="BJ7" s="3">
        <f>BF25</f>
        <v>67.67838947368422</v>
      </c>
      <c r="BP7" s="154" t="s">
        <v>389</v>
      </c>
      <c r="BQ7" s="81" t="s">
        <v>390</v>
      </c>
      <c r="BR7" s="81" t="s">
        <v>395</v>
      </c>
      <c r="BS7" s="204">
        <f t="shared" si="4"/>
        <v>0.13800000000000001</v>
      </c>
      <c r="BT7" s="81" t="s">
        <v>392</v>
      </c>
      <c r="BU7" s="204">
        <v>0.13800000000000001</v>
      </c>
      <c r="BY7" s="211">
        <f>CB11</f>
        <v>0.17799999999999999</v>
      </c>
      <c r="BZ7" s="211"/>
      <c r="CA7" s="81" t="s">
        <v>469</v>
      </c>
      <c r="CB7" s="204">
        <v>292</v>
      </c>
      <c r="CC7" s="204">
        <v>6.6199999999999995E-2</v>
      </c>
      <c r="CG7" s="81" t="s">
        <v>465</v>
      </c>
      <c r="CH7" s="204">
        <v>292</v>
      </c>
      <c r="CI7" s="204">
        <v>0.10299999999999999</v>
      </c>
      <c r="CJ7" s="81">
        <v>2836.8</v>
      </c>
      <c r="CK7" s="81" t="s">
        <v>505</v>
      </c>
      <c r="CM7" s="81" t="s">
        <v>465</v>
      </c>
      <c r="CN7" s="204">
        <v>290</v>
      </c>
      <c r="CO7" s="204">
        <v>0.23599999999999999</v>
      </c>
      <c r="CP7" s="81">
        <v>1228.6600000000001</v>
      </c>
      <c r="CQ7" s="81" t="s">
        <v>509</v>
      </c>
      <c r="CR7" s="204">
        <v>2E-16</v>
      </c>
      <c r="CS7" s="81" t="s">
        <v>510</v>
      </c>
      <c r="CU7" s="212" t="s">
        <v>506</v>
      </c>
      <c r="CV7" s="81" t="s">
        <v>499</v>
      </c>
      <c r="DL7" s="287">
        <f t="shared" si="0"/>
        <v>0</v>
      </c>
      <c r="DM7" s="287">
        <f t="shared" si="1"/>
        <v>0</v>
      </c>
      <c r="DN7" s="287">
        <f t="shared" si="2"/>
        <v>0</v>
      </c>
      <c r="DP7" s="290" t="s">
        <v>506</v>
      </c>
      <c r="DQ7" s="290" t="s">
        <v>465</v>
      </c>
      <c r="DR7" s="291">
        <v>292</v>
      </c>
      <c r="DS7" s="291">
        <v>0.11</v>
      </c>
      <c r="DT7" s="290">
        <v>2660.75</v>
      </c>
      <c r="DU7" s="290" t="s">
        <v>509</v>
      </c>
      <c r="DV7" s="291">
        <v>2E-16</v>
      </c>
      <c r="DW7" s="81" t="s">
        <v>510</v>
      </c>
      <c r="DX7" s="212" t="s">
        <v>568</v>
      </c>
      <c r="DY7" s="294" t="s">
        <v>571</v>
      </c>
      <c r="DZ7" s="292" t="s">
        <v>434</v>
      </c>
      <c r="EA7" s="293">
        <f t="shared" si="11"/>
        <v>1.17</v>
      </c>
      <c r="EB7" s="212" t="s">
        <v>392</v>
      </c>
    </row>
    <row r="8" spans="1:132" ht="15" customHeight="1" thickTop="1" thickBot="1" x14ac:dyDescent="0.35">
      <c r="A8" s="226" t="s">
        <v>47</v>
      </c>
      <c r="B8" s="229">
        <f>B6-B7</f>
        <v>119.59999999999997</v>
      </c>
      <c r="C8" s="221"/>
      <c r="D8" s="226" t="s">
        <v>48</v>
      </c>
      <c r="E8" s="221" t="s">
        <v>36</v>
      </c>
      <c r="F8" s="227">
        <f t="shared" si="5"/>
        <v>0.20044052863436124</v>
      </c>
      <c r="G8" s="221"/>
      <c r="H8" s="228">
        <f>'Tabula data'!B18*C45</f>
        <v>9.1</v>
      </c>
      <c r="J8" s="81" t="s">
        <v>44</v>
      </c>
      <c r="K8" s="250">
        <v>0</v>
      </c>
      <c r="L8" s="251">
        <v>1</v>
      </c>
      <c r="M8" s="251" t="s">
        <v>25</v>
      </c>
      <c r="N8" s="252">
        <f>'Tabula data'!B10*C42/2*C43</f>
        <v>54.722250000000003</v>
      </c>
      <c r="O8" s="253" t="s">
        <v>45</v>
      </c>
      <c r="P8" s="30">
        <f t="shared" si="6"/>
        <v>0.22509582884017654</v>
      </c>
      <c r="Q8" s="30">
        <f t="shared" si="7"/>
        <v>12.317750219749351</v>
      </c>
      <c r="R8" s="30">
        <f t="shared" si="8"/>
        <v>13902970.140675001</v>
      </c>
      <c r="S8" s="30">
        <f t="shared" si="9"/>
        <v>254064.30000000002</v>
      </c>
      <c r="T8" s="30">
        <f t="shared" si="10"/>
        <v>7331687.0550000006</v>
      </c>
      <c r="U8" s="31"/>
      <c r="V8" s="3"/>
      <c r="W8" s="220"/>
      <c r="X8" s="221" t="s">
        <v>46</v>
      </c>
      <c r="Y8" s="221">
        <v>0</v>
      </c>
      <c r="Z8" s="221">
        <v>0</v>
      </c>
      <c r="AA8" s="221">
        <v>0</v>
      </c>
      <c r="AB8" s="221">
        <v>0</v>
      </c>
      <c r="AC8" s="268">
        <v>0.16</v>
      </c>
      <c r="AD8" s="222">
        <f>Y8*AA8*AB8</f>
        <v>0</v>
      </c>
      <c r="AE8" s="14"/>
      <c r="AF8" s="14"/>
      <c r="AG8" s="14"/>
      <c r="AP8" s="81" t="s">
        <v>392</v>
      </c>
      <c r="AQ8" s="204"/>
      <c r="AU8" s="205"/>
      <c r="AV8" s="205"/>
      <c r="AW8" s="205"/>
      <c r="AX8" s="207"/>
      <c r="AZ8" s="205"/>
      <c r="BS8" s="204">
        <f>AQ8</f>
        <v>0</v>
      </c>
      <c r="BT8" s="81" t="s">
        <v>392</v>
      </c>
      <c r="BU8" s="204"/>
      <c r="CA8" s="81" t="s">
        <v>470</v>
      </c>
      <c r="CB8" s="204">
        <v>0.19500000000000001</v>
      </c>
      <c r="CC8" s="204">
        <v>1.0499999999999999E-3</v>
      </c>
      <c r="CG8" s="81" t="s">
        <v>466</v>
      </c>
      <c r="CH8" s="204">
        <v>291</v>
      </c>
      <c r="CI8" s="204">
        <v>0.105</v>
      </c>
      <c r="CJ8" s="81">
        <v>2780.29</v>
      </c>
      <c r="CK8" s="81" t="s">
        <v>505</v>
      </c>
      <c r="CM8" s="81" t="s">
        <v>466</v>
      </c>
      <c r="CN8" s="204">
        <v>285</v>
      </c>
      <c r="CO8" s="204">
        <v>0.35499999999999998</v>
      </c>
      <c r="CP8" s="81">
        <v>802.92</v>
      </c>
      <c r="CQ8" s="81" t="s">
        <v>509</v>
      </c>
      <c r="CR8" s="204">
        <v>2E-16</v>
      </c>
      <c r="CS8" s="81" t="s">
        <v>510</v>
      </c>
      <c r="CU8" s="212" t="s">
        <v>506</v>
      </c>
      <c r="CV8" s="81" t="s">
        <v>500</v>
      </c>
      <c r="CW8" s="81" t="s">
        <v>501</v>
      </c>
      <c r="CX8" s="81" t="s">
        <v>502</v>
      </c>
      <c r="CY8" s="81" t="s">
        <v>503</v>
      </c>
      <c r="CZ8" s="81" t="s">
        <v>504</v>
      </c>
      <c r="DA8" s="81" t="s">
        <v>508</v>
      </c>
      <c r="DK8" s="81" t="s">
        <v>396</v>
      </c>
      <c r="DL8" s="288">
        <f t="shared" si="0"/>
        <v>2556473.9200000004</v>
      </c>
      <c r="DM8" s="288">
        <f t="shared" si="1"/>
        <v>2850000</v>
      </c>
      <c r="DN8" s="288">
        <f t="shared" si="2"/>
        <v>3460000</v>
      </c>
      <c r="DP8" s="290" t="s">
        <v>506</v>
      </c>
      <c r="DQ8" s="290" t="s">
        <v>466</v>
      </c>
      <c r="DR8" s="291">
        <v>291</v>
      </c>
      <c r="DS8" s="291">
        <v>9.2899999999999996E-2</v>
      </c>
      <c r="DT8" s="290">
        <v>3129.74</v>
      </c>
      <c r="DU8" s="290" t="s">
        <v>509</v>
      </c>
      <c r="DV8" s="291">
        <v>2E-16</v>
      </c>
      <c r="DW8" s="81" t="s">
        <v>510</v>
      </c>
      <c r="DX8" s="212" t="s">
        <v>568</v>
      </c>
      <c r="DY8" s="295" t="s">
        <v>572</v>
      </c>
      <c r="DZ8" s="292" t="s">
        <v>434</v>
      </c>
      <c r="EA8" s="293">
        <f t="shared" si="11"/>
        <v>0.99</v>
      </c>
      <c r="EB8" s="212" t="s">
        <v>392</v>
      </c>
    </row>
    <row r="9" spans="1:132" ht="15" customHeight="1" thickTop="1" thickBot="1" x14ac:dyDescent="0.35">
      <c r="A9" s="220"/>
      <c r="B9" s="221"/>
      <c r="C9" s="221"/>
      <c r="D9" s="226" t="s">
        <v>52</v>
      </c>
      <c r="E9" s="231" t="s">
        <v>36</v>
      </c>
      <c r="F9" s="227">
        <f t="shared" si="5"/>
        <v>0.17577092511013215</v>
      </c>
      <c r="G9" s="221"/>
      <c r="H9" s="228">
        <f>'Tabula data'!B19*'Tabula 2zone Ref 2'!C45</f>
        <v>7.9799999999999995</v>
      </c>
      <c r="J9" s="81" t="s">
        <v>49</v>
      </c>
      <c r="K9" s="250">
        <v>0</v>
      </c>
      <c r="L9" s="251">
        <v>1</v>
      </c>
      <c r="M9" s="251" t="s">
        <v>25</v>
      </c>
      <c r="N9" s="252">
        <f>'Tabula data'!B10*(1-C42)/2*C44</f>
        <v>31.657499999999995</v>
      </c>
      <c r="O9" s="253" t="s">
        <v>50</v>
      </c>
      <c r="P9" s="30">
        <f t="shared" si="6"/>
        <v>0.22509582884017654</v>
      </c>
      <c r="Q9" s="30">
        <f t="shared" si="7"/>
        <v>7.1259712015078875</v>
      </c>
      <c r="R9" s="30">
        <f t="shared" si="8"/>
        <v>8043040.5772499982</v>
      </c>
      <c r="S9" s="30">
        <f t="shared" si="9"/>
        <v>254064.3</v>
      </c>
      <c r="T9" s="30">
        <f t="shared" si="10"/>
        <v>4241471.8499999996</v>
      </c>
      <c r="U9" s="31"/>
      <c r="V9" s="3"/>
      <c r="W9" s="220"/>
      <c r="X9" s="231" t="s">
        <v>267</v>
      </c>
      <c r="Y9" s="303">
        <v>0.21</v>
      </c>
      <c r="Z9" s="221">
        <v>3.5999999999999997E-2</v>
      </c>
      <c r="AA9" s="221">
        <v>80</v>
      </c>
      <c r="AB9" s="221">
        <v>1470</v>
      </c>
      <c r="AC9" s="268">
        <f>Y9/Z9</f>
        <v>5.8333333333333339</v>
      </c>
      <c r="AD9" s="222">
        <f>Y9*AA9*AB9</f>
        <v>24696</v>
      </c>
      <c r="AE9" s="14"/>
      <c r="AF9" s="14"/>
      <c r="AG9" s="14"/>
      <c r="AL9" s="154" t="s">
        <v>389</v>
      </c>
      <c r="AM9" s="81" t="s">
        <v>390</v>
      </c>
      <c r="AN9" s="81" t="s">
        <v>396</v>
      </c>
      <c r="AO9" s="204">
        <f>B34*1.04*1012*5</f>
        <v>2556473.9200000004</v>
      </c>
      <c r="AP9" s="81" t="s">
        <v>392</v>
      </c>
      <c r="AQ9" s="204">
        <v>2850000</v>
      </c>
      <c r="AU9" s="205" t="s">
        <v>389</v>
      </c>
      <c r="AV9" s="205" t="s">
        <v>390</v>
      </c>
      <c r="AW9" s="205" t="s">
        <v>396</v>
      </c>
      <c r="AX9" s="207" t="s">
        <v>434</v>
      </c>
      <c r="AY9" s="206">
        <f t="shared" si="3"/>
        <v>3460000</v>
      </c>
      <c r="AZ9" s="205" t="s">
        <v>392</v>
      </c>
      <c r="BE9" s="81" t="s">
        <v>285</v>
      </c>
      <c r="BF9" s="81">
        <f>AO21</f>
        <v>1199.8730546623794</v>
      </c>
      <c r="BI9" s="81" t="s">
        <v>443</v>
      </c>
      <c r="BJ9" s="204">
        <f>BF5</f>
        <v>23146317.810000002</v>
      </c>
      <c r="BP9" s="154" t="s">
        <v>389</v>
      </c>
      <c r="BQ9" s="81" t="s">
        <v>390</v>
      </c>
      <c r="BR9" s="81" t="s">
        <v>396</v>
      </c>
      <c r="BS9" s="204">
        <f>AQ9</f>
        <v>2850000</v>
      </c>
      <c r="BT9" s="81" t="s">
        <v>392</v>
      </c>
      <c r="BU9" s="204">
        <v>2850000</v>
      </c>
      <c r="BY9" s="211">
        <f>CB15</f>
        <v>3460000</v>
      </c>
      <c r="BZ9" s="211"/>
      <c r="CA9" s="81" t="s">
        <v>471</v>
      </c>
      <c r="CB9" s="204">
        <v>0.38800000000000001</v>
      </c>
      <c r="CC9" s="204">
        <v>1.15E-3</v>
      </c>
      <c r="CG9" s="81" t="s">
        <v>467</v>
      </c>
      <c r="CH9" s="204">
        <v>294</v>
      </c>
      <c r="CI9" s="204">
        <v>5.4199999999999998E-2</v>
      </c>
      <c r="CJ9" s="81">
        <v>5435.78</v>
      </c>
      <c r="CK9" s="81" t="s">
        <v>505</v>
      </c>
      <c r="CM9" s="81" t="s">
        <v>467</v>
      </c>
      <c r="CN9" s="204">
        <v>291</v>
      </c>
      <c r="CO9" s="204">
        <v>0.127</v>
      </c>
      <c r="CP9" s="81">
        <v>2291.35</v>
      </c>
      <c r="CQ9" s="81" t="s">
        <v>509</v>
      </c>
      <c r="CR9" s="204">
        <v>2E-16</v>
      </c>
      <c r="CS9" s="81" t="s">
        <v>510</v>
      </c>
      <c r="CU9" s="212" t="s">
        <v>506</v>
      </c>
      <c r="CV9" s="81" t="s">
        <v>522</v>
      </c>
      <c r="CW9" s="204">
        <v>294</v>
      </c>
      <c r="CX9" s="204">
        <v>3.8399999999999998E-5</v>
      </c>
      <c r="CY9" s="81">
        <v>7667965</v>
      </c>
      <c r="CZ9" s="81" t="s">
        <v>505</v>
      </c>
      <c r="DA9" s="81" t="s">
        <v>510</v>
      </c>
      <c r="DK9" s="81" t="s">
        <v>397</v>
      </c>
      <c r="DL9" s="288">
        <f t="shared" si="0"/>
        <v>23146317.810000002</v>
      </c>
      <c r="DM9" s="288">
        <f t="shared" si="1"/>
        <v>19700000</v>
      </c>
      <c r="DN9" s="288">
        <f t="shared" si="2"/>
        <v>23000000</v>
      </c>
      <c r="DP9" s="290" t="s">
        <v>506</v>
      </c>
      <c r="DQ9" s="290" t="s">
        <v>467</v>
      </c>
      <c r="DR9" s="291">
        <v>294</v>
      </c>
      <c r="DS9" s="291">
        <v>4.9799999999999997E-2</v>
      </c>
      <c r="DT9" s="290">
        <v>5913.11</v>
      </c>
      <c r="DU9" s="290" t="s">
        <v>509</v>
      </c>
      <c r="DV9" s="291">
        <v>2E-16</v>
      </c>
      <c r="DW9" s="81" t="s">
        <v>510</v>
      </c>
      <c r="DX9" s="212" t="s">
        <v>568</v>
      </c>
      <c r="DY9" s="295" t="s">
        <v>573</v>
      </c>
      <c r="DZ9" s="292" t="s">
        <v>434</v>
      </c>
      <c r="EA9" s="293">
        <f t="shared" si="11"/>
        <v>2.17</v>
      </c>
      <c r="EB9" s="212" t="s">
        <v>392</v>
      </c>
    </row>
    <row r="10" spans="1:132" ht="15" customHeight="1" thickTop="1" thickBot="1" x14ac:dyDescent="0.35">
      <c r="A10" s="220"/>
      <c r="B10" s="221"/>
      <c r="C10" s="221"/>
      <c r="D10" s="226" t="s">
        <v>35</v>
      </c>
      <c r="E10" s="231" t="s">
        <v>56</v>
      </c>
      <c r="F10" s="227">
        <f t="shared" si="5"/>
        <v>6.5418502202643183E-2</v>
      </c>
      <c r="G10" s="221"/>
      <c r="H10" s="232">
        <f>'Tabula data'!B16*(1-C45)</f>
        <v>2.9700000000000006</v>
      </c>
      <c r="J10" s="81" t="s">
        <v>53</v>
      </c>
      <c r="K10" s="250">
        <v>0</v>
      </c>
      <c r="L10" s="251">
        <v>1</v>
      </c>
      <c r="M10" s="251" t="s">
        <v>54</v>
      </c>
      <c r="N10" s="252">
        <f>H6</f>
        <v>6.93</v>
      </c>
      <c r="O10" s="253" t="s">
        <v>26</v>
      </c>
      <c r="P10" s="30">
        <f t="shared" si="6"/>
        <v>1.1000000000000001</v>
      </c>
      <c r="Q10" s="30">
        <f t="shared" si="7"/>
        <v>7.6230000000000002</v>
      </c>
      <c r="R10" s="30">
        <f t="shared" si="8"/>
        <v>0</v>
      </c>
      <c r="S10" s="30">
        <f t="shared" si="9"/>
        <v>0</v>
      </c>
      <c r="T10" s="30">
        <f t="shared" si="10"/>
        <v>0</v>
      </c>
      <c r="U10" s="31"/>
      <c r="V10" s="3"/>
      <c r="W10" s="237"/>
      <c r="X10" s="219" t="s">
        <v>58</v>
      </c>
      <c r="Y10" s="219">
        <v>0.02</v>
      </c>
      <c r="Z10" s="219">
        <v>0.6</v>
      </c>
      <c r="AA10" s="219">
        <v>975</v>
      </c>
      <c r="AB10" s="219">
        <v>840</v>
      </c>
      <c r="AC10" s="269">
        <f>Y10/Z10</f>
        <v>3.3333333333333333E-2</v>
      </c>
      <c r="AD10" s="242">
        <f>Y10*AA10*AB10</f>
        <v>16380</v>
      </c>
      <c r="AE10" s="14"/>
      <c r="AF10" s="14"/>
      <c r="AG10" s="14"/>
      <c r="AL10" s="154" t="s">
        <v>389</v>
      </c>
      <c r="AM10" s="81" t="s">
        <v>390</v>
      </c>
      <c r="AN10" s="81" t="s">
        <v>397</v>
      </c>
      <c r="AO10" s="204">
        <f>SUM(T6:T9)</f>
        <v>23146317.810000002</v>
      </c>
      <c r="AP10" s="81" t="s">
        <v>392</v>
      </c>
      <c r="AQ10" s="204">
        <v>19700000</v>
      </c>
      <c r="AU10" s="205" t="s">
        <v>389</v>
      </c>
      <c r="AV10" s="205" t="s">
        <v>390</v>
      </c>
      <c r="AW10" s="205" t="s">
        <v>397</v>
      </c>
      <c r="AX10" s="207" t="s">
        <v>434</v>
      </c>
      <c r="AY10" s="206">
        <f t="shared" si="3"/>
        <v>23000000</v>
      </c>
      <c r="AZ10" s="205" t="s">
        <v>392</v>
      </c>
      <c r="BE10" s="81" t="s">
        <v>293</v>
      </c>
      <c r="BF10" s="204">
        <f>AO11</f>
        <v>34102725.300000004</v>
      </c>
      <c r="BI10" s="81" t="s">
        <v>444</v>
      </c>
      <c r="BJ10" s="204">
        <f>BF26</f>
        <v>15996218.490000002</v>
      </c>
      <c r="BP10" s="154" t="s">
        <v>389</v>
      </c>
      <c r="BQ10" s="81" t="s">
        <v>390</v>
      </c>
      <c r="BR10" s="81" t="s">
        <v>397</v>
      </c>
      <c r="BS10" s="204">
        <f t="shared" ref="BS10:BS12" si="12">AQ10</f>
        <v>19700000</v>
      </c>
      <c r="BT10" s="81" t="s">
        <v>392</v>
      </c>
      <c r="BU10" s="204">
        <v>19700000</v>
      </c>
      <c r="BY10" s="211">
        <f>CB16</f>
        <v>23000000</v>
      </c>
      <c r="BZ10" s="211"/>
      <c r="CA10" s="81" t="s">
        <v>472</v>
      </c>
      <c r="CB10" s="204">
        <v>6.13E-2</v>
      </c>
      <c r="CC10" s="204">
        <v>5.5399999999999998E-3</v>
      </c>
      <c r="CG10" s="81" t="s">
        <v>468</v>
      </c>
      <c r="CH10" s="204">
        <v>290</v>
      </c>
      <c r="CI10" s="204">
        <v>0.111</v>
      </c>
      <c r="CJ10" s="81">
        <v>2606.75</v>
      </c>
      <c r="CK10" s="81" t="s">
        <v>505</v>
      </c>
      <c r="CM10" s="81" t="s">
        <v>468</v>
      </c>
      <c r="CN10" s="204">
        <v>294</v>
      </c>
      <c r="CO10" s="204">
        <v>0.20300000000000001</v>
      </c>
      <c r="CP10" s="81">
        <v>1448.79</v>
      </c>
      <c r="CQ10" s="81" t="s">
        <v>509</v>
      </c>
      <c r="CR10" s="204">
        <v>2E-16</v>
      </c>
      <c r="CS10" s="81" t="s">
        <v>510</v>
      </c>
      <c r="CU10" s="212" t="s">
        <v>506</v>
      </c>
      <c r="CV10" s="81" t="s">
        <v>523</v>
      </c>
      <c r="CW10" s="204">
        <v>294</v>
      </c>
      <c r="CX10" s="204">
        <v>2.7399999999999999E-5</v>
      </c>
      <c r="CY10" s="81">
        <v>10703458</v>
      </c>
      <c r="CZ10" s="81" t="s">
        <v>505</v>
      </c>
      <c r="DA10" s="81" t="s">
        <v>510</v>
      </c>
      <c r="DE10" s="81" t="s">
        <v>389</v>
      </c>
      <c r="DF10" s="81" t="s">
        <v>390</v>
      </c>
      <c r="DG10" s="81" t="str">
        <f>CV17</f>
        <v>abs1D</v>
      </c>
      <c r="DH10" s="81" t="s">
        <v>434</v>
      </c>
      <c r="DI10" s="204">
        <f>CW17</f>
        <v>0.17</v>
      </c>
      <c r="DJ10" s="81" t="s">
        <v>392</v>
      </c>
      <c r="DK10" s="81" t="s">
        <v>398</v>
      </c>
      <c r="DL10" s="288">
        <f t="shared" si="0"/>
        <v>34102725.300000004</v>
      </c>
      <c r="DM10" s="288">
        <f t="shared" si="1"/>
        <v>33400000</v>
      </c>
      <c r="DN10" s="288">
        <f t="shared" si="2"/>
        <v>28700000</v>
      </c>
      <c r="DP10" s="290" t="s">
        <v>506</v>
      </c>
      <c r="DQ10" s="290" t="s">
        <v>468</v>
      </c>
      <c r="DR10" s="291">
        <v>290</v>
      </c>
      <c r="DS10" s="291">
        <v>8.9300000000000004E-2</v>
      </c>
      <c r="DT10" s="290">
        <v>3249.93</v>
      </c>
      <c r="DU10" s="290" t="s">
        <v>509</v>
      </c>
      <c r="DV10" s="291">
        <v>2E-16</v>
      </c>
      <c r="DW10" s="81" t="s">
        <v>510</v>
      </c>
      <c r="DX10" s="212" t="s">
        <v>568</v>
      </c>
      <c r="DY10" s="295" t="s">
        <v>574</v>
      </c>
      <c r="DZ10" s="292" t="s">
        <v>434</v>
      </c>
      <c r="EA10" s="293">
        <f t="shared" si="11"/>
        <v>1.49</v>
      </c>
      <c r="EB10" s="212" t="s">
        <v>392</v>
      </c>
    </row>
    <row r="11" spans="1:132" ht="15" customHeight="1" thickTop="1" thickBot="1" x14ac:dyDescent="0.35">
      <c r="A11" s="220"/>
      <c r="B11" s="221"/>
      <c r="C11" s="221"/>
      <c r="D11" s="226" t="s">
        <v>43</v>
      </c>
      <c r="E11" s="231" t="s">
        <v>56</v>
      </c>
      <c r="F11" s="227">
        <f t="shared" si="5"/>
        <v>7.3348017621145387E-2</v>
      </c>
      <c r="G11" s="221"/>
      <c r="H11" s="232">
        <f>'Tabula data'!B17*(1-'Tabula 2zone Ref 2'!C45)</f>
        <v>3.3300000000000005</v>
      </c>
      <c r="J11" s="81" t="s">
        <v>57</v>
      </c>
      <c r="K11" s="250">
        <v>0</v>
      </c>
      <c r="L11" s="251">
        <v>1</v>
      </c>
      <c r="M11" s="251" t="s">
        <v>54</v>
      </c>
      <c r="N11" s="252">
        <f>H7</f>
        <v>7.77</v>
      </c>
      <c r="O11" s="253" t="s">
        <v>39</v>
      </c>
      <c r="P11" s="30">
        <f t="shared" si="6"/>
        <v>1.1000000000000001</v>
      </c>
      <c r="Q11" s="30">
        <f t="shared" si="7"/>
        <v>8.5470000000000006</v>
      </c>
      <c r="R11" s="30">
        <f t="shared" si="8"/>
        <v>0</v>
      </c>
      <c r="S11" s="30">
        <f t="shared" si="9"/>
        <v>0</v>
      </c>
      <c r="T11" s="30">
        <f t="shared" si="10"/>
        <v>0</v>
      </c>
      <c r="U11" s="31"/>
      <c r="V11" s="3"/>
      <c r="W11" s="221"/>
      <c r="X11" s="221"/>
      <c r="Y11" s="270"/>
      <c r="Z11" s="270"/>
      <c r="AA11" s="270"/>
      <c r="AB11" s="221"/>
      <c r="AC11" s="268"/>
      <c r="AD11" s="221"/>
      <c r="AE11" s="14"/>
      <c r="AF11" s="14"/>
      <c r="AG11" s="14"/>
      <c r="AL11" s="154" t="s">
        <v>389</v>
      </c>
      <c r="AM11" s="81" t="s">
        <v>390</v>
      </c>
      <c r="AN11" s="81" t="s">
        <v>398</v>
      </c>
      <c r="AO11" s="204">
        <f>SUM(T27)</f>
        <v>34102725.300000004</v>
      </c>
      <c r="AP11" s="81" t="s">
        <v>392</v>
      </c>
      <c r="AQ11" s="204">
        <v>33400000</v>
      </c>
      <c r="AU11" s="205" t="s">
        <v>389</v>
      </c>
      <c r="AV11" s="205" t="s">
        <v>390</v>
      </c>
      <c r="AW11" s="205" t="s">
        <v>398</v>
      </c>
      <c r="AX11" s="207" t="s">
        <v>434</v>
      </c>
      <c r="AY11" s="206">
        <f t="shared" si="3"/>
        <v>28700000</v>
      </c>
      <c r="AZ11" s="205" t="s">
        <v>392</v>
      </c>
      <c r="BE11" s="81" t="s">
        <v>297</v>
      </c>
      <c r="BF11" s="81">
        <f>1/(1/AO48+1/AO49+1/AO50)</f>
        <v>174.01385681293297</v>
      </c>
      <c r="BI11" s="81" t="s">
        <v>445</v>
      </c>
      <c r="BJ11" s="204">
        <f>BF10</f>
        <v>34102725.300000004</v>
      </c>
      <c r="BP11" s="154" t="s">
        <v>389</v>
      </c>
      <c r="BQ11" s="81" t="s">
        <v>390</v>
      </c>
      <c r="BR11" s="81" t="s">
        <v>398</v>
      </c>
      <c r="BS11" s="204">
        <f t="shared" si="12"/>
        <v>33400000</v>
      </c>
      <c r="BT11" s="81" t="s">
        <v>392</v>
      </c>
      <c r="BU11" s="204">
        <v>33400000</v>
      </c>
      <c r="BY11" s="211">
        <f>CB17</f>
        <v>28700000</v>
      </c>
      <c r="BZ11" s="211"/>
      <c r="CA11" s="81" t="s">
        <v>473</v>
      </c>
      <c r="CB11" s="204">
        <v>0.17799999999999999</v>
      </c>
      <c r="CC11" s="204">
        <v>5.53E-4</v>
      </c>
      <c r="CG11" s="81" t="s">
        <v>469</v>
      </c>
      <c r="CH11" s="204">
        <v>292</v>
      </c>
      <c r="CI11" s="204">
        <v>6.6199999999999995E-2</v>
      </c>
      <c r="CJ11" s="81">
        <v>4411.26</v>
      </c>
      <c r="CK11" s="81" t="s">
        <v>505</v>
      </c>
      <c r="CM11" s="81" t="s">
        <v>470</v>
      </c>
      <c r="CN11" s="204">
        <v>0.44800000000000001</v>
      </c>
      <c r="CO11" s="204">
        <v>1.03E-2</v>
      </c>
      <c r="CP11" s="81">
        <v>43.34</v>
      </c>
      <c r="CQ11" s="81" t="s">
        <v>509</v>
      </c>
      <c r="CR11" s="204">
        <v>2E-16</v>
      </c>
      <c r="CS11" s="81" t="s">
        <v>510</v>
      </c>
      <c r="CU11" s="212" t="s">
        <v>506</v>
      </c>
      <c r="CV11" s="81" t="s">
        <v>524</v>
      </c>
      <c r="CW11" s="204">
        <v>296</v>
      </c>
      <c r="CX11" s="204">
        <v>2.55E-5</v>
      </c>
      <c r="CY11" s="81">
        <v>11580092</v>
      </c>
      <c r="CZ11" s="81" t="s">
        <v>505</v>
      </c>
      <c r="DA11" s="81" t="s">
        <v>510</v>
      </c>
      <c r="DE11" s="81" t="s">
        <v>389</v>
      </c>
      <c r="DF11" s="81" t="s">
        <v>390</v>
      </c>
      <c r="DG11" s="81" t="str">
        <f t="shared" ref="DG11:DG56" si="13">CV18</f>
        <v>abs1N</v>
      </c>
      <c r="DH11" s="81" t="s">
        <v>434</v>
      </c>
      <c r="DI11" s="204">
        <f t="shared" ref="DI11:DI56" si="14">CW18</f>
        <v>0.45</v>
      </c>
      <c r="DJ11" s="81" t="s">
        <v>392</v>
      </c>
      <c r="DK11" s="81" t="s">
        <v>399</v>
      </c>
      <c r="DL11" s="288">
        <f t="shared" si="0"/>
        <v>15401248.000000002</v>
      </c>
      <c r="DM11" s="288">
        <f t="shared" si="1"/>
        <v>14800000</v>
      </c>
      <c r="DN11" s="288">
        <f t="shared" si="2"/>
        <v>14600000</v>
      </c>
      <c r="DP11" s="290" t="s">
        <v>506</v>
      </c>
      <c r="DQ11" s="290" t="s">
        <v>469</v>
      </c>
      <c r="DR11" s="291">
        <v>292</v>
      </c>
      <c r="DS11" s="291">
        <v>5.7599999999999998E-2</v>
      </c>
      <c r="DT11" s="290">
        <v>5073.26</v>
      </c>
      <c r="DU11" s="290" t="s">
        <v>509</v>
      </c>
      <c r="DV11" s="291">
        <v>2E-16</v>
      </c>
      <c r="DW11" s="81" t="s">
        <v>510</v>
      </c>
      <c r="DX11" s="212" t="s">
        <v>568</v>
      </c>
      <c r="DY11" s="295" t="s">
        <v>575</v>
      </c>
      <c r="DZ11" s="292" t="s">
        <v>434</v>
      </c>
      <c r="EA11" s="293">
        <f t="shared" si="11"/>
        <v>2.33</v>
      </c>
      <c r="EB11" s="212" t="s">
        <v>392</v>
      </c>
    </row>
    <row r="12" spans="1:132" ht="15" customHeight="1" thickTop="1" thickBot="1" x14ac:dyDescent="0.35">
      <c r="A12" s="220"/>
      <c r="B12" s="221"/>
      <c r="C12" s="221"/>
      <c r="D12" s="226" t="s">
        <v>48</v>
      </c>
      <c r="E12" s="231" t="s">
        <v>56</v>
      </c>
      <c r="F12" s="227">
        <f t="shared" si="5"/>
        <v>8.5903083700440544E-2</v>
      </c>
      <c r="G12" s="221"/>
      <c r="H12" s="232">
        <f>'Tabula data'!B18*(1-'Tabula 2zone Ref 2'!C45)</f>
        <v>3.9000000000000004</v>
      </c>
      <c r="J12" s="81" t="s">
        <v>59</v>
      </c>
      <c r="K12" s="250">
        <v>0</v>
      </c>
      <c r="L12" s="251">
        <v>1</v>
      </c>
      <c r="M12" s="251" t="s">
        <v>54</v>
      </c>
      <c r="N12" s="252">
        <f>H8</f>
        <v>9.1</v>
      </c>
      <c r="O12" s="253" t="s">
        <v>45</v>
      </c>
      <c r="P12" s="30">
        <f t="shared" si="6"/>
        <v>1.1000000000000001</v>
      </c>
      <c r="Q12" s="30">
        <f t="shared" si="7"/>
        <v>10.01</v>
      </c>
      <c r="R12" s="30">
        <f t="shared" si="8"/>
        <v>0</v>
      </c>
      <c r="S12" s="30">
        <f t="shared" si="9"/>
        <v>0</v>
      </c>
      <c r="T12" s="30">
        <f t="shared" si="10"/>
        <v>0</v>
      </c>
      <c r="U12" s="31"/>
      <c r="V12" s="3"/>
      <c r="W12" s="258"/>
      <c r="X12" s="258"/>
      <c r="Y12" s="259" t="s">
        <v>4</v>
      </c>
      <c r="Z12" s="259">
        <v>0.6</v>
      </c>
      <c r="AA12" s="259" t="s">
        <v>5</v>
      </c>
      <c r="AB12" s="258"/>
      <c r="AC12" s="258"/>
      <c r="AD12" s="258"/>
      <c r="AE12" s="14"/>
      <c r="AF12" s="14"/>
      <c r="AG12" s="14"/>
      <c r="AL12" s="154" t="s">
        <v>389</v>
      </c>
      <c r="AM12" s="81" t="s">
        <v>390</v>
      </c>
      <c r="AN12" s="81" t="s">
        <v>399</v>
      </c>
      <c r="AO12" s="204">
        <f>SUM(T14)</f>
        <v>15401248.000000002</v>
      </c>
      <c r="AP12" s="81" t="s">
        <v>392</v>
      </c>
      <c r="AQ12" s="204">
        <v>14800000</v>
      </c>
      <c r="AU12" s="205" t="s">
        <v>389</v>
      </c>
      <c r="AV12" s="205" t="s">
        <v>390</v>
      </c>
      <c r="AW12" s="205" t="s">
        <v>399</v>
      </c>
      <c r="AX12" s="207" t="s">
        <v>434</v>
      </c>
      <c r="AY12" s="206">
        <f t="shared" si="3"/>
        <v>14600000</v>
      </c>
      <c r="AZ12" s="205" t="s">
        <v>392</v>
      </c>
      <c r="BE12" s="81" t="s">
        <v>298</v>
      </c>
      <c r="BF12" s="81">
        <f>AO44+AO45</f>
        <v>55678583.999999985</v>
      </c>
      <c r="BI12" s="81" t="s">
        <v>446</v>
      </c>
      <c r="BJ12" s="204">
        <f>BF26</f>
        <v>15996218.490000002</v>
      </c>
      <c r="BP12" s="154" t="s">
        <v>389</v>
      </c>
      <c r="BQ12" s="81" t="s">
        <v>390</v>
      </c>
      <c r="BR12" s="81" t="s">
        <v>399</v>
      </c>
      <c r="BS12" s="204">
        <f t="shared" si="12"/>
        <v>14800000</v>
      </c>
      <c r="BT12" s="81" t="s">
        <v>392</v>
      </c>
      <c r="BU12" s="204">
        <v>14800000</v>
      </c>
      <c r="BY12" s="211">
        <f>CB14</f>
        <v>14600000</v>
      </c>
      <c r="BZ12" s="211"/>
      <c r="CA12" s="81" t="s">
        <v>474</v>
      </c>
      <c r="CB12" s="204">
        <v>0.14199999999999999</v>
      </c>
      <c r="CC12" s="204">
        <v>6.4000000000000005E-4</v>
      </c>
      <c r="CG12" s="81" t="s">
        <v>470</v>
      </c>
      <c r="CH12" s="204">
        <v>0.19500000000000001</v>
      </c>
      <c r="CI12" s="204">
        <v>1.0499999999999999E-3</v>
      </c>
      <c r="CJ12" s="81">
        <v>184.38</v>
      </c>
      <c r="CK12" s="81" t="s">
        <v>505</v>
      </c>
      <c r="CM12" s="81" t="s">
        <v>471</v>
      </c>
      <c r="CN12" s="204">
        <v>0.15</v>
      </c>
      <c r="CO12" s="204">
        <v>2E-3</v>
      </c>
      <c r="CP12" s="81">
        <v>75.25</v>
      </c>
      <c r="CQ12" s="81" t="s">
        <v>509</v>
      </c>
      <c r="CR12" s="204">
        <v>2E-16</v>
      </c>
      <c r="CS12" s="81" t="s">
        <v>510</v>
      </c>
      <c r="CU12" s="212" t="s">
        <v>506</v>
      </c>
      <c r="CV12" s="81" t="s">
        <v>513</v>
      </c>
      <c r="CW12" s="204">
        <v>295</v>
      </c>
      <c r="CX12" s="204">
        <v>2.5500000000000002E-4</v>
      </c>
      <c r="CY12" s="81">
        <v>1156688</v>
      </c>
      <c r="CZ12" s="81" t="s">
        <v>505</v>
      </c>
      <c r="DA12" s="81" t="s">
        <v>510</v>
      </c>
      <c r="DE12" s="81" t="s">
        <v>389</v>
      </c>
      <c r="DF12" s="81" t="s">
        <v>390</v>
      </c>
      <c r="DG12" s="81" t="str">
        <f t="shared" si="13"/>
        <v>abs2D</v>
      </c>
      <c r="DH12" s="81" t="s">
        <v>434</v>
      </c>
      <c r="DI12" s="204">
        <f t="shared" si="14"/>
        <v>0.42</v>
      </c>
      <c r="DJ12" s="81" t="s">
        <v>392</v>
      </c>
      <c r="DL12" s="287">
        <f t="shared" si="0"/>
        <v>0</v>
      </c>
      <c r="DM12" s="287">
        <f t="shared" si="1"/>
        <v>0</v>
      </c>
      <c r="DN12" s="287">
        <f t="shared" si="2"/>
        <v>0</v>
      </c>
      <c r="DP12" s="290" t="s">
        <v>506</v>
      </c>
      <c r="DQ12" s="290" t="s">
        <v>541</v>
      </c>
      <c r="DR12" s="291">
        <v>1.1000000000000001</v>
      </c>
      <c r="DS12" s="291">
        <v>2.7099999999999999E-2</v>
      </c>
      <c r="DT12" s="290">
        <v>40.450000000000003</v>
      </c>
      <c r="DU12" s="290" t="s">
        <v>509</v>
      </c>
      <c r="DV12" s="291">
        <v>2E-16</v>
      </c>
      <c r="DW12" s="81" t="s">
        <v>510</v>
      </c>
      <c r="DX12" s="212" t="s">
        <v>568</v>
      </c>
      <c r="DY12" s="294" t="s">
        <v>576</v>
      </c>
      <c r="DZ12" s="292" t="s">
        <v>434</v>
      </c>
      <c r="EA12" s="293">
        <f t="shared" si="11"/>
        <v>2.0099999999999998</v>
      </c>
      <c r="EB12" s="212" t="s">
        <v>392</v>
      </c>
    </row>
    <row r="13" spans="1:132" ht="15" customHeight="1" thickTop="1" thickBot="1" x14ac:dyDescent="0.35">
      <c r="A13" s="220"/>
      <c r="B13" s="221"/>
      <c r="C13" s="221"/>
      <c r="D13" s="226" t="s">
        <v>52</v>
      </c>
      <c r="E13" s="231" t="s">
        <v>56</v>
      </c>
      <c r="F13" s="227">
        <f t="shared" si="5"/>
        <v>7.5330396475770944E-2</v>
      </c>
      <c r="G13" s="221"/>
      <c r="H13" s="232">
        <f>'Tabula data'!B19*(1-'Tabula 2zone Ref 2'!C45)</f>
        <v>3.4200000000000008</v>
      </c>
      <c r="J13" s="81" t="s">
        <v>60</v>
      </c>
      <c r="K13" s="250">
        <v>0</v>
      </c>
      <c r="L13" s="251">
        <v>1</v>
      </c>
      <c r="M13" s="251" t="s">
        <v>54</v>
      </c>
      <c r="N13" s="252">
        <f>H9</f>
        <v>7.9799999999999995</v>
      </c>
      <c r="O13" s="253" t="s">
        <v>50</v>
      </c>
      <c r="P13" s="30">
        <f t="shared" si="6"/>
        <v>1.1000000000000001</v>
      </c>
      <c r="Q13" s="30">
        <f t="shared" si="7"/>
        <v>8.7780000000000005</v>
      </c>
      <c r="R13" s="30">
        <f t="shared" si="8"/>
        <v>0</v>
      </c>
      <c r="S13" s="30">
        <f t="shared" si="9"/>
        <v>0</v>
      </c>
      <c r="T13" s="30">
        <f t="shared" si="10"/>
        <v>0</v>
      </c>
      <c r="U13" s="31"/>
      <c r="V13" s="3"/>
      <c r="W13" s="260" t="s">
        <v>64</v>
      </c>
      <c r="X13" s="261"/>
      <c r="Y13" s="262" t="s">
        <v>21</v>
      </c>
      <c r="Z13" s="263">
        <f>1/(1/8+SUM(AC15:AC21)+1/23)</f>
        <v>0.22509582884017654</v>
      </c>
      <c r="AA13" s="261" t="s">
        <v>5</v>
      </c>
      <c r="AB13" s="261"/>
      <c r="AC13" s="261" t="s">
        <v>22</v>
      </c>
      <c r="AD13" s="264">
        <f>SUM(AD17:AD22)</f>
        <v>254064.3</v>
      </c>
      <c r="AE13" s="14" t="s">
        <v>23</v>
      </c>
      <c r="AF13" s="14">
        <f>SUM(AD20:AD21)</f>
        <v>133980</v>
      </c>
      <c r="AG13" s="14"/>
      <c r="AO13" s="204"/>
      <c r="AP13" s="81" t="s">
        <v>392</v>
      </c>
      <c r="AQ13" s="204"/>
      <c r="AU13" s="205"/>
      <c r="AV13" s="205"/>
      <c r="AW13" s="205"/>
      <c r="AX13" s="207"/>
      <c r="AZ13" s="205"/>
      <c r="BS13" s="204"/>
      <c r="BT13" s="81" t="s">
        <v>392</v>
      </c>
      <c r="BU13" s="204"/>
      <c r="CA13" s="81" t="s">
        <v>298</v>
      </c>
      <c r="CB13" s="204">
        <v>995000000</v>
      </c>
      <c r="CC13" s="204">
        <v>22500000</v>
      </c>
      <c r="CG13" s="81" t="s">
        <v>471</v>
      </c>
      <c r="CH13" s="204">
        <v>0.38800000000000001</v>
      </c>
      <c r="CI13" s="204">
        <v>1.15E-3</v>
      </c>
      <c r="CJ13" s="81">
        <v>338.41</v>
      </c>
      <c r="CK13" s="81" t="s">
        <v>505</v>
      </c>
      <c r="CM13" s="81" t="s">
        <v>472</v>
      </c>
      <c r="CN13" s="204">
        <v>4.4699999999999997E-2</v>
      </c>
      <c r="CO13" s="204">
        <v>0.02</v>
      </c>
      <c r="CP13" s="81">
        <v>2.23</v>
      </c>
      <c r="CQ13" s="81">
        <v>2.5999999999999999E-2</v>
      </c>
      <c r="CR13" s="81" t="s">
        <v>511</v>
      </c>
      <c r="CU13" s="212" t="s">
        <v>506</v>
      </c>
      <c r="CV13" s="81" t="s">
        <v>514</v>
      </c>
      <c r="CW13" s="204">
        <v>294</v>
      </c>
      <c r="CX13" s="204">
        <v>2.5700000000000001E-4</v>
      </c>
      <c r="CY13" s="81">
        <v>1144487</v>
      </c>
      <c r="CZ13" s="81" t="s">
        <v>505</v>
      </c>
      <c r="DA13" s="81" t="s">
        <v>510</v>
      </c>
      <c r="DE13" s="81" t="s">
        <v>389</v>
      </c>
      <c r="DF13" s="81" t="s">
        <v>390</v>
      </c>
      <c r="DG13" s="81" t="str">
        <f t="shared" si="13"/>
        <v>abs2N</v>
      </c>
      <c r="DH13" s="81" t="s">
        <v>434</v>
      </c>
      <c r="DI13" s="204">
        <f t="shared" si="14"/>
        <v>0.15</v>
      </c>
      <c r="DJ13" s="81" t="s">
        <v>392</v>
      </c>
      <c r="DK13" s="81" t="s">
        <v>400</v>
      </c>
      <c r="DL13" s="286">
        <f t="shared" si="0"/>
        <v>8.1528915414370615E-2</v>
      </c>
      <c r="DM13" s="286">
        <f t="shared" si="1"/>
        <v>0.112</v>
      </c>
      <c r="DN13" s="286">
        <f t="shared" si="2"/>
        <v>6.9400000000000003E-2</v>
      </c>
      <c r="DP13" s="290" t="s">
        <v>506</v>
      </c>
      <c r="DQ13" s="290" t="s">
        <v>410</v>
      </c>
      <c r="DR13" s="291">
        <v>0.81100000000000005</v>
      </c>
      <c r="DS13" s="291">
        <v>0.109</v>
      </c>
      <c r="DT13" s="290">
        <v>7.44</v>
      </c>
      <c r="DU13" s="291">
        <v>1.1999999999999999E-13</v>
      </c>
      <c r="DV13" s="290" t="s">
        <v>510</v>
      </c>
      <c r="DX13" s="212" t="s">
        <v>568</v>
      </c>
      <c r="DY13" s="296" t="s">
        <v>577</v>
      </c>
      <c r="DZ13" s="292" t="s">
        <v>434</v>
      </c>
      <c r="EA13" s="293">
        <f t="shared" si="11"/>
        <v>0.85799999999999998</v>
      </c>
      <c r="EB13" s="212" t="s">
        <v>392</v>
      </c>
    </row>
    <row r="14" spans="1:132" ht="15" customHeight="1" thickTop="1" thickBot="1" x14ac:dyDescent="0.35">
      <c r="A14" s="220"/>
      <c r="B14" s="221"/>
      <c r="C14" s="221"/>
      <c r="D14" s="233" t="s">
        <v>65</v>
      </c>
      <c r="E14" s="234"/>
      <c r="F14" s="234"/>
      <c r="G14" s="234"/>
      <c r="H14" s="235"/>
      <c r="J14" s="81" t="s">
        <v>61</v>
      </c>
      <c r="K14" s="250" t="s">
        <v>62</v>
      </c>
      <c r="L14" s="251">
        <v>1</v>
      </c>
      <c r="M14" s="251" t="s">
        <v>63</v>
      </c>
      <c r="N14" s="252">
        <f>B7</f>
        <v>138.80000000000001</v>
      </c>
      <c r="O14" s="253"/>
      <c r="P14" s="30">
        <f t="shared" si="6"/>
        <v>0.22994798795510538</v>
      </c>
      <c r="Q14" s="30">
        <f t="shared" si="7"/>
        <v>31.916780728168629</v>
      </c>
      <c r="R14" s="30">
        <f t="shared" si="8"/>
        <v>64873856.920000009</v>
      </c>
      <c r="S14" s="30">
        <f t="shared" si="9"/>
        <v>467390.9</v>
      </c>
      <c r="T14" s="30">
        <f t="shared" si="10"/>
        <v>15401248.000000002</v>
      </c>
      <c r="U14" s="31"/>
      <c r="V14" s="3"/>
      <c r="W14" s="265"/>
      <c r="X14" s="266" t="s">
        <v>27</v>
      </c>
      <c r="Y14" s="266" t="s">
        <v>28</v>
      </c>
      <c r="Z14" s="266" t="s">
        <v>29</v>
      </c>
      <c r="AA14" s="266" t="s">
        <v>30</v>
      </c>
      <c r="AB14" s="266" t="s">
        <v>31</v>
      </c>
      <c r="AC14" s="266" t="s">
        <v>32</v>
      </c>
      <c r="AD14" s="267" t="s">
        <v>33</v>
      </c>
      <c r="AE14" s="14"/>
      <c r="AF14" s="14"/>
      <c r="AG14" s="14"/>
      <c r="AL14" s="154" t="s">
        <v>389</v>
      </c>
      <c r="AM14" s="81" t="s">
        <v>390</v>
      </c>
      <c r="AN14" s="81" t="s">
        <v>400</v>
      </c>
      <c r="AO14" s="81">
        <f>AO4*0.3</f>
        <v>8.1528915414370615E-2</v>
      </c>
      <c r="AP14" s="81" t="s">
        <v>392</v>
      </c>
      <c r="AQ14" s="204">
        <v>0.112</v>
      </c>
      <c r="AU14" s="205" t="s">
        <v>389</v>
      </c>
      <c r="AV14" s="205" t="s">
        <v>390</v>
      </c>
      <c r="AW14" s="205" t="s">
        <v>400</v>
      </c>
      <c r="AX14" s="207" t="s">
        <v>434</v>
      </c>
      <c r="AY14" s="206">
        <f t="shared" si="3"/>
        <v>6.9400000000000003E-2</v>
      </c>
      <c r="AZ14" s="205" t="s">
        <v>392</v>
      </c>
      <c r="BE14" s="81" t="s">
        <v>286</v>
      </c>
      <c r="BF14" s="81">
        <f>1/(1/AO20+1/AO24)</f>
        <v>31.434888110002696</v>
      </c>
      <c r="BI14" s="81" t="s">
        <v>447</v>
      </c>
      <c r="BJ14" s="81">
        <f>BF9</f>
        <v>1199.8730546623794</v>
      </c>
      <c r="BP14" s="154" t="s">
        <v>389</v>
      </c>
      <c r="BQ14" s="81" t="s">
        <v>390</v>
      </c>
      <c r="BR14" s="81" t="s">
        <v>400</v>
      </c>
      <c r="BS14" s="204">
        <f>AQ14</f>
        <v>0.112</v>
      </c>
      <c r="BT14" s="81" t="s">
        <v>392</v>
      </c>
      <c r="BU14" s="204">
        <v>0.112</v>
      </c>
      <c r="BY14" s="211">
        <f>CB23</f>
        <v>6.9400000000000003E-2</v>
      </c>
      <c r="BZ14" s="211"/>
      <c r="CA14" s="81" t="s">
        <v>294</v>
      </c>
      <c r="CB14" s="204">
        <v>14600000</v>
      </c>
      <c r="CC14" s="204">
        <v>300000</v>
      </c>
      <c r="CG14" s="81" t="s">
        <v>472</v>
      </c>
      <c r="CH14" s="204">
        <v>6.13E-2</v>
      </c>
      <c r="CI14" s="204">
        <v>5.5399999999999998E-3</v>
      </c>
      <c r="CJ14" s="81">
        <v>11.07</v>
      </c>
      <c r="CK14" s="81" t="s">
        <v>505</v>
      </c>
      <c r="CM14" s="81" t="s">
        <v>473</v>
      </c>
      <c r="CN14" s="204">
        <v>0.34599999999999997</v>
      </c>
      <c r="CO14" s="204">
        <v>6.0699999999999999E-3</v>
      </c>
      <c r="CP14" s="81">
        <v>57.03</v>
      </c>
      <c r="CQ14" s="81" t="s">
        <v>509</v>
      </c>
      <c r="CR14" s="204">
        <v>2E-16</v>
      </c>
      <c r="CS14" s="81" t="s">
        <v>510</v>
      </c>
      <c r="CU14" s="212" t="s">
        <v>506</v>
      </c>
      <c r="CV14" s="81" t="s">
        <v>525</v>
      </c>
      <c r="CW14" s="204">
        <v>293</v>
      </c>
      <c r="CX14" s="204">
        <v>1.5299999999999999E-5</v>
      </c>
      <c r="CY14" s="81">
        <v>19154623</v>
      </c>
      <c r="CZ14" s="81" t="s">
        <v>505</v>
      </c>
      <c r="DA14" s="81" t="s">
        <v>510</v>
      </c>
      <c r="DE14" s="81" t="s">
        <v>389</v>
      </c>
      <c r="DF14" s="81" t="s">
        <v>390</v>
      </c>
      <c r="DG14" s="81" t="str">
        <f t="shared" si="13"/>
        <v>abs3D</v>
      </c>
      <c r="DH14" s="81" t="s">
        <v>434</v>
      </c>
      <c r="DI14" s="204">
        <f t="shared" si="14"/>
        <v>0.14000000000000001</v>
      </c>
      <c r="DJ14" s="81" t="s">
        <v>392</v>
      </c>
      <c r="DK14" s="81" t="s">
        <v>401</v>
      </c>
      <c r="DL14" s="286">
        <f t="shared" si="0"/>
        <v>8.1528915414370615E-2</v>
      </c>
      <c r="DM14" s="286">
        <f t="shared" si="1"/>
        <v>0.216</v>
      </c>
      <c r="DN14" s="286">
        <f t="shared" si="2"/>
        <v>0.14099999999999999</v>
      </c>
      <c r="DP14" s="290" t="s">
        <v>506</v>
      </c>
      <c r="DQ14" s="290" t="s">
        <v>542</v>
      </c>
      <c r="DR14" s="291">
        <v>1.17</v>
      </c>
      <c r="DS14" s="291">
        <v>1.52E-2</v>
      </c>
      <c r="DT14" s="290">
        <v>76.77</v>
      </c>
      <c r="DU14" s="290" t="s">
        <v>509</v>
      </c>
      <c r="DV14" s="291">
        <v>2E-16</v>
      </c>
      <c r="DW14" s="81" t="s">
        <v>510</v>
      </c>
      <c r="DX14" s="212" t="s">
        <v>568</v>
      </c>
      <c r="DY14" s="296" t="s">
        <v>578</v>
      </c>
      <c r="DZ14" s="292" t="s">
        <v>434</v>
      </c>
      <c r="EA14" s="293">
        <f t="shared" si="11"/>
        <v>8.8800000000000001E-7</v>
      </c>
      <c r="EB14" s="212" t="s">
        <v>392</v>
      </c>
    </row>
    <row r="15" spans="1:132" ht="15" customHeight="1" thickTop="1" thickBot="1" x14ac:dyDescent="0.35">
      <c r="A15" s="220"/>
      <c r="B15" s="221"/>
      <c r="C15" s="221"/>
      <c r="D15" s="236"/>
      <c r="E15" s="221"/>
      <c r="F15" s="221"/>
      <c r="G15" s="221"/>
      <c r="H15" s="222"/>
      <c r="J15" s="81" t="s">
        <v>66</v>
      </c>
      <c r="K15" s="250">
        <v>0</v>
      </c>
      <c r="L15" s="251">
        <v>1</v>
      </c>
      <c r="M15" s="251" t="s">
        <v>20</v>
      </c>
      <c r="N15" s="254">
        <v>0</v>
      </c>
      <c r="O15" s="253"/>
      <c r="P15" s="30">
        <f t="shared" si="6"/>
        <v>0.16141672417624836</v>
      </c>
      <c r="Q15" s="30">
        <f t="shared" si="7"/>
        <v>0</v>
      </c>
      <c r="R15" s="30">
        <f>VLOOKUP(M15,$W$5:$AD$393,8,0)*N25</f>
        <v>12407001.6</v>
      </c>
      <c r="S15" s="30">
        <f>R15/N25</f>
        <v>76776</v>
      </c>
      <c r="T15" s="30">
        <f>VLOOKUP(M15,$W$5:$AF$393,10,0)*N25</f>
        <v>6637881.5999999996</v>
      </c>
      <c r="U15" s="31"/>
      <c r="V15" s="3"/>
      <c r="W15" s="220"/>
      <c r="X15" s="300" t="s">
        <v>609</v>
      </c>
      <c r="Y15" s="300">
        <v>0.02</v>
      </c>
      <c r="Z15" s="300">
        <v>0.6</v>
      </c>
      <c r="AA15" s="300"/>
      <c r="AB15" s="300"/>
      <c r="AC15" s="268">
        <f t="shared" ref="AC15:AC16" si="15">Y15/Z15</f>
        <v>3.3333333333333333E-2</v>
      </c>
      <c r="AD15" s="301"/>
      <c r="AE15" s="14"/>
      <c r="AF15" s="14"/>
      <c r="AG15" s="14"/>
      <c r="AL15" s="154" t="s">
        <v>389</v>
      </c>
      <c r="AM15" s="81" t="s">
        <v>390</v>
      </c>
      <c r="AN15" s="81" t="s">
        <v>401</v>
      </c>
      <c r="AO15" s="81">
        <f>AO5*0.3</f>
        <v>8.1528915414370615E-2</v>
      </c>
      <c r="AP15" s="81" t="s">
        <v>392</v>
      </c>
      <c r="AQ15" s="204">
        <v>0.216</v>
      </c>
      <c r="AU15" s="205" t="s">
        <v>389</v>
      </c>
      <c r="AV15" s="205" t="s">
        <v>390</v>
      </c>
      <c r="AW15" s="205" t="s">
        <v>401</v>
      </c>
      <c r="AX15" s="207" t="s">
        <v>434</v>
      </c>
      <c r="AY15" s="206">
        <f t="shared" si="3"/>
        <v>0.14099999999999999</v>
      </c>
      <c r="AZ15" s="205" t="s">
        <v>392</v>
      </c>
      <c r="BE15" s="81" t="s">
        <v>294</v>
      </c>
      <c r="BF15" s="204">
        <f>AO12</f>
        <v>15401248.000000002</v>
      </c>
      <c r="BI15" s="81" t="s">
        <v>448</v>
      </c>
      <c r="BJ15" s="81">
        <f>AO38</f>
        <v>196.13980707395501</v>
      </c>
      <c r="BP15" s="154" t="s">
        <v>389</v>
      </c>
      <c r="BQ15" s="81" t="s">
        <v>390</v>
      </c>
      <c r="BR15" s="81" t="s">
        <v>401</v>
      </c>
      <c r="BS15" s="204">
        <f t="shared" ref="BS15:BS17" si="16">AQ15</f>
        <v>0.216</v>
      </c>
      <c r="BT15" s="81" t="s">
        <v>392</v>
      </c>
      <c r="BU15" s="204">
        <v>0.216</v>
      </c>
      <c r="BY15" s="211">
        <f>CB24</f>
        <v>0.14099999999999999</v>
      </c>
      <c r="BZ15" s="211"/>
      <c r="CA15" s="81" t="s">
        <v>475</v>
      </c>
      <c r="CB15" s="204">
        <v>3460000</v>
      </c>
      <c r="CC15" s="204">
        <v>48400</v>
      </c>
      <c r="CG15" s="81" t="s">
        <v>473</v>
      </c>
      <c r="CH15" s="204">
        <v>0.17799999999999999</v>
      </c>
      <c r="CI15" s="204">
        <v>5.53E-4</v>
      </c>
      <c r="CJ15" s="81">
        <v>322.19</v>
      </c>
      <c r="CK15" s="81" t="s">
        <v>505</v>
      </c>
      <c r="CM15" s="81" t="s">
        <v>298</v>
      </c>
      <c r="CN15" s="204">
        <v>992000000</v>
      </c>
      <c r="CO15" s="204">
        <v>51400000</v>
      </c>
      <c r="CP15" s="81">
        <v>19.29</v>
      </c>
      <c r="CQ15" s="81" t="s">
        <v>509</v>
      </c>
      <c r="CR15" s="204">
        <v>2E-16</v>
      </c>
      <c r="CS15" s="81" t="s">
        <v>510</v>
      </c>
      <c r="CU15" s="212" t="s">
        <v>506</v>
      </c>
      <c r="CV15" s="81" t="s">
        <v>526</v>
      </c>
      <c r="CW15" s="204">
        <v>293</v>
      </c>
      <c r="CX15" s="204">
        <v>5.8999999999999998E-5</v>
      </c>
      <c r="CY15" s="81">
        <v>4966969</v>
      </c>
      <c r="CZ15" s="81" t="s">
        <v>505</v>
      </c>
      <c r="DA15" s="81" t="s">
        <v>510</v>
      </c>
      <c r="DE15" s="81" t="s">
        <v>389</v>
      </c>
      <c r="DF15" s="81" t="s">
        <v>390</v>
      </c>
      <c r="DG15" s="81" t="str">
        <f t="shared" si="13"/>
        <v>abs3N</v>
      </c>
      <c r="DH15" s="81" t="s">
        <v>434</v>
      </c>
      <c r="DI15" s="204">
        <f t="shared" si="14"/>
        <v>0.11</v>
      </c>
      <c r="DJ15" s="81" t="s">
        <v>392</v>
      </c>
      <c r="DK15" s="81" t="s">
        <v>402</v>
      </c>
      <c r="DL15" s="286">
        <f t="shared" si="0"/>
        <v>0.71499766398877451</v>
      </c>
      <c r="DM15" s="286">
        <f t="shared" si="1"/>
        <v>0.49</v>
      </c>
      <c r="DN15" s="286">
        <f t="shared" si="2"/>
        <v>0.76</v>
      </c>
      <c r="DP15" s="290" t="s">
        <v>506</v>
      </c>
      <c r="DQ15" s="290" t="s">
        <v>543</v>
      </c>
      <c r="DR15" s="291">
        <v>0.99</v>
      </c>
      <c r="DS15" s="291">
        <v>2.8199999999999999E-2</v>
      </c>
      <c r="DT15" s="290">
        <v>35.17</v>
      </c>
      <c r="DU15" s="290" t="s">
        <v>509</v>
      </c>
      <c r="DV15" s="291">
        <v>2E-16</v>
      </c>
      <c r="DW15" s="81" t="s">
        <v>510</v>
      </c>
      <c r="DX15" s="212" t="s">
        <v>568</v>
      </c>
      <c r="DY15" s="296" t="s">
        <v>579</v>
      </c>
      <c r="DZ15" s="292" t="s">
        <v>434</v>
      </c>
      <c r="EA15" s="293">
        <f t="shared" si="11"/>
        <v>0.32600000000000001</v>
      </c>
      <c r="EB15" s="212" t="s">
        <v>392</v>
      </c>
    </row>
    <row r="16" spans="1:132" ht="15" customHeight="1" thickTop="1" thickBot="1" x14ac:dyDescent="0.35">
      <c r="A16" s="237"/>
      <c r="B16" s="219"/>
      <c r="C16" s="219"/>
      <c r="D16" s="226" t="s">
        <v>69</v>
      </c>
      <c r="E16" s="221"/>
      <c r="F16" s="238">
        <f>B4/B26</f>
        <v>1.2730693424117541</v>
      </c>
      <c r="G16" s="231" t="s">
        <v>70</v>
      </c>
      <c r="H16" s="222"/>
      <c r="J16" s="81" t="s">
        <v>67</v>
      </c>
      <c r="K16" s="250">
        <v>0</v>
      </c>
      <c r="L16" s="251">
        <v>1</v>
      </c>
      <c r="M16" s="251" t="s">
        <v>68</v>
      </c>
      <c r="N16" s="252">
        <f>'Tabula data'!B15</f>
        <v>11.5</v>
      </c>
      <c r="O16" s="253"/>
      <c r="P16" s="30">
        <f t="shared" si="6"/>
        <v>3.5</v>
      </c>
      <c r="Q16" s="30">
        <f t="shared" si="7"/>
        <v>40.25</v>
      </c>
      <c r="R16" s="30">
        <f t="shared" ref="R16:R28" si="17">VLOOKUP(M16,$W$5:$AD$393,8,0)*N16</f>
        <v>419980</v>
      </c>
      <c r="S16" s="30">
        <f t="shared" ref="S16:S28" si="18">R16/N16</f>
        <v>36520</v>
      </c>
      <c r="T16" s="30">
        <f t="shared" ref="T16:T28" si="19">VLOOKUP(M16,$W$5:$AF$393,10,0)*N16</f>
        <v>0</v>
      </c>
      <c r="U16" s="31"/>
      <c r="V16" s="3"/>
      <c r="W16" s="220"/>
      <c r="X16" s="300" t="s">
        <v>269</v>
      </c>
      <c r="Y16" s="300">
        <v>0.05</v>
      </c>
      <c r="Z16" s="300">
        <v>2.4E-2</v>
      </c>
      <c r="AA16" s="300"/>
      <c r="AB16" s="300"/>
      <c r="AC16" s="268">
        <f t="shared" si="15"/>
        <v>2.0833333333333335</v>
      </c>
      <c r="AD16" s="301"/>
      <c r="AE16" s="14"/>
      <c r="AF16" s="14"/>
      <c r="AG16" s="14"/>
      <c r="AL16" s="154" t="s">
        <v>389</v>
      </c>
      <c r="AM16" s="81" t="s">
        <v>390</v>
      </c>
      <c r="AN16" s="81" t="s">
        <v>402</v>
      </c>
      <c r="AO16" s="81">
        <f>AO6*0.3+0.7</f>
        <v>0.71499766398877451</v>
      </c>
      <c r="AP16" s="81" t="s">
        <v>392</v>
      </c>
      <c r="AQ16" s="204">
        <v>0.49</v>
      </c>
      <c r="AU16" s="205" t="s">
        <v>389</v>
      </c>
      <c r="AV16" s="205" t="s">
        <v>390</v>
      </c>
      <c r="AW16" s="205" t="s">
        <v>402</v>
      </c>
      <c r="AX16" s="207" t="s">
        <v>434</v>
      </c>
      <c r="AY16" s="206">
        <f t="shared" si="3"/>
        <v>0.76</v>
      </c>
      <c r="AZ16" s="205" t="s">
        <v>392</v>
      </c>
      <c r="BP16" s="154" t="s">
        <v>389</v>
      </c>
      <c r="BQ16" s="81" t="s">
        <v>390</v>
      </c>
      <c r="BR16" s="81" t="s">
        <v>402</v>
      </c>
      <c r="BS16" s="204">
        <f t="shared" si="16"/>
        <v>0.49</v>
      </c>
      <c r="BT16" s="81" t="s">
        <v>392</v>
      </c>
      <c r="BU16" s="204">
        <v>0.49</v>
      </c>
      <c r="BY16" s="211">
        <f>CB25</f>
        <v>0.76</v>
      </c>
      <c r="BZ16" s="211"/>
      <c r="CA16" s="81" t="s">
        <v>291</v>
      </c>
      <c r="CB16" s="204">
        <v>23000000</v>
      </c>
      <c r="CC16" s="204">
        <v>709000</v>
      </c>
      <c r="CG16" s="81" t="s">
        <v>474</v>
      </c>
      <c r="CH16" s="204">
        <v>0.14199999999999999</v>
      </c>
      <c r="CI16" s="204">
        <v>6.4000000000000005E-4</v>
      </c>
      <c r="CJ16" s="81">
        <v>221.71</v>
      </c>
      <c r="CK16" s="81" t="s">
        <v>505</v>
      </c>
      <c r="CM16" s="81" t="s">
        <v>475</v>
      </c>
      <c r="CN16" s="204">
        <v>1130000</v>
      </c>
      <c r="CO16" s="204">
        <v>29900</v>
      </c>
      <c r="CP16" s="81">
        <v>37.909999999999997</v>
      </c>
      <c r="CQ16" s="81" t="s">
        <v>509</v>
      </c>
      <c r="CR16" s="204">
        <v>2E-16</v>
      </c>
      <c r="CS16" s="81" t="s">
        <v>510</v>
      </c>
      <c r="CU16" s="212" t="s">
        <v>506</v>
      </c>
      <c r="CV16" s="81" t="s">
        <v>527</v>
      </c>
      <c r="CW16" s="204">
        <v>294</v>
      </c>
      <c r="CX16" s="204">
        <v>5.7000000000000003E-5</v>
      </c>
      <c r="CY16" s="81">
        <v>5160670</v>
      </c>
      <c r="CZ16" s="81" t="s">
        <v>505</v>
      </c>
      <c r="DA16" s="81" t="s">
        <v>510</v>
      </c>
      <c r="DI16" s="204"/>
      <c r="DK16" s="81" t="s">
        <v>403</v>
      </c>
      <c r="DL16" s="286">
        <f t="shared" si="0"/>
        <v>6.5502698604213622E-2</v>
      </c>
      <c r="DM16" s="286">
        <f t="shared" si="1"/>
        <v>9.01E-2</v>
      </c>
      <c r="DN16" s="286">
        <f t="shared" si="2"/>
        <v>6.4100000000000004E-2</v>
      </c>
      <c r="DP16" s="290" t="s">
        <v>506</v>
      </c>
      <c r="DQ16" s="290" t="s">
        <v>544</v>
      </c>
      <c r="DR16" s="291">
        <v>2.17</v>
      </c>
      <c r="DS16" s="291">
        <v>2.8899999999999999E-2</v>
      </c>
      <c r="DT16" s="290">
        <v>74.87</v>
      </c>
      <c r="DU16" s="290" t="s">
        <v>509</v>
      </c>
      <c r="DV16" s="291">
        <v>2E-16</v>
      </c>
      <c r="DW16" s="81" t="s">
        <v>510</v>
      </c>
      <c r="DX16" s="212" t="s">
        <v>568</v>
      </c>
      <c r="DY16" s="296" t="s">
        <v>580</v>
      </c>
      <c r="DZ16" s="292" t="s">
        <v>434</v>
      </c>
      <c r="EA16" s="293">
        <f t="shared" si="11"/>
        <v>0.28599999999999998</v>
      </c>
      <c r="EB16" s="212" t="s">
        <v>392</v>
      </c>
    </row>
    <row r="17" spans="1:132" ht="15" customHeight="1" thickTop="1" thickBot="1" x14ac:dyDescent="0.35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2.1598297213622293</v>
      </c>
      <c r="G17" s="231"/>
      <c r="H17" s="222"/>
      <c r="J17" s="81" t="s">
        <v>71</v>
      </c>
      <c r="K17" s="250">
        <v>0</v>
      </c>
      <c r="L17" s="251">
        <v>2</v>
      </c>
      <c r="M17" s="251" t="s">
        <v>25</v>
      </c>
      <c r="N17" s="252">
        <f>'Tabula data'!B10*'Tabula 2zone Ref 2'!C42/2*(1-'Tabula 2zone Ref 2'!C43)</f>
        <v>0.55275000000000052</v>
      </c>
      <c r="O17" s="253" t="s">
        <v>26</v>
      </c>
      <c r="P17" s="30">
        <f t="shared" si="6"/>
        <v>0.22509582884017654</v>
      </c>
      <c r="Q17" s="30">
        <f t="shared" si="7"/>
        <v>0.1244217193914077</v>
      </c>
      <c r="R17" s="30">
        <f t="shared" si="17"/>
        <v>140434.04182500014</v>
      </c>
      <c r="S17" s="30">
        <f t="shared" si="18"/>
        <v>254064.30000000002</v>
      </c>
      <c r="T17" s="30">
        <f t="shared" si="19"/>
        <v>74057.445000000065</v>
      </c>
      <c r="U17" s="31"/>
      <c r="V17" s="3"/>
      <c r="W17" s="220"/>
      <c r="X17" s="221" t="s">
        <v>268</v>
      </c>
      <c r="Y17" s="221">
        <v>0.1</v>
      </c>
      <c r="Z17" s="221">
        <v>0.75</v>
      </c>
      <c r="AA17" s="221">
        <v>1400</v>
      </c>
      <c r="AB17" s="231">
        <v>840</v>
      </c>
      <c r="AC17" s="268">
        <f>Y17/Z17</f>
        <v>0.13333333333333333</v>
      </c>
      <c r="AD17" s="222">
        <f>AA17*AB17*Y17</f>
        <v>117600</v>
      </c>
      <c r="AE17" s="14"/>
      <c r="AF17" s="14"/>
      <c r="AG17" s="14"/>
      <c r="AL17" s="154" t="s">
        <v>389</v>
      </c>
      <c r="AM17" s="81" t="s">
        <v>390</v>
      </c>
      <c r="AN17" s="81" t="s">
        <v>403</v>
      </c>
      <c r="AO17" s="81">
        <f>AO7*0.3</f>
        <v>6.5502698604213622E-2</v>
      </c>
      <c r="AP17" s="81" t="s">
        <v>392</v>
      </c>
      <c r="AQ17" s="204">
        <v>9.01E-2</v>
      </c>
      <c r="AU17" s="205" t="s">
        <v>389</v>
      </c>
      <c r="AV17" s="205" t="s">
        <v>390</v>
      </c>
      <c r="AW17" s="205" t="s">
        <v>403</v>
      </c>
      <c r="AX17" s="207" t="s">
        <v>434</v>
      </c>
      <c r="AY17" s="206">
        <f t="shared" si="3"/>
        <v>6.4100000000000004E-2</v>
      </c>
      <c r="AZ17" s="205" t="s">
        <v>392</v>
      </c>
      <c r="BE17" s="81" t="s">
        <v>295</v>
      </c>
      <c r="BF17" s="204">
        <f>SUM(BF12+BF5+BF10)</f>
        <v>112927627.10999998</v>
      </c>
      <c r="BI17" s="81" t="s">
        <v>297</v>
      </c>
      <c r="BJ17" s="81">
        <f>BF11</f>
        <v>174.01385681293297</v>
      </c>
      <c r="BP17" s="154" t="s">
        <v>389</v>
      </c>
      <c r="BQ17" s="81" t="s">
        <v>390</v>
      </c>
      <c r="BR17" s="81" t="s">
        <v>403</v>
      </c>
      <c r="BS17" s="204">
        <f t="shared" si="16"/>
        <v>9.01E-2</v>
      </c>
      <c r="BT17" s="81" t="s">
        <v>392</v>
      </c>
      <c r="BU17" s="204">
        <v>9.01E-2</v>
      </c>
      <c r="BY17" s="211">
        <f>CB26</f>
        <v>6.4100000000000004E-2</v>
      </c>
      <c r="BZ17" s="211"/>
      <c r="CA17" s="81" t="s">
        <v>293</v>
      </c>
      <c r="CB17" s="204">
        <v>28700000</v>
      </c>
      <c r="CC17" s="204">
        <v>324000</v>
      </c>
      <c r="CG17" s="81" t="s">
        <v>298</v>
      </c>
      <c r="CH17" s="204">
        <v>995000000</v>
      </c>
      <c r="CI17" s="204">
        <v>22500000</v>
      </c>
      <c r="CJ17" s="81">
        <v>44.3</v>
      </c>
      <c r="CK17" s="81" t="s">
        <v>505</v>
      </c>
      <c r="CM17" s="81" t="s">
        <v>291</v>
      </c>
      <c r="CN17" s="204">
        <v>6980000</v>
      </c>
      <c r="CO17" s="204">
        <v>679000</v>
      </c>
      <c r="CP17" s="81">
        <v>10.29</v>
      </c>
      <c r="CQ17" s="81" t="s">
        <v>509</v>
      </c>
      <c r="CR17" s="204">
        <v>2E-16</v>
      </c>
      <c r="CS17" s="81" t="s">
        <v>510</v>
      </c>
      <c r="CU17" s="212" t="s">
        <v>506</v>
      </c>
      <c r="CV17" s="81" t="s">
        <v>391</v>
      </c>
      <c r="CW17" s="204">
        <v>0.17</v>
      </c>
      <c r="CX17" s="204">
        <v>2.6400000000000001E-6</v>
      </c>
      <c r="CY17" s="81">
        <v>64508</v>
      </c>
      <c r="CZ17" s="81" t="s">
        <v>505</v>
      </c>
      <c r="DA17" s="81" t="s">
        <v>510</v>
      </c>
      <c r="DE17" s="81" t="s">
        <v>389</v>
      </c>
      <c r="DF17" s="81" t="s">
        <v>390</v>
      </c>
      <c r="DG17" s="81" t="str">
        <f t="shared" si="13"/>
        <v>abs5D</v>
      </c>
      <c r="DH17" s="81" t="s">
        <v>434</v>
      </c>
      <c r="DI17" s="204">
        <f t="shared" si="14"/>
        <v>0.17</v>
      </c>
      <c r="DJ17" s="81" t="s">
        <v>392</v>
      </c>
      <c r="DL17" s="287">
        <f t="shared" si="0"/>
        <v>0</v>
      </c>
      <c r="DM17" s="287">
        <f t="shared" si="1"/>
        <v>0</v>
      </c>
      <c r="DN17" s="287">
        <f t="shared" si="2"/>
        <v>0</v>
      </c>
      <c r="DP17" s="290" t="s">
        <v>506</v>
      </c>
      <c r="DQ17" s="290" t="s">
        <v>411</v>
      </c>
      <c r="DR17" s="291">
        <v>1.49</v>
      </c>
      <c r="DS17" s="291">
        <v>8.77E-2</v>
      </c>
      <c r="DT17" s="290">
        <v>17</v>
      </c>
      <c r="DU17" s="290" t="s">
        <v>509</v>
      </c>
      <c r="DV17" s="291">
        <v>2E-16</v>
      </c>
      <c r="DW17" s="81" t="s">
        <v>510</v>
      </c>
      <c r="DX17" s="212" t="s">
        <v>568</v>
      </c>
      <c r="DY17" s="296" t="s">
        <v>581</v>
      </c>
      <c r="DZ17" s="292" t="s">
        <v>434</v>
      </c>
      <c r="EA17" s="293">
        <f t="shared" si="11"/>
        <v>1</v>
      </c>
      <c r="EB17" s="212" t="s">
        <v>392</v>
      </c>
    </row>
    <row r="18" spans="1:132" ht="15" customHeight="1" thickTop="1" thickBot="1" x14ac:dyDescent="0.35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2.1598297213622293</v>
      </c>
      <c r="G18" s="231"/>
      <c r="H18" s="222"/>
      <c r="J18" s="81" t="s">
        <v>75</v>
      </c>
      <c r="K18" s="250">
        <v>0</v>
      </c>
      <c r="L18" s="251">
        <v>2</v>
      </c>
      <c r="M18" s="251" t="s">
        <v>25</v>
      </c>
      <c r="N18" s="252">
        <f>'Tabula data'!B10*(1-'Tabula 2zone Ref 2'!C42)/2*(1-'Tabula 2zone Ref 2'!C44)</f>
        <v>13.567500000000001</v>
      </c>
      <c r="O18" s="253" t="s">
        <v>39</v>
      </c>
      <c r="P18" s="30">
        <f t="shared" si="6"/>
        <v>0.22509582884017654</v>
      </c>
      <c r="Q18" s="30">
        <f t="shared" si="7"/>
        <v>3.0539876577890954</v>
      </c>
      <c r="R18" s="30">
        <f t="shared" si="17"/>
        <v>3447017.3902500002</v>
      </c>
      <c r="S18" s="30">
        <f t="shared" si="18"/>
        <v>254064.3</v>
      </c>
      <c r="T18" s="30">
        <f t="shared" si="19"/>
        <v>1817773.6500000001</v>
      </c>
      <c r="U18" s="31"/>
      <c r="V18" s="3"/>
      <c r="W18" s="220"/>
      <c r="X18" s="221"/>
      <c r="Y18" s="221"/>
      <c r="Z18" s="221"/>
      <c r="AA18" s="221"/>
      <c r="AB18" s="221"/>
      <c r="AC18" s="268"/>
      <c r="AD18" s="222"/>
      <c r="AE18" s="14"/>
      <c r="AF18" s="14"/>
      <c r="AG18" s="14"/>
      <c r="AP18" s="81" t="s">
        <v>392</v>
      </c>
      <c r="AQ18" s="204"/>
      <c r="AU18" s="205"/>
      <c r="AV18" s="205"/>
      <c r="AW18" s="205"/>
      <c r="AX18" s="207"/>
      <c r="AZ18" s="205"/>
      <c r="BE18" s="81" t="s">
        <v>449</v>
      </c>
      <c r="BF18" s="204">
        <f>BF17+BF7</f>
        <v>115484101.02999999</v>
      </c>
      <c r="BI18" s="81" t="s">
        <v>298</v>
      </c>
      <c r="BJ18" s="81">
        <f>BF12</f>
        <v>55678583.999999985</v>
      </c>
      <c r="BS18" s="204"/>
      <c r="BT18" s="81" t="s">
        <v>392</v>
      </c>
      <c r="BU18" s="204"/>
      <c r="CA18" s="81" t="s">
        <v>476</v>
      </c>
      <c r="CB18" s="204">
        <v>-6.33</v>
      </c>
      <c r="CC18" s="204">
        <v>8.6699999999999999E-2</v>
      </c>
      <c r="CG18" s="81" t="s">
        <v>294</v>
      </c>
      <c r="CH18" s="204">
        <v>14600000</v>
      </c>
      <c r="CI18" s="204">
        <v>300000</v>
      </c>
      <c r="CJ18" s="81">
        <v>48.77</v>
      </c>
      <c r="CK18" s="81" t="s">
        <v>505</v>
      </c>
      <c r="CM18" s="81" t="s">
        <v>293</v>
      </c>
      <c r="CN18" s="204">
        <v>11000000</v>
      </c>
      <c r="CO18" s="204">
        <v>1930000</v>
      </c>
      <c r="CP18" s="81">
        <v>5.67</v>
      </c>
      <c r="CQ18" s="204">
        <v>1.4999999999999999E-8</v>
      </c>
      <c r="CR18" s="81" t="s">
        <v>510</v>
      </c>
      <c r="CU18" s="212" t="s">
        <v>506</v>
      </c>
      <c r="CV18" s="81" t="s">
        <v>410</v>
      </c>
      <c r="CW18" s="204">
        <v>0.45</v>
      </c>
      <c r="CX18" s="204">
        <v>6.7800000000000003E-6</v>
      </c>
      <c r="CY18" s="81">
        <v>66399</v>
      </c>
      <c r="CZ18" s="81" t="s">
        <v>505</v>
      </c>
      <c r="DA18" s="81" t="s">
        <v>510</v>
      </c>
      <c r="DE18" s="81" t="s">
        <v>389</v>
      </c>
      <c r="DF18" s="81" t="s">
        <v>390</v>
      </c>
      <c r="DG18" s="81" t="str">
        <f t="shared" si="13"/>
        <v>abs5N</v>
      </c>
      <c r="DH18" s="81" t="s">
        <v>434</v>
      </c>
      <c r="DI18" s="204">
        <f t="shared" si="14"/>
        <v>0.34</v>
      </c>
      <c r="DJ18" s="81" t="s">
        <v>392</v>
      </c>
      <c r="DK18" s="81" t="s">
        <v>404</v>
      </c>
      <c r="DL18" s="289">
        <f t="shared" si="0"/>
        <v>737.47138339920957</v>
      </c>
      <c r="DM18" s="289">
        <f t="shared" si="1"/>
        <v>654</v>
      </c>
      <c r="DN18" s="289">
        <f t="shared" si="2"/>
        <v>259</v>
      </c>
      <c r="DP18" s="290" t="s">
        <v>506</v>
      </c>
      <c r="DQ18" s="290" t="s">
        <v>545</v>
      </c>
      <c r="DR18" s="291">
        <v>2.33</v>
      </c>
      <c r="DS18" s="291">
        <v>1.6899999999999998E-2</v>
      </c>
      <c r="DT18" s="290">
        <v>137.82</v>
      </c>
      <c r="DU18" s="290" t="s">
        <v>509</v>
      </c>
      <c r="DV18" s="291">
        <v>2E-16</v>
      </c>
      <c r="DW18" s="81" t="s">
        <v>510</v>
      </c>
      <c r="DX18" s="212" t="s">
        <v>568</v>
      </c>
      <c r="DY18" s="296" t="s">
        <v>582</v>
      </c>
      <c r="DZ18" s="292" t="s">
        <v>434</v>
      </c>
      <c r="EA18" s="293">
        <f t="shared" si="11"/>
        <v>0.107</v>
      </c>
      <c r="EB18" s="212" t="s">
        <v>392</v>
      </c>
    </row>
    <row r="19" spans="1:132" ht="15" customHeight="1" thickTop="1" thickBot="1" x14ac:dyDescent="0.35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J19" s="81" t="s">
        <v>79</v>
      </c>
      <c r="K19" s="250">
        <v>0</v>
      </c>
      <c r="L19" s="251">
        <v>2</v>
      </c>
      <c r="M19" s="251" t="s">
        <v>25</v>
      </c>
      <c r="N19" s="252">
        <f>'Tabula data'!B10*'Tabula 2zone Ref 2'!C42/2*(1-'Tabula 2zone Ref 2'!C43)</f>
        <v>0.55275000000000052</v>
      </c>
      <c r="O19" s="253" t="s">
        <v>45</v>
      </c>
      <c r="P19" s="30">
        <f t="shared" si="6"/>
        <v>0.22509582884017654</v>
      </c>
      <c r="Q19" s="30">
        <f t="shared" si="7"/>
        <v>0.1244217193914077</v>
      </c>
      <c r="R19" s="30">
        <f t="shared" si="17"/>
        <v>140434.04182500014</v>
      </c>
      <c r="S19" s="30">
        <f t="shared" si="18"/>
        <v>254064.30000000002</v>
      </c>
      <c r="T19" s="30">
        <f t="shared" si="19"/>
        <v>74057.445000000065</v>
      </c>
      <c r="U19" s="31"/>
      <c r="V19" s="3"/>
      <c r="W19" s="220"/>
      <c r="X19" s="221" t="s">
        <v>269</v>
      </c>
      <c r="Y19" s="302">
        <f>0.03+0.035</f>
        <v>6.5000000000000002E-2</v>
      </c>
      <c r="Z19" s="302">
        <v>3.5999999999999997E-2</v>
      </c>
      <c r="AA19" s="221">
        <v>26</v>
      </c>
      <c r="AB19" s="221">
        <v>1470</v>
      </c>
      <c r="AC19" s="268">
        <f>Y19/Z19</f>
        <v>1.8055555555555558</v>
      </c>
      <c r="AD19" s="222">
        <f>Y19*AA19*AB19</f>
        <v>2484.2999999999997</v>
      </c>
      <c r="AE19" s="14"/>
      <c r="AF19" s="14"/>
      <c r="AG19" s="14"/>
      <c r="AL19" s="154" t="s">
        <v>389</v>
      </c>
      <c r="AM19" s="81" t="s">
        <v>390</v>
      </c>
      <c r="AN19" s="81" t="s">
        <v>404</v>
      </c>
      <c r="AO19" s="81">
        <f>SUM(N6:N9)*(1/(SUM(AC20:AC21)*0.5+1/8))</f>
        <v>737.47138339920957</v>
      </c>
      <c r="AP19" s="81" t="s">
        <v>392</v>
      </c>
      <c r="AQ19" s="204">
        <v>654</v>
      </c>
      <c r="AU19" s="205" t="s">
        <v>389</v>
      </c>
      <c r="AV19" s="205" t="s">
        <v>390</v>
      </c>
      <c r="AW19" s="205" t="s">
        <v>404</v>
      </c>
      <c r="AX19" s="207" t="s">
        <v>434</v>
      </c>
      <c r="AY19" s="206">
        <f t="shared" si="3"/>
        <v>259</v>
      </c>
      <c r="AZ19" s="205" t="s">
        <v>392</v>
      </c>
      <c r="BE19" s="81" t="s">
        <v>450</v>
      </c>
      <c r="BF19" s="3">
        <f>BF4+BF6</f>
        <v>170.39087733722016</v>
      </c>
      <c r="BP19" s="154" t="s">
        <v>389</v>
      </c>
      <c r="BQ19" s="81" t="s">
        <v>390</v>
      </c>
      <c r="BR19" s="81" t="s">
        <v>404</v>
      </c>
      <c r="BS19" s="204">
        <f>SUM(N6:N9)*(1/(SUM(AC20:AC21)*0.5+1/3.5))</f>
        <v>437.39511721366375</v>
      </c>
      <c r="BT19" s="81" t="s">
        <v>392</v>
      </c>
      <c r="BU19" s="204">
        <v>654</v>
      </c>
      <c r="BW19" s="81" t="s">
        <v>459</v>
      </c>
      <c r="BX19" s="81">
        <f>AVERAGE(SUM(N6:N9),2*N27)*(1/(1/8+SUM(AC20:AC21)/2+SUM(AC25:AC27)/4))</f>
        <v>820.73428152492681</v>
      </c>
      <c r="BY19" s="211">
        <f>CB28</f>
        <v>259</v>
      </c>
      <c r="BZ19" s="211"/>
      <c r="CA19" s="81" t="s">
        <v>477</v>
      </c>
      <c r="CB19" s="204">
        <v>-24.6</v>
      </c>
      <c r="CC19" s="204">
        <v>1360</v>
      </c>
      <c r="CG19" s="81" t="s">
        <v>475</v>
      </c>
      <c r="CH19" s="204">
        <v>3460000</v>
      </c>
      <c r="CI19" s="204">
        <v>48400</v>
      </c>
      <c r="CJ19" s="81">
        <v>71.56</v>
      </c>
      <c r="CK19" s="81" t="s">
        <v>505</v>
      </c>
      <c r="CM19" s="81" t="s">
        <v>476</v>
      </c>
      <c r="CN19" s="204">
        <v>-6.06</v>
      </c>
      <c r="CO19" s="204">
        <v>0.14799999999999999</v>
      </c>
      <c r="CP19" s="81">
        <v>-40.880000000000003</v>
      </c>
      <c r="CQ19" s="81" t="s">
        <v>509</v>
      </c>
      <c r="CR19" s="204">
        <v>2E-16</v>
      </c>
      <c r="CS19" s="81" t="s">
        <v>510</v>
      </c>
      <c r="CU19" s="212" t="s">
        <v>506</v>
      </c>
      <c r="CV19" s="81" t="s">
        <v>393</v>
      </c>
      <c r="CW19" s="204">
        <v>0.42</v>
      </c>
      <c r="CX19" s="204">
        <v>6.3500000000000002E-6</v>
      </c>
      <c r="CY19" s="81">
        <v>66191</v>
      </c>
      <c r="CZ19" s="81" t="s">
        <v>505</v>
      </c>
      <c r="DA19" s="81" t="s">
        <v>510</v>
      </c>
      <c r="DE19" s="81" t="s">
        <v>389</v>
      </c>
      <c r="DF19" s="81" t="s">
        <v>390</v>
      </c>
      <c r="DG19" s="81" t="str">
        <f t="shared" si="13"/>
        <v>CfiD</v>
      </c>
      <c r="DH19" s="81" t="s">
        <v>434</v>
      </c>
      <c r="DI19" s="204">
        <f t="shared" si="14"/>
        <v>31500000</v>
      </c>
      <c r="DJ19" s="81" t="s">
        <v>392</v>
      </c>
      <c r="DK19" s="81" t="s">
        <v>405</v>
      </c>
      <c r="DL19" s="289">
        <f t="shared" si="0"/>
        <v>577.18811881188128</v>
      </c>
      <c r="DM19" s="289">
        <f t="shared" si="1"/>
        <v>701</v>
      </c>
      <c r="DN19" s="289">
        <f t="shared" si="2"/>
        <v>197</v>
      </c>
      <c r="DP19" s="290" t="s">
        <v>506</v>
      </c>
      <c r="DQ19" s="290" t="s">
        <v>546</v>
      </c>
      <c r="DR19" s="291">
        <v>2.0099999999999998</v>
      </c>
      <c r="DS19" s="291">
        <v>3.2099999999999997E-2</v>
      </c>
      <c r="DT19" s="290">
        <v>62.53</v>
      </c>
      <c r="DU19" s="290" t="s">
        <v>509</v>
      </c>
      <c r="DV19" s="291">
        <v>2E-16</v>
      </c>
      <c r="DW19" s="81" t="s">
        <v>510</v>
      </c>
      <c r="DX19" s="212" t="s">
        <v>568</v>
      </c>
      <c r="DY19" s="294" t="s">
        <v>583</v>
      </c>
      <c r="DZ19" s="292" t="s">
        <v>434</v>
      </c>
      <c r="EA19" s="293">
        <f t="shared" si="11"/>
        <v>1.0900000000000001</v>
      </c>
      <c r="EB19" s="212" t="s">
        <v>392</v>
      </c>
    </row>
    <row r="20" spans="1:132" ht="15" customHeight="1" thickTop="1" thickBot="1" x14ac:dyDescent="0.35">
      <c r="A20" s="220"/>
      <c r="B20" s="221"/>
      <c r="C20" s="221"/>
      <c r="D20" s="226" t="s">
        <v>83</v>
      </c>
      <c r="E20" s="231"/>
      <c r="F20" s="239">
        <f>G4/B23</f>
        <v>0.17569659442724458</v>
      </c>
      <c r="G20" s="231"/>
      <c r="H20" s="222"/>
      <c r="J20" s="81" t="s">
        <v>82</v>
      </c>
      <c r="K20" s="250">
        <v>0</v>
      </c>
      <c r="L20" s="251">
        <v>2</v>
      </c>
      <c r="M20" s="251" t="s">
        <v>25</v>
      </c>
      <c r="N20" s="252">
        <f>'Tabula data'!B10*(1-'Tabula 2zone Ref 2'!C42)/2*(1-'Tabula 2zone Ref 2'!C44)</f>
        <v>13.567500000000001</v>
      </c>
      <c r="O20" s="253" t="s">
        <v>50</v>
      </c>
      <c r="P20" s="30">
        <f t="shared" si="6"/>
        <v>0.22509582884017654</v>
      </c>
      <c r="Q20" s="30">
        <f t="shared" si="7"/>
        <v>3.0539876577890954</v>
      </c>
      <c r="R20" s="30">
        <f t="shared" si="17"/>
        <v>3447017.3902500002</v>
      </c>
      <c r="S20" s="30">
        <f t="shared" si="18"/>
        <v>254064.3</v>
      </c>
      <c r="T20" s="30">
        <f t="shared" si="19"/>
        <v>1817773.6500000001</v>
      </c>
      <c r="U20" s="31"/>
      <c r="V20" s="3"/>
      <c r="W20" s="220"/>
      <c r="X20" s="231" t="s">
        <v>270</v>
      </c>
      <c r="Y20" s="221">
        <v>0.1</v>
      </c>
      <c r="Z20" s="221">
        <v>0.54</v>
      </c>
      <c r="AA20" s="221">
        <v>1400</v>
      </c>
      <c r="AB20" s="231">
        <v>840</v>
      </c>
      <c r="AC20" s="268">
        <f>Y20/Z20</f>
        <v>0.18518518518518517</v>
      </c>
      <c r="AD20" s="222">
        <f>Y20*AA20*AB20</f>
        <v>117600</v>
      </c>
      <c r="AE20" s="14"/>
      <c r="AF20" s="14"/>
      <c r="AG20" s="14"/>
      <c r="AL20" s="154" t="s">
        <v>389</v>
      </c>
      <c r="AM20" s="81" t="s">
        <v>390</v>
      </c>
      <c r="AN20" s="81" t="s">
        <v>405</v>
      </c>
      <c r="AO20" s="81">
        <f>SUM(N14)*1/(0.5*SUM(AC44:AC45)+1/6)</f>
        <v>577.18811881188128</v>
      </c>
      <c r="AP20" s="81" t="s">
        <v>392</v>
      </c>
      <c r="AQ20" s="204">
        <v>701</v>
      </c>
      <c r="AU20" s="205" t="s">
        <v>389</v>
      </c>
      <c r="AV20" s="205" t="s">
        <v>390</v>
      </c>
      <c r="AW20" s="205" t="s">
        <v>405</v>
      </c>
      <c r="AX20" s="207" t="s">
        <v>434</v>
      </c>
      <c r="AY20" s="206">
        <f t="shared" si="3"/>
        <v>197</v>
      </c>
      <c r="AZ20" s="205" t="s">
        <v>392</v>
      </c>
      <c r="BI20" s="81" t="s">
        <v>451</v>
      </c>
      <c r="BJ20" s="204">
        <f>BF7</f>
        <v>2556473.9200000004</v>
      </c>
      <c r="BP20" s="154" t="s">
        <v>389</v>
      </c>
      <c r="BQ20" s="81" t="s">
        <v>390</v>
      </c>
      <c r="BR20" s="81" t="s">
        <v>405</v>
      </c>
      <c r="BS20" s="204">
        <f>SUM(N14)*1/(0.5*SUM(AC44:AC45)+1/3.5)</f>
        <v>386.06622516556297</v>
      </c>
      <c r="BT20" s="81" t="s">
        <v>392</v>
      </c>
      <c r="BU20" s="204">
        <v>701</v>
      </c>
      <c r="BW20" s="81" t="s">
        <v>460</v>
      </c>
      <c r="BX20" s="81">
        <f>AVERAGE(SUM(N6:N9),N26)*(1/(1/8+SUM(AC33:AC34)/2+SUM(AC20:AC21)/2))</f>
        <v>453.4751374640951</v>
      </c>
      <c r="BY20" s="211">
        <f>CB29</f>
        <v>197</v>
      </c>
      <c r="BZ20" s="211"/>
      <c r="CA20" s="81" t="s">
        <v>478</v>
      </c>
      <c r="CB20" s="204">
        <v>-13.1</v>
      </c>
      <c r="CC20" s="204">
        <v>157</v>
      </c>
      <c r="CG20" s="81" t="s">
        <v>291</v>
      </c>
      <c r="CH20" s="204">
        <v>23000000</v>
      </c>
      <c r="CI20" s="204">
        <v>709000</v>
      </c>
      <c r="CJ20" s="81">
        <v>32.450000000000003</v>
      </c>
      <c r="CK20" s="81" t="s">
        <v>505</v>
      </c>
      <c r="CM20" s="81" t="s">
        <v>477</v>
      </c>
      <c r="CN20" s="204">
        <v>-11.2</v>
      </c>
      <c r="CO20" s="204">
        <v>112</v>
      </c>
      <c r="CP20" s="81">
        <v>-0.1</v>
      </c>
      <c r="CQ20" s="81">
        <v>0.92</v>
      </c>
      <c r="CU20" s="212" t="s">
        <v>506</v>
      </c>
      <c r="CV20" s="81" t="s">
        <v>411</v>
      </c>
      <c r="CW20" s="204">
        <v>0.15</v>
      </c>
      <c r="CX20" s="204">
        <v>2.3300000000000001E-6</v>
      </c>
      <c r="CY20" s="81">
        <v>64377</v>
      </c>
      <c r="CZ20" s="81" t="s">
        <v>505</v>
      </c>
      <c r="DA20" s="81" t="s">
        <v>510</v>
      </c>
      <c r="DE20" s="81" t="s">
        <v>389</v>
      </c>
      <c r="DF20" s="81" t="s">
        <v>390</v>
      </c>
      <c r="DG20" s="81" t="str">
        <f t="shared" si="13"/>
        <v>CfiN</v>
      </c>
      <c r="DH20" s="81" t="s">
        <v>434</v>
      </c>
      <c r="DI20" s="204">
        <f t="shared" si="14"/>
        <v>67000000</v>
      </c>
      <c r="DJ20" s="81" t="s">
        <v>392</v>
      </c>
      <c r="DK20" s="81" t="s">
        <v>406</v>
      </c>
      <c r="DL20" s="289">
        <f t="shared" si="0"/>
        <v>1199.8730546623794</v>
      </c>
      <c r="DM20" s="289">
        <f t="shared" si="1"/>
        <v>1380</v>
      </c>
      <c r="DN20" s="289">
        <f t="shared" si="2"/>
        <v>487</v>
      </c>
      <c r="DP20" s="290" t="s">
        <v>506</v>
      </c>
      <c r="DQ20" s="290" t="s">
        <v>547</v>
      </c>
      <c r="DR20" s="291">
        <v>0.85799999999999998</v>
      </c>
      <c r="DS20" s="291">
        <v>0.17399999999999999</v>
      </c>
      <c r="DT20" s="290">
        <v>4.92</v>
      </c>
      <c r="DU20" s="291">
        <v>8.9999999999999996E-7</v>
      </c>
      <c r="DV20" s="290" t="s">
        <v>510</v>
      </c>
      <c r="DX20" s="212" t="s">
        <v>568</v>
      </c>
      <c r="DY20" s="295" t="s">
        <v>584</v>
      </c>
      <c r="DZ20" s="292" t="s">
        <v>434</v>
      </c>
      <c r="EA20" s="293">
        <f t="shared" si="11"/>
        <v>0.95799999999999996</v>
      </c>
      <c r="EB20" s="212" t="s">
        <v>392</v>
      </c>
    </row>
    <row r="21" spans="1:132" ht="15" customHeight="1" thickTop="1" thickBot="1" x14ac:dyDescent="0.35">
      <c r="A21" s="220"/>
      <c r="B21" s="221"/>
      <c r="C21" s="221"/>
      <c r="D21" s="226" t="s">
        <v>86</v>
      </c>
      <c r="E21" s="231"/>
      <c r="F21" s="239">
        <f>G4/B6</f>
        <v>0.17569659442724458</v>
      </c>
      <c r="G21" s="231"/>
      <c r="H21" s="222"/>
      <c r="J21" s="81" t="s">
        <v>84</v>
      </c>
      <c r="K21" s="250">
        <v>0</v>
      </c>
      <c r="L21" s="251">
        <v>2</v>
      </c>
      <c r="M21" s="251" t="s">
        <v>54</v>
      </c>
      <c r="N21" s="252">
        <f>H10</f>
        <v>2.9700000000000006</v>
      </c>
      <c r="O21" s="253" t="s">
        <v>26</v>
      </c>
      <c r="P21" s="30">
        <f t="shared" si="6"/>
        <v>1.1000000000000001</v>
      </c>
      <c r="Q21" s="30">
        <f t="shared" si="7"/>
        <v>3.2670000000000008</v>
      </c>
      <c r="R21" s="30">
        <f t="shared" si="17"/>
        <v>0</v>
      </c>
      <c r="S21" s="30">
        <f t="shared" si="18"/>
        <v>0</v>
      </c>
      <c r="T21" s="30">
        <f t="shared" si="19"/>
        <v>0</v>
      </c>
      <c r="U21" s="31"/>
      <c r="V21" s="3"/>
      <c r="W21" s="237"/>
      <c r="X21" s="219" t="s">
        <v>80</v>
      </c>
      <c r="Y21" s="219">
        <v>0.02</v>
      </c>
      <c r="Z21" s="219">
        <v>0.6</v>
      </c>
      <c r="AA21" s="219">
        <v>975</v>
      </c>
      <c r="AB21" s="219">
        <v>840</v>
      </c>
      <c r="AC21" s="269">
        <f>Y21/Z21</f>
        <v>3.3333333333333333E-2</v>
      </c>
      <c r="AD21" s="242">
        <f>Y21*AA21*AB21</f>
        <v>16380</v>
      </c>
      <c r="AE21" s="14"/>
      <c r="AF21" s="14"/>
      <c r="AG21" s="14"/>
      <c r="AL21" s="154" t="s">
        <v>389</v>
      </c>
      <c r="AM21" s="81" t="s">
        <v>390</v>
      </c>
      <c r="AN21" s="81" t="s">
        <v>406</v>
      </c>
      <c r="AO21" s="81">
        <f>4*Z23*N27</f>
        <v>1199.8730546623794</v>
      </c>
      <c r="AP21" s="81" t="s">
        <v>392</v>
      </c>
      <c r="AQ21" s="204">
        <v>1380</v>
      </c>
      <c r="AU21" s="205" t="s">
        <v>389</v>
      </c>
      <c r="AV21" s="205" t="s">
        <v>390</v>
      </c>
      <c r="AW21" s="205" t="s">
        <v>406</v>
      </c>
      <c r="AX21" s="207" t="s">
        <v>434</v>
      </c>
      <c r="AY21" s="206">
        <f t="shared" si="3"/>
        <v>487</v>
      </c>
      <c r="AZ21" s="205" t="s">
        <v>392</v>
      </c>
      <c r="BI21" s="81" t="s">
        <v>452</v>
      </c>
      <c r="BJ21" s="204">
        <f>BF27</f>
        <v>1182461.2799999998</v>
      </c>
      <c r="BP21" s="154" t="s">
        <v>389</v>
      </c>
      <c r="BQ21" s="81" t="s">
        <v>390</v>
      </c>
      <c r="BR21" s="81" t="s">
        <v>406</v>
      </c>
      <c r="BS21" s="204">
        <f>2*N27*1/(1/3.5+SUM(AC25:AC27)/2)</f>
        <v>770.08362028301883</v>
      </c>
      <c r="BT21" s="81" t="s">
        <v>392</v>
      </c>
      <c r="BU21" s="204">
        <v>1380</v>
      </c>
      <c r="BW21" s="81" t="s">
        <v>461</v>
      </c>
      <c r="BX21" s="81">
        <f>AVERAGE(SUM(N6:N9),N14)*(1/(1/8+SUM(AC44:AC45)/2+SUM(AC20:AC21)/2))</f>
        <v>505.66548303993136</v>
      </c>
      <c r="BY21" s="211">
        <f>CB30</f>
        <v>487</v>
      </c>
      <c r="BZ21" s="211"/>
      <c r="CA21" s="81" t="s">
        <v>479</v>
      </c>
      <c r="CB21" s="204">
        <v>-14.4</v>
      </c>
      <c r="CC21" s="204">
        <v>199</v>
      </c>
      <c r="CG21" s="81" t="s">
        <v>293</v>
      </c>
      <c r="CH21" s="204">
        <v>28700000</v>
      </c>
      <c r="CI21" s="204">
        <v>324000</v>
      </c>
      <c r="CJ21" s="81">
        <v>88.56</v>
      </c>
      <c r="CK21" s="81" t="s">
        <v>505</v>
      </c>
      <c r="CM21" s="81" t="s">
        <v>478</v>
      </c>
      <c r="CN21" s="204">
        <v>-15.5</v>
      </c>
      <c r="CO21" s="204">
        <v>201</v>
      </c>
      <c r="CP21" s="81">
        <v>-0.08</v>
      </c>
      <c r="CQ21" s="81">
        <v>0.93799999999999994</v>
      </c>
      <c r="CU21" s="212" t="s">
        <v>506</v>
      </c>
      <c r="CV21" s="81" t="s">
        <v>394</v>
      </c>
      <c r="CW21" s="204">
        <v>0.14000000000000001</v>
      </c>
      <c r="CX21" s="204">
        <v>2.1799999999999999E-6</v>
      </c>
      <c r="CY21" s="81">
        <v>64312</v>
      </c>
      <c r="CZ21" s="81" t="s">
        <v>505</v>
      </c>
      <c r="DA21" s="81" t="s">
        <v>510</v>
      </c>
      <c r="DE21" s="81" t="s">
        <v>389</v>
      </c>
      <c r="DF21" s="81" t="s">
        <v>390</v>
      </c>
      <c r="DG21" s="81" t="str">
        <f t="shared" si="13"/>
        <v>CiD</v>
      </c>
      <c r="DH21" s="81" t="s">
        <v>434</v>
      </c>
      <c r="DI21" s="204">
        <f t="shared" si="14"/>
        <v>2700000</v>
      </c>
      <c r="DJ21" s="81" t="s">
        <v>392</v>
      </c>
      <c r="DK21" s="81" t="s">
        <v>407</v>
      </c>
      <c r="DL21" s="289">
        <f t="shared" si="0"/>
        <v>96.114010526315809</v>
      </c>
      <c r="DM21" s="289">
        <f t="shared" si="1"/>
        <v>259</v>
      </c>
      <c r="DN21" s="289">
        <f t="shared" si="2"/>
        <v>274</v>
      </c>
      <c r="DP21" s="290" t="s">
        <v>506</v>
      </c>
      <c r="DQ21" s="290" t="s">
        <v>412</v>
      </c>
      <c r="DR21" s="291">
        <v>8.8800000000000001E-7</v>
      </c>
      <c r="DS21" s="291">
        <v>6.4099999999999996E-6</v>
      </c>
      <c r="DT21" s="290">
        <v>0.14000000000000001</v>
      </c>
      <c r="DU21" s="290">
        <v>0.88970000000000005</v>
      </c>
      <c r="DX21" s="212" t="s">
        <v>568</v>
      </c>
      <c r="DY21" s="295" t="s">
        <v>585</v>
      </c>
      <c r="DZ21" s="292" t="s">
        <v>434</v>
      </c>
      <c r="EA21" s="293">
        <f t="shared" si="11"/>
        <v>0.78400000000000003</v>
      </c>
      <c r="EB21" s="212" t="s">
        <v>392</v>
      </c>
    </row>
    <row r="22" spans="1:132" ht="15" customHeight="1" thickTop="1" thickBot="1" x14ac:dyDescent="0.35">
      <c r="A22" s="237"/>
      <c r="B22" s="219"/>
      <c r="C22" s="219"/>
      <c r="D22" s="220" t="s">
        <v>88</v>
      </c>
      <c r="E22" s="221"/>
      <c r="F22" s="227">
        <f>G4/B26</f>
        <v>8.1347428776204975E-2</v>
      </c>
      <c r="G22" s="221"/>
      <c r="H22" s="222"/>
      <c r="J22" s="81" t="s">
        <v>87</v>
      </c>
      <c r="K22" s="250">
        <v>0</v>
      </c>
      <c r="L22" s="251">
        <v>2</v>
      </c>
      <c r="M22" s="251" t="s">
        <v>54</v>
      </c>
      <c r="N22" s="252">
        <f>H11</f>
        <v>3.3300000000000005</v>
      </c>
      <c r="O22" s="253" t="s">
        <v>39</v>
      </c>
      <c r="P22" s="30">
        <f t="shared" si="6"/>
        <v>1.1000000000000001</v>
      </c>
      <c r="Q22" s="30">
        <f t="shared" si="7"/>
        <v>3.6630000000000007</v>
      </c>
      <c r="R22" s="30">
        <f t="shared" si="17"/>
        <v>0</v>
      </c>
      <c r="S22" s="30">
        <f t="shared" si="18"/>
        <v>0</v>
      </c>
      <c r="T22" s="30">
        <f t="shared" si="19"/>
        <v>0</v>
      </c>
      <c r="U22" s="31"/>
      <c r="V22" s="3"/>
      <c r="W22" s="258"/>
      <c r="X22" s="258"/>
      <c r="Y22" s="258"/>
      <c r="Z22" s="258"/>
      <c r="AA22" s="258"/>
      <c r="AB22" s="258"/>
      <c r="AC22" s="258"/>
      <c r="AD22" s="258"/>
      <c r="AE22" s="14"/>
      <c r="AF22" s="14"/>
      <c r="AG22" s="14"/>
      <c r="AL22" s="154" t="s">
        <v>389</v>
      </c>
      <c r="AM22" s="81" t="s">
        <v>390</v>
      </c>
      <c r="AN22" s="81" t="s">
        <v>407</v>
      </c>
      <c r="AO22" s="3">
        <f>'Verwarming Tabula 2zone'!B60+SUM(Q10:Q13)</f>
        <v>96.114010526315809</v>
      </c>
      <c r="AP22" s="81" t="s">
        <v>392</v>
      </c>
      <c r="AQ22" s="204">
        <v>259</v>
      </c>
      <c r="AU22" s="205" t="s">
        <v>389</v>
      </c>
      <c r="AV22" s="205" t="s">
        <v>390</v>
      </c>
      <c r="AW22" s="205" t="s">
        <v>407</v>
      </c>
      <c r="AX22" s="207" t="s">
        <v>434</v>
      </c>
      <c r="AY22" s="206">
        <f t="shared" si="3"/>
        <v>274</v>
      </c>
      <c r="AZ22" s="205" t="s">
        <v>392</v>
      </c>
      <c r="BP22" s="154" t="s">
        <v>389</v>
      </c>
      <c r="BQ22" s="81" t="s">
        <v>390</v>
      </c>
      <c r="BR22" s="81" t="s">
        <v>407</v>
      </c>
      <c r="BS22" s="204">
        <f t="shared" ref="BS22" si="20">AQ22</f>
        <v>259</v>
      </c>
      <c r="BT22" s="81" t="s">
        <v>392</v>
      </c>
      <c r="BU22" s="204">
        <v>259</v>
      </c>
      <c r="BW22" s="81" t="s">
        <v>462</v>
      </c>
      <c r="BX22" s="81">
        <f>AVERAGE(SUM(N27),N26)*(1/(1/8+SUM(AC33:AC34)/2+SUM(AC25:AC27)/4))</f>
        <v>496.23660080826215</v>
      </c>
      <c r="BY22" s="211">
        <f>CB31</f>
        <v>274</v>
      </c>
      <c r="BZ22" s="211"/>
      <c r="CA22" s="81" t="s">
        <v>480</v>
      </c>
      <c r="CB22" s="204">
        <v>-14.1</v>
      </c>
      <c r="CC22" s="204">
        <v>189</v>
      </c>
      <c r="CG22" s="81" t="s">
        <v>476</v>
      </c>
      <c r="CH22" s="204">
        <v>-6.33</v>
      </c>
      <c r="CI22" s="204">
        <v>8.6699999999999999E-2</v>
      </c>
      <c r="CJ22" s="81">
        <v>-73.040000000000006</v>
      </c>
      <c r="CK22" s="81" t="s">
        <v>505</v>
      </c>
      <c r="CM22" s="81" t="s">
        <v>479</v>
      </c>
      <c r="CN22" s="204">
        <v>-12.1</v>
      </c>
      <c r="CO22" s="204">
        <v>79.7</v>
      </c>
      <c r="CP22" s="81">
        <v>-0.15</v>
      </c>
      <c r="CQ22" s="81">
        <v>0.879</v>
      </c>
      <c r="CU22" s="212" t="s">
        <v>506</v>
      </c>
      <c r="CV22" s="81" t="s">
        <v>412</v>
      </c>
      <c r="CW22" s="204">
        <v>0.11</v>
      </c>
      <c r="CX22" s="204">
        <v>1.72E-6</v>
      </c>
      <c r="CY22" s="81">
        <v>64117</v>
      </c>
      <c r="CZ22" s="81" t="s">
        <v>505</v>
      </c>
      <c r="DA22" s="81" t="s">
        <v>510</v>
      </c>
      <c r="DE22" s="81" t="s">
        <v>389</v>
      </c>
      <c r="DF22" s="81" t="s">
        <v>390</v>
      </c>
      <c r="DG22" s="81" t="str">
        <f t="shared" si="13"/>
        <v>CiN</v>
      </c>
      <c r="DH22" s="81" t="s">
        <v>434</v>
      </c>
      <c r="DI22" s="204">
        <f t="shared" si="14"/>
        <v>1700000</v>
      </c>
      <c r="DJ22" s="81" t="s">
        <v>392</v>
      </c>
      <c r="DK22" s="81" t="s">
        <v>408</v>
      </c>
      <c r="DL22" s="289">
        <f t="shared" si="0"/>
        <v>82.595772961736841</v>
      </c>
      <c r="DM22" s="289">
        <f t="shared" si="1"/>
        <v>123.91573729863691</v>
      </c>
      <c r="DN22" s="289">
        <f t="shared" si="2"/>
        <v>155.27950310559004</v>
      </c>
      <c r="DP22" s="290" t="s">
        <v>506</v>
      </c>
      <c r="DQ22" s="290" t="s">
        <v>548</v>
      </c>
      <c r="DR22" s="291">
        <v>0.32600000000000001</v>
      </c>
      <c r="DS22" s="291">
        <v>0.105</v>
      </c>
      <c r="DT22" s="290">
        <v>3.11</v>
      </c>
      <c r="DU22" s="290">
        <v>1.9E-3</v>
      </c>
      <c r="DV22" s="290" t="s">
        <v>516</v>
      </c>
      <c r="DX22" s="212" t="s">
        <v>568</v>
      </c>
      <c r="DY22" s="295" t="s">
        <v>586</v>
      </c>
      <c r="DZ22" s="292" t="s">
        <v>434</v>
      </c>
      <c r="EA22" s="293">
        <f t="shared" si="11"/>
        <v>1.16E-8</v>
      </c>
      <c r="EB22" s="212" t="s">
        <v>392</v>
      </c>
    </row>
    <row r="23" spans="1:132" ht="15" customHeight="1" thickTop="1" thickBot="1" x14ac:dyDescent="0.35">
      <c r="A23" s="223" t="s">
        <v>91</v>
      </c>
      <c r="B23" s="224">
        <f>B17+B6</f>
        <v>258.39999999999998</v>
      </c>
      <c r="C23" s="234" t="s">
        <v>9</v>
      </c>
      <c r="D23" s="220"/>
      <c r="E23" s="221"/>
      <c r="F23" s="221"/>
      <c r="G23" s="221"/>
      <c r="H23" s="222"/>
      <c r="J23" s="81" t="s">
        <v>89</v>
      </c>
      <c r="K23" s="250">
        <v>0</v>
      </c>
      <c r="L23" s="251">
        <v>2</v>
      </c>
      <c r="M23" s="251" t="s">
        <v>54</v>
      </c>
      <c r="N23" s="252">
        <f>H12</f>
        <v>3.9000000000000004</v>
      </c>
      <c r="O23" s="253" t="s">
        <v>45</v>
      </c>
      <c r="P23" s="30">
        <f t="shared" si="6"/>
        <v>1.1000000000000001</v>
      </c>
      <c r="Q23" s="30">
        <f t="shared" si="7"/>
        <v>4.2900000000000009</v>
      </c>
      <c r="R23" s="30">
        <f t="shared" si="17"/>
        <v>0</v>
      </c>
      <c r="S23" s="30">
        <f t="shared" si="18"/>
        <v>0</v>
      </c>
      <c r="T23" s="30">
        <f t="shared" si="19"/>
        <v>0</v>
      </c>
      <c r="U23" s="31"/>
      <c r="V23" s="3"/>
      <c r="W23" s="260" t="s">
        <v>85</v>
      </c>
      <c r="X23" s="261"/>
      <c r="Y23" s="262" t="s">
        <v>21</v>
      </c>
      <c r="Z23" s="263">
        <f>(1/(1/8+SUM(AC25:AC27)+1/8))</f>
        <v>1.7363344051446945</v>
      </c>
      <c r="AA23" s="261" t="s">
        <v>5</v>
      </c>
      <c r="AB23" s="261"/>
      <c r="AC23" s="261" t="s">
        <v>22</v>
      </c>
      <c r="AD23" s="264">
        <f>SUM(AD25:AD28)</f>
        <v>197400.00000000003</v>
      </c>
      <c r="AE23" s="14" t="s">
        <v>23</v>
      </c>
      <c r="AF23" s="14">
        <f>SUM(AD25:AD27)</f>
        <v>197400.00000000003</v>
      </c>
      <c r="AG23" s="14"/>
      <c r="AL23" s="154" t="s">
        <v>389</v>
      </c>
      <c r="AM23" s="81" t="s">
        <v>390</v>
      </c>
      <c r="AN23" s="81" t="s">
        <v>408</v>
      </c>
      <c r="AO23" s="81">
        <f>SUM(N6:N9)*1/(SUM(AC17:AC19)+0.5*SUM(AC20:AC21)+1/23)</f>
        <v>82.595772961736841</v>
      </c>
      <c r="AP23" s="81" t="s">
        <v>392</v>
      </c>
      <c r="AQ23" s="81">
        <f>1/(0.00807)</f>
        <v>123.91573729863691</v>
      </c>
      <c r="AU23" s="205" t="s">
        <v>389</v>
      </c>
      <c r="AV23" s="205" t="s">
        <v>390</v>
      </c>
      <c r="AW23" s="205" t="s">
        <v>408</v>
      </c>
      <c r="AX23" s="207" t="s">
        <v>434</v>
      </c>
      <c r="AY23" s="206">
        <f t="shared" si="3"/>
        <v>155.27950310559004</v>
      </c>
      <c r="AZ23" s="205" t="s">
        <v>392</v>
      </c>
      <c r="BD23" s="208"/>
      <c r="BE23" s="208" t="s">
        <v>453</v>
      </c>
      <c r="BI23" s="81" t="s">
        <v>295</v>
      </c>
      <c r="BJ23" s="204">
        <f>BJ9+BJ10+BJ11+BJ12+BJ18</f>
        <v>144920064.08999997</v>
      </c>
      <c r="BP23" s="154" t="s">
        <v>389</v>
      </c>
      <c r="BQ23" s="81" t="s">
        <v>390</v>
      </c>
      <c r="BR23" s="81" t="s">
        <v>408</v>
      </c>
      <c r="BS23" s="204">
        <f>AQ23</f>
        <v>123.91573729863691</v>
      </c>
      <c r="BT23" s="81" t="s">
        <v>392</v>
      </c>
      <c r="BU23" s="81">
        <f>1/(0.00807)</f>
        <v>123.91573729863691</v>
      </c>
      <c r="BW23" s="81" t="s">
        <v>463</v>
      </c>
      <c r="BX23" s="81">
        <f>AVERAGE(SUM(N27),N14)*(1/(1/8+SUM(AC44:AC45)/2+SUM(AC25:AC27)/4))</f>
        <v>555.7786267107125</v>
      </c>
      <c r="BY23" s="211">
        <f>1/CB37</f>
        <v>155.27950310559004</v>
      </c>
      <c r="BZ23" s="211"/>
      <c r="CA23" s="81" t="s">
        <v>481</v>
      </c>
      <c r="CB23" s="204">
        <v>6.9400000000000003E-2</v>
      </c>
      <c r="CC23" s="204">
        <v>7.76E-4</v>
      </c>
      <c r="CG23" s="81" t="s">
        <v>477</v>
      </c>
      <c r="CH23" s="204">
        <v>-24.6</v>
      </c>
      <c r="CI23" s="204">
        <v>1360</v>
      </c>
      <c r="CJ23" s="81">
        <v>-0.02</v>
      </c>
      <c r="CK23" s="81">
        <v>0.99</v>
      </c>
      <c r="CM23" s="81" t="s">
        <v>481</v>
      </c>
      <c r="CN23" s="204">
        <v>0.19700000000000001</v>
      </c>
      <c r="CO23" s="204">
        <v>1.81E-3</v>
      </c>
      <c r="CP23" s="81">
        <v>108.63</v>
      </c>
      <c r="CQ23" s="81" t="s">
        <v>509</v>
      </c>
      <c r="CR23" s="204">
        <v>2E-16</v>
      </c>
      <c r="CS23" s="81" t="s">
        <v>510</v>
      </c>
      <c r="CU23" s="212">
        <v>16</v>
      </c>
      <c r="DE23" s="81" t="s">
        <v>389</v>
      </c>
      <c r="DF23" s="81" t="s">
        <v>390</v>
      </c>
      <c r="DG23" s="81" t="str">
        <f t="shared" si="13"/>
        <v>CwD</v>
      </c>
      <c r="DH23" s="81" t="s">
        <v>434</v>
      </c>
      <c r="DI23" s="204">
        <f t="shared" si="14"/>
        <v>16300000</v>
      </c>
      <c r="DJ23" s="81" t="s">
        <v>392</v>
      </c>
      <c r="DK23" s="81" t="s">
        <v>409</v>
      </c>
      <c r="DL23" s="289">
        <f t="shared" si="0"/>
        <v>33.245508982035929</v>
      </c>
      <c r="DM23" s="289">
        <f t="shared" si="1"/>
        <v>63.9</v>
      </c>
      <c r="DN23" s="289">
        <f t="shared" si="2"/>
        <v>58.3</v>
      </c>
      <c r="DP23" s="290" t="s">
        <v>506</v>
      </c>
      <c r="DQ23" s="290" t="s">
        <v>549</v>
      </c>
      <c r="DR23" s="291">
        <v>0.28599999999999998</v>
      </c>
      <c r="DS23" s="291">
        <v>0.19400000000000001</v>
      </c>
      <c r="DT23" s="290">
        <v>1.47</v>
      </c>
      <c r="DU23" s="290">
        <v>0.1406</v>
      </c>
      <c r="DX23" s="212" t="s">
        <v>568</v>
      </c>
      <c r="DY23" s="294" t="s">
        <v>587</v>
      </c>
      <c r="DZ23" s="292" t="s">
        <v>434</v>
      </c>
      <c r="EA23" s="293">
        <f t="shared" si="11"/>
        <v>0.88800000000000001</v>
      </c>
      <c r="EB23" s="212" t="s">
        <v>392</v>
      </c>
    </row>
    <row r="24" spans="1:132" ht="15" customHeight="1" thickTop="1" thickBot="1" x14ac:dyDescent="0.35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0.4628482972136222</v>
      </c>
      <c r="G24" s="221"/>
      <c r="H24" s="222"/>
      <c r="J24" s="81" t="s">
        <v>92</v>
      </c>
      <c r="K24" s="250">
        <v>0</v>
      </c>
      <c r="L24" s="251">
        <v>2</v>
      </c>
      <c r="M24" s="251" t="s">
        <v>54</v>
      </c>
      <c r="N24" s="252">
        <f>H13</f>
        <v>3.4200000000000008</v>
      </c>
      <c r="O24" s="253" t="s">
        <v>50</v>
      </c>
      <c r="P24" s="30">
        <f t="shared" si="6"/>
        <v>1.1000000000000001</v>
      </c>
      <c r="Q24" s="30">
        <f t="shared" si="7"/>
        <v>3.7620000000000013</v>
      </c>
      <c r="R24" s="30">
        <f t="shared" si="17"/>
        <v>0</v>
      </c>
      <c r="S24" s="30">
        <f t="shared" si="18"/>
        <v>0</v>
      </c>
      <c r="T24" s="30">
        <f t="shared" si="19"/>
        <v>0</v>
      </c>
      <c r="U24" s="31"/>
      <c r="V24" s="3"/>
      <c r="W24" s="265"/>
      <c r="X24" s="266" t="s">
        <v>27</v>
      </c>
      <c r="Y24" s="266" t="s">
        <v>28</v>
      </c>
      <c r="Z24" s="266" t="s">
        <v>29</v>
      </c>
      <c r="AA24" s="266" t="s">
        <v>30</v>
      </c>
      <c r="AB24" s="266" t="s">
        <v>31</v>
      </c>
      <c r="AC24" s="266" t="s">
        <v>32</v>
      </c>
      <c r="AD24" s="267" t="s">
        <v>33</v>
      </c>
      <c r="AE24" s="14"/>
      <c r="AF24" s="14"/>
      <c r="AG24" s="14"/>
      <c r="AL24" s="154" t="s">
        <v>389</v>
      </c>
      <c r="AM24" s="81" t="s">
        <v>390</v>
      </c>
      <c r="AN24" s="81" t="s">
        <v>409</v>
      </c>
      <c r="AO24" s="81">
        <f>SUM(N14)*1/(SUM(AC46:AC48)+0.5*SUM(AC44:AC45))</f>
        <v>33.245508982035929</v>
      </c>
      <c r="AP24" s="81" t="s">
        <v>392</v>
      </c>
      <c r="AQ24" s="204">
        <f>63.9</f>
        <v>63.9</v>
      </c>
      <c r="AU24" s="205" t="s">
        <v>389</v>
      </c>
      <c r="AV24" s="205" t="s">
        <v>390</v>
      </c>
      <c r="AW24" s="205" t="s">
        <v>409</v>
      </c>
      <c r="AX24" s="207" t="s">
        <v>434</v>
      </c>
      <c r="AY24" s="206">
        <f t="shared" si="3"/>
        <v>58.3</v>
      </c>
      <c r="AZ24" s="205" t="s">
        <v>392</v>
      </c>
      <c r="BE24" s="81" t="s">
        <v>281</v>
      </c>
      <c r="BF24" s="81">
        <f>1/(1/AO37+1/AO40)</f>
        <v>32.559659151364379</v>
      </c>
      <c r="BI24" s="81" t="s">
        <v>122</v>
      </c>
      <c r="BJ24" s="204">
        <f>BJ20+BJ21</f>
        <v>3738935.2</v>
      </c>
      <c r="BP24" s="154" t="s">
        <v>389</v>
      </c>
      <c r="BQ24" s="81" t="s">
        <v>390</v>
      </c>
      <c r="BR24" s="81" t="s">
        <v>409</v>
      </c>
      <c r="BS24" s="204">
        <f>AQ24</f>
        <v>63.9</v>
      </c>
      <c r="BT24" s="81" t="s">
        <v>392</v>
      </c>
      <c r="BU24" s="204">
        <f>63.9</f>
        <v>63.9</v>
      </c>
      <c r="BW24" s="81" t="s">
        <v>464</v>
      </c>
      <c r="BX24" s="81">
        <f>AVERAGE(SUM(N26),N14)*(1/(1/8+SUM(AC44:AC45)/2+SUM(AC33:AC34)/4))</f>
        <v>531.99999999999989</v>
      </c>
      <c r="BY24" s="211">
        <f>CB40</f>
        <v>58.3</v>
      </c>
      <c r="BZ24" s="211"/>
      <c r="CA24" s="81" t="s">
        <v>482</v>
      </c>
      <c r="CB24" s="204">
        <v>0.14099999999999999</v>
      </c>
      <c r="CC24" s="204">
        <v>9.4499999999999998E-4</v>
      </c>
      <c r="CG24" s="81" t="s">
        <v>478</v>
      </c>
      <c r="CH24" s="204">
        <v>-13.1</v>
      </c>
      <c r="CI24" s="204">
        <v>157</v>
      </c>
      <c r="CJ24" s="81">
        <v>-0.08</v>
      </c>
      <c r="CK24" s="81">
        <v>0.93</v>
      </c>
      <c r="CM24" s="81" t="s">
        <v>482</v>
      </c>
      <c r="CN24" s="204">
        <v>4.9399999999999999E-2</v>
      </c>
      <c r="CO24" s="204">
        <v>3.4299999999999999E-4</v>
      </c>
      <c r="CP24" s="81">
        <v>144.25</v>
      </c>
      <c r="CQ24" s="81" t="s">
        <v>509</v>
      </c>
      <c r="CR24" s="204">
        <v>2E-16</v>
      </c>
      <c r="CS24" s="81" t="s">
        <v>510</v>
      </c>
      <c r="CU24" s="212" t="s">
        <v>506</v>
      </c>
      <c r="CV24" s="81" t="s">
        <v>423</v>
      </c>
      <c r="CW24" s="204">
        <v>0.17</v>
      </c>
      <c r="CX24" s="204">
        <v>2.6400000000000001E-6</v>
      </c>
      <c r="CY24" s="81">
        <v>64508</v>
      </c>
      <c r="CZ24" s="81" t="s">
        <v>505</v>
      </c>
      <c r="DA24" s="81" t="s">
        <v>510</v>
      </c>
      <c r="DE24" s="81" t="s">
        <v>389</v>
      </c>
      <c r="DF24" s="81" t="s">
        <v>390</v>
      </c>
      <c r="DG24" s="81" t="str">
        <f t="shared" si="13"/>
        <v>CwiD</v>
      </c>
      <c r="DH24" s="81" t="s">
        <v>434</v>
      </c>
      <c r="DI24" s="204">
        <f t="shared" si="14"/>
        <v>26200000</v>
      </c>
      <c r="DJ24" s="81" t="s">
        <v>392</v>
      </c>
      <c r="DL24" s="287">
        <f t="shared" si="0"/>
        <v>0</v>
      </c>
      <c r="DM24" s="287">
        <f t="shared" si="1"/>
        <v>0</v>
      </c>
      <c r="DN24" s="287">
        <f t="shared" si="2"/>
        <v>0</v>
      </c>
      <c r="DP24" s="290" t="s">
        <v>506</v>
      </c>
      <c r="DQ24" s="290" t="s">
        <v>550</v>
      </c>
      <c r="DR24" s="291">
        <v>1</v>
      </c>
      <c r="DS24" s="291">
        <v>1.38E-2</v>
      </c>
      <c r="DT24" s="290">
        <v>72.400000000000006</v>
      </c>
      <c r="DU24" s="290" t="s">
        <v>509</v>
      </c>
      <c r="DV24" s="291">
        <v>2E-16</v>
      </c>
      <c r="DW24" s="81" t="s">
        <v>510</v>
      </c>
      <c r="DX24" s="212" t="s">
        <v>568</v>
      </c>
      <c r="DY24" s="292" t="s">
        <v>588</v>
      </c>
      <c r="DZ24" s="292" t="s">
        <v>434</v>
      </c>
      <c r="EA24" s="293">
        <f t="shared" si="11"/>
        <v>0.73599999999999999</v>
      </c>
      <c r="EB24" s="212" t="s">
        <v>392</v>
      </c>
    </row>
    <row r="25" spans="1:132" ht="15" customHeight="1" thickTop="1" thickBot="1" x14ac:dyDescent="0.35">
      <c r="A25" s="237"/>
      <c r="B25" s="219"/>
      <c r="C25" s="219"/>
      <c r="D25" s="220"/>
      <c r="E25" s="221"/>
      <c r="F25" s="221"/>
      <c r="G25" s="221"/>
      <c r="H25" s="222"/>
      <c r="J25" s="81" t="s">
        <v>96</v>
      </c>
      <c r="K25" s="250">
        <v>0</v>
      </c>
      <c r="L25" s="251">
        <v>2</v>
      </c>
      <c r="M25" s="251" t="s">
        <v>20</v>
      </c>
      <c r="N25" s="252">
        <f>'Tabula data'!B7</f>
        <v>161.6</v>
      </c>
      <c r="O25" s="253" t="s">
        <v>97</v>
      </c>
      <c r="P25" s="30">
        <f t="shared" si="6"/>
        <v>0.16141672417624836</v>
      </c>
      <c r="Q25" s="30">
        <f t="shared" si="7"/>
        <v>26.084942626881734</v>
      </c>
      <c r="R25" s="30">
        <f t="shared" si="17"/>
        <v>12407001.6</v>
      </c>
      <c r="S25" s="30">
        <f t="shared" si="18"/>
        <v>76776</v>
      </c>
      <c r="T25" s="30">
        <f t="shared" si="19"/>
        <v>6637881.5999999996</v>
      </c>
      <c r="U25" s="31"/>
      <c r="V25" s="3"/>
      <c r="W25" s="220"/>
      <c r="X25" s="221" t="s">
        <v>90</v>
      </c>
      <c r="Y25" s="221">
        <v>0.02</v>
      </c>
      <c r="Z25" s="221">
        <v>0.6</v>
      </c>
      <c r="AA25" s="221">
        <v>975</v>
      </c>
      <c r="AB25" s="221">
        <v>840</v>
      </c>
      <c r="AC25" s="268">
        <f>Y25/Z25</f>
        <v>3.3333333333333333E-2</v>
      </c>
      <c r="AD25" s="222">
        <f>Y25*AA25*AB25</f>
        <v>16380</v>
      </c>
      <c r="AE25" s="14"/>
      <c r="AF25" s="14"/>
      <c r="AG25" s="14"/>
      <c r="AP25" s="81" t="s">
        <v>392</v>
      </c>
      <c r="AU25" s="205"/>
      <c r="AV25" s="205"/>
      <c r="AW25" s="205"/>
      <c r="AX25" s="207"/>
      <c r="AZ25" s="205"/>
      <c r="BE25" s="81" t="s">
        <v>282</v>
      </c>
      <c r="BF25" s="3">
        <f>AO39</f>
        <v>67.67838947368422</v>
      </c>
      <c r="BI25" s="81" t="s">
        <v>454</v>
      </c>
      <c r="BJ25" s="204">
        <f>BJ23+BJ24</f>
        <v>148658999.28999996</v>
      </c>
      <c r="BS25" s="204"/>
      <c r="BT25" s="81" t="s">
        <v>392</v>
      </c>
      <c r="CA25" s="81" t="s">
        <v>483</v>
      </c>
      <c r="CB25" s="204">
        <v>0.76</v>
      </c>
      <c r="CC25" s="204">
        <v>3.9399999999999999E-3</v>
      </c>
      <c r="CG25" s="81" t="s">
        <v>479</v>
      </c>
      <c r="CH25" s="204">
        <v>-14.4</v>
      </c>
      <c r="CI25" s="204">
        <v>199</v>
      </c>
      <c r="CJ25" s="81">
        <v>-7.0000000000000007E-2</v>
      </c>
      <c r="CK25" s="81">
        <v>0.94</v>
      </c>
      <c r="CM25" s="81" t="s">
        <v>483</v>
      </c>
      <c r="CN25" s="204">
        <v>0.59799999999999998</v>
      </c>
      <c r="CO25" s="204">
        <v>1.04E-2</v>
      </c>
      <c r="CP25" s="81">
        <v>57.36</v>
      </c>
      <c r="CQ25" s="81" t="s">
        <v>509</v>
      </c>
      <c r="CR25" s="204">
        <v>2E-16</v>
      </c>
      <c r="CS25" s="81" t="s">
        <v>510</v>
      </c>
      <c r="CU25" s="212" t="s">
        <v>506</v>
      </c>
      <c r="CV25" s="81" t="s">
        <v>424</v>
      </c>
      <c r="CW25" s="204">
        <v>0.34</v>
      </c>
      <c r="CX25" s="204">
        <v>5.1800000000000004E-6</v>
      </c>
      <c r="CY25" s="81">
        <v>65643</v>
      </c>
      <c r="CZ25" s="81" t="s">
        <v>505</v>
      </c>
      <c r="DA25" s="81" t="s">
        <v>510</v>
      </c>
      <c r="DE25" s="81" t="s">
        <v>389</v>
      </c>
      <c r="DF25" s="81" t="s">
        <v>390</v>
      </c>
      <c r="DG25" s="81" t="str">
        <f t="shared" si="13"/>
        <v>CwiN</v>
      </c>
      <c r="DH25" s="81" t="s">
        <v>434</v>
      </c>
      <c r="DI25" s="204">
        <f t="shared" si="14"/>
        <v>5730000</v>
      </c>
      <c r="DJ25" s="81" t="s">
        <v>392</v>
      </c>
      <c r="DK25" s="81" t="s">
        <v>410</v>
      </c>
      <c r="DL25" s="286">
        <f t="shared" si="0"/>
        <v>0.54039271166321767</v>
      </c>
      <c r="DM25" s="286">
        <f t="shared" si="1"/>
        <v>0.41399999999999998</v>
      </c>
      <c r="DN25" s="286">
        <f t="shared" si="2"/>
        <v>0.44800000000000001</v>
      </c>
      <c r="DP25" s="290" t="s">
        <v>506</v>
      </c>
      <c r="DQ25" s="290" t="s">
        <v>551</v>
      </c>
      <c r="DR25" s="291">
        <v>0.107</v>
      </c>
      <c r="DS25" s="291">
        <v>4.2500000000000003E-2</v>
      </c>
      <c r="DT25" s="290">
        <v>2.5099999999999998</v>
      </c>
      <c r="DU25" s="290">
        <v>1.21E-2</v>
      </c>
      <c r="DV25" s="290" t="s">
        <v>511</v>
      </c>
      <c r="DZ25" s="292"/>
    </row>
    <row r="26" spans="1:132" ht="15" customHeight="1" thickTop="1" thickBot="1" x14ac:dyDescent="0.35">
      <c r="A26" s="223" t="s">
        <v>100</v>
      </c>
      <c r="B26" s="241">
        <f>'Tabula data'!B6</f>
        <v>558.1</v>
      </c>
      <c r="C26" s="235" t="s">
        <v>9</v>
      </c>
      <c r="D26" s="220"/>
      <c r="E26" s="221"/>
      <c r="F26" s="221"/>
      <c r="G26" s="221"/>
      <c r="H26" s="222"/>
      <c r="J26" s="81" t="s">
        <v>98</v>
      </c>
      <c r="K26" s="250">
        <v>1</v>
      </c>
      <c r="L26" s="251">
        <v>2</v>
      </c>
      <c r="M26" s="251" t="s">
        <v>99</v>
      </c>
      <c r="N26" s="252">
        <f>'Tabula data'!B4-'Tabula data'!B14</f>
        <v>119.59999999999997</v>
      </c>
      <c r="O26" s="253"/>
      <c r="P26" s="30">
        <f t="shared" si="6"/>
        <v>1.4549653579676673</v>
      </c>
      <c r="Q26" s="30">
        <f t="shared" si="7"/>
        <v>174.01385681293297</v>
      </c>
      <c r="R26" s="30">
        <f t="shared" si="17"/>
        <v>55678583.999999985</v>
      </c>
      <c r="S26" s="30">
        <f t="shared" si="18"/>
        <v>465540</v>
      </c>
      <c r="T26" s="30">
        <f t="shared" si="19"/>
        <v>55678583.999999985</v>
      </c>
      <c r="U26" s="31"/>
      <c r="V26" s="3"/>
      <c r="W26" s="220"/>
      <c r="X26" s="221" t="s">
        <v>93</v>
      </c>
      <c r="Y26" s="221">
        <v>0.14000000000000001</v>
      </c>
      <c r="Z26" s="221">
        <v>0.54</v>
      </c>
      <c r="AA26" s="221">
        <v>1400</v>
      </c>
      <c r="AB26" s="221">
        <v>840</v>
      </c>
      <c r="AC26" s="268">
        <f>Y26/Z26</f>
        <v>0.25925925925925924</v>
      </c>
      <c r="AD26" s="222">
        <f>Y26*AA26*AB26</f>
        <v>164640.00000000003</v>
      </c>
      <c r="AE26" s="14"/>
      <c r="AF26" s="14"/>
      <c r="AG26" s="14"/>
      <c r="AL26" s="154" t="s">
        <v>389</v>
      </c>
      <c r="AM26" s="81" t="s">
        <v>390</v>
      </c>
      <c r="AN26" s="81" t="s">
        <v>410</v>
      </c>
      <c r="AO26" s="81">
        <f>SUM(N17:N20,N25)/SUM(N$17:N$25,N$28,N$26)</f>
        <v>0.54039271166321767</v>
      </c>
      <c r="AP26" s="81" t="s">
        <v>392</v>
      </c>
      <c r="AQ26" s="204">
        <v>0.41399999999999998</v>
      </c>
      <c r="AU26" s="205" t="s">
        <v>389</v>
      </c>
      <c r="AV26" s="205" t="s">
        <v>390</v>
      </c>
      <c r="AW26" s="205" t="s">
        <v>410</v>
      </c>
      <c r="AX26" s="207" t="s">
        <v>434</v>
      </c>
      <c r="AY26" s="206">
        <f t="shared" si="3"/>
        <v>0.44800000000000001</v>
      </c>
      <c r="AZ26" s="205" t="s">
        <v>392</v>
      </c>
      <c r="BE26" s="81" t="s">
        <v>295</v>
      </c>
      <c r="BF26" s="204">
        <f>AO31+AO32</f>
        <v>15996218.490000002</v>
      </c>
      <c r="BP26" s="154" t="s">
        <v>389</v>
      </c>
      <c r="BQ26" s="81" t="s">
        <v>390</v>
      </c>
      <c r="BR26" s="81" t="s">
        <v>410</v>
      </c>
      <c r="BS26" s="204">
        <f t="shared" ref="BS26:BS50" si="21">AQ26</f>
        <v>0.41399999999999998</v>
      </c>
      <c r="BT26" s="81" t="s">
        <v>392</v>
      </c>
      <c r="BU26" s="204">
        <v>0.41399999999999998</v>
      </c>
      <c r="BY26" s="211">
        <f>CN11</f>
        <v>0.44800000000000001</v>
      </c>
      <c r="BZ26" s="211"/>
      <c r="CA26" s="81" t="s">
        <v>484</v>
      </c>
      <c r="CB26" s="204">
        <v>6.4100000000000004E-2</v>
      </c>
      <c r="CC26" s="204">
        <v>4.3300000000000001E-4</v>
      </c>
      <c r="CG26" s="81" t="s">
        <v>480</v>
      </c>
      <c r="CH26" s="204">
        <v>-14.1</v>
      </c>
      <c r="CI26" s="204">
        <v>189</v>
      </c>
      <c r="CJ26" s="81">
        <v>-7.0000000000000007E-2</v>
      </c>
      <c r="CK26" s="81">
        <v>0.94</v>
      </c>
      <c r="CM26" s="81" t="s">
        <v>484</v>
      </c>
      <c r="CN26" s="204">
        <v>9.5100000000000004E-2</v>
      </c>
      <c r="CO26" s="204">
        <v>9.5799999999999998E-4</v>
      </c>
      <c r="CP26" s="81">
        <v>99.29</v>
      </c>
      <c r="CQ26" s="81" t="s">
        <v>509</v>
      </c>
      <c r="CR26" s="204">
        <v>2E-16</v>
      </c>
      <c r="CS26" s="81" t="s">
        <v>510</v>
      </c>
      <c r="CU26" s="212" t="s">
        <v>506</v>
      </c>
      <c r="CV26" s="81" t="s">
        <v>515</v>
      </c>
      <c r="CW26" s="204">
        <v>31500000</v>
      </c>
      <c r="CX26" s="204">
        <v>157</v>
      </c>
      <c r="CY26" s="81">
        <v>200875</v>
      </c>
      <c r="CZ26" s="81" t="s">
        <v>505</v>
      </c>
      <c r="DA26" s="81" t="s">
        <v>510</v>
      </c>
      <c r="DE26" s="81" t="s">
        <v>389</v>
      </c>
      <c r="DF26" s="81" t="s">
        <v>390</v>
      </c>
      <c r="DG26" s="81" t="str">
        <f t="shared" si="13"/>
        <v>CwN</v>
      </c>
      <c r="DH26" s="81" t="s">
        <v>434</v>
      </c>
      <c r="DI26" s="204">
        <f t="shared" si="14"/>
        <v>5800000</v>
      </c>
      <c r="DJ26" s="81" t="s">
        <v>392</v>
      </c>
      <c r="DK26" s="81" t="s">
        <v>411</v>
      </c>
      <c r="DL26" s="286">
        <f t="shared" si="0"/>
        <v>8.0388327958075864E-2</v>
      </c>
      <c r="DM26" s="286">
        <f t="shared" si="1"/>
        <v>0.111</v>
      </c>
      <c r="DN26" s="286">
        <f t="shared" si="2"/>
        <v>0.15</v>
      </c>
      <c r="DP26" s="290" t="s">
        <v>506</v>
      </c>
      <c r="DQ26" s="290" t="s">
        <v>552</v>
      </c>
      <c r="DR26" s="291">
        <v>1.0900000000000001</v>
      </c>
      <c r="DS26" s="291">
        <v>7.7499999999999999E-3</v>
      </c>
      <c r="DT26" s="290">
        <v>140.09</v>
      </c>
      <c r="DU26" s="290" t="s">
        <v>509</v>
      </c>
      <c r="DV26" s="291">
        <v>2E-16</v>
      </c>
      <c r="DW26" s="81" t="s">
        <v>510</v>
      </c>
      <c r="DY26" s="292"/>
      <c r="DZ26" s="292"/>
      <c r="EA26" s="293"/>
    </row>
    <row r="27" spans="1:132" ht="15" customHeight="1" thickTop="1" thickBot="1" x14ac:dyDescent="0.35">
      <c r="A27" s="220"/>
      <c r="B27" s="240">
        <f>SUM(N6:N25)</f>
        <v>558.30000000000007</v>
      </c>
      <c r="C27" s="222"/>
      <c r="D27" s="220"/>
      <c r="E27" s="221"/>
      <c r="F27" s="221"/>
      <c r="G27" s="221"/>
      <c r="H27" s="222"/>
      <c r="J27" s="81" t="s">
        <v>101</v>
      </c>
      <c r="K27" s="250">
        <v>1</v>
      </c>
      <c r="L27" s="251">
        <v>1</v>
      </c>
      <c r="M27" s="251" t="s">
        <v>85</v>
      </c>
      <c r="N27" s="252">
        <f>SUM(N6:N9)</f>
        <v>172.7595</v>
      </c>
      <c r="O27" s="253"/>
      <c r="P27" s="30">
        <f t="shared" si="6"/>
        <v>1.7363344051446945</v>
      </c>
      <c r="Q27" s="30">
        <f t="shared" si="7"/>
        <v>299.96826366559486</v>
      </c>
      <c r="R27" s="30">
        <f t="shared" si="17"/>
        <v>34102725.300000004</v>
      </c>
      <c r="S27" s="30">
        <f t="shared" si="18"/>
        <v>197400.00000000003</v>
      </c>
      <c r="T27" s="30">
        <f t="shared" si="19"/>
        <v>34102725.300000004</v>
      </c>
      <c r="U27" s="31"/>
      <c r="V27" s="3"/>
      <c r="W27" s="237"/>
      <c r="X27" s="219" t="s">
        <v>90</v>
      </c>
      <c r="Y27" s="219">
        <v>0.02</v>
      </c>
      <c r="Z27" s="219">
        <v>0.6</v>
      </c>
      <c r="AA27" s="219">
        <v>975</v>
      </c>
      <c r="AB27" s="219">
        <v>840</v>
      </c>
      <c r="AC27" s="269">
        <f>Y27/Z27</f>
        <v>3.3333333333333333E-2</v>
      </c>
      <c r="AD27" s="242">
        <f>Y27*AA27*AB27</f>
        <v>16380</v>
      </c>
      <c r="AE27" s="14"/>
      <c r="AF27" s="14"/>
      <c r="AG27" s="14"/>
      <c r="AL27" s="154" t="s">
        <v>389</v>
      </c>
      <c r="AM27" s="81" t="s">
        <v>390</v>
      </c>
      <c r="AN27" s="81" t="s">
        <v>411</v>
      </c>
      <c r="AO27" s="81">
        <f>SUM(N28)/SUM(N$17:N$25,N$28,N$26)</f>
        <v>8.0388327958075864E-2</v>
      </c>
      <c r="AP27" s="81" t="s">
        <v>392</v>
      </c>
      <c r="AQ27" s="204">
        <v>0.111</v>
      </c>
      <c r="AU27" s="205" t="s">
        <v>389</v>
      </c>
      <c r="AV27" s="205" t="s">
        <v>390</v>
      </c>
      <c r="AW27" s="205" t="s">
        <v>411</v>
      </c>
      <c r="AX27" s="207" t="s">
        <v>434</v>
      </c>
      <c r="AY27" s="206">
        <f t="shared" si="3"/>
        <v>0.15</v>
      </c>
      <c r="AZ27" s="205" t="s">
        <v>392</v>
      </c>
      <c r="BE27" s="81" t="s">
        <v>122</v>
      </c>
      <c r="BF27" s="204">
        <f>AO30</f>
        <v>1182461.2799999998</v>
      </c>
      <c r="BI27" s="81" t="s">
        <v>455</v>
      </c>
      <c r="BJ27" s="204">
        <v>-1000000</v>
      </c>
      <c r="BP27" s="154" t="s">
        <v>389</v>
      </c>
      <c r="BQ27" s="81" t="s">
        <v>390</v>
      </c>
      <c r="BR27" s="81" t="s">
        <v>411</v>
      </c>
      <c r="BS27" s="204">
        <f t="shared" si="21"/>
        <v>0.111</v>
      </c>
      <c r="BT27" s="81" t="s">
        <v>392</v>
      </c>
      <c r="BU27" s="204">
        <v>0.111</v>
      </c>
      <c r="BY27" s="211">
        <f t="shared" ref="BY27:BY28" si="22">CN12</f>
        <v>0.15</v>
      </c>
      <c r="BZ27" s="211"/>
      <c r="CA27" s="81" t="s">
        <v>485</v>
      </c>
      <c r="CB27" s="204">
        <v>5.4300000000000001E-2</v>
      </c>
      <c r="CC27" s="204">
        <v>4.44E-4</v>
      </c>
      <c r="CG27" s="81" t="s">
        <v>481</v>
      </c>
      <c r="CH27" s="204">
        <v>6.9400000000000003E-2</v>
      </c>
      <c r="CI27" s="204">
        <v>7.76E-4</v>
      </c>
      <c r="CJ27" s="81">
        <v>89.38</v>
      </c>
      <c r="CK27" s="81" t="s">
        <v>505</v>
      </c>
      <c r="CM27" s="81" t="s">
        <v>486</v>
      </c>
      <c r="CN27" s="204">
        <v>194</v>
      </c>
      <c r="CO27" s="204">
        <v>5.16</v>
      </c>
      <c r="CP27" s="81">
        <v>37.520000000000003</v>
      </c>
      <c r="CQ27" s="81" t="s">
        <v>509</v>
      </c>
      <c r="CR27" s="204">
        <v>2E-16</v>
      </c>
      <c r="CS27" s="81" t="s">
        <v>510</v>
      </c>
      <c r="CU27" s="212" t="s">
        <v>506</v>
      </c>
      <c r="CV27" s="81" t="s">
        <v>426</v>
      </c>
      <c r="CW27" s="204">
        <v>67000000</v>
      </c>
      <c r="CX27" s="204">
        <v>330</v>
      </c>
      <c r="CY27" s="81">
        <v>203280</v>
      </c>
      <c r="CZ27" s="81" t="s">
        <v>505</v>
      </c>
      <c r="DA27" s="81" t="s">
        <v>510</v>
      </c>
      <c r="DI27" s="204"/>
      <c r="DK27" s="81" t="s">
        <v>412</v>
      </c>
      <c r="DL27" s="286">
        <f t="shared" si="0"/>
        <v>3.877017144841604E-2</v>
      </c>
      <c r="DM27" s="286">
        <f t="shared" si="1"/>
        <v>0.251</v>
      </c>
      <c r="DN27" s="286">
        <f t="shared" si="2"/>
        <v>4.4699999999999997E-2</v>
      </c>
      <c r="DP27" s="290" t="s">
        <v>506</v>
      </c>
      <c r="DQ27" s="290" t="s">
        <v>553</v>
      </c>
      <c r="DR27" s="291">
        <v>0.95799999999999996</v>
      </c>
      <c r="DS27" s="291">
        <v>1.46E-2</v>
      </c>
      <c r="DT27" s="290">
        <v>65.599999999999994</v>
      </c>
      <c r="DU27" s="290" t="s">
        <v>509</v>
      </c>
      <c r="DV27" s="291">
        <v>2E-16</v>
      </c>
      <c r="DW27" s="81" t="s">
        <v>510</v>
      </c>
      <c r="DX27" s="212" t="s">
        <v>568</v>
      </c>
      <c r="DY27" s="292" t="s">
        <v>399</v>
      </c>
      <c r="DZ27" s="292" t="s">
        <v>434</v>
      </c>
      <c r="EA27" s="293">
        <f>DR33</f>
        <v>14200000</v>
      </c>
      <c r="EB27" s="212" t="s">
        <v>392</v>
      </c>
    </row>
    <row r="28" spans="1:132" ht="15" customHeight="1" thickTop="1" thickBot="1" x14ac:dyDescent="0.35">
      <c r="A28" s="220"/>
      <c r="B28" s="221"/>
      <c r="C28" s="222"/>
      <c r="D28" s="220"/>
      <c r="E28" s="221"/>
      <c r="F28" s="221"/>
      <c r="G28" s="221"/>
      <c r="H28" s="222"/>
      <c r="J28" s="81" t="s">
        <v>102</v>
      </c>
      <c r="K28" s="250">
        <v>2</v>
      </c>
      <c r="L28" s="251">
        <v>2</v>
      </c>
      <c r="M28" s="251" t="s">
        <v>85</v>
      </c>
      <c r="N28" s="252">
        <f>SUM(N17:N20)</f>
        <v>28.240500000000004</v>
      </c>
      <c r="O28" s="253"/>
      <c r="P28" s="30">
        <f t="shared" si="6"/>
        <v>1.7363344051446945</v>
      </c>
      <c r="Q28" s="30">
        <f t="shared" si="7"/>
        <v>49.034951768488753</v>
      </c>
      <c r="R28" s="30">
        <f t="shared" si="17"/>
        <v>5574674.700000002</v>
      </c>
      <c r="S28" s="30">
        <f t="shared" si="18"/>
        <v>197400.00000000003</v>
      </c>
      <c r="T28" s="30">
        <f t="shared" si="19"/>
        <v>5574674.700000002</v>
      </c>
      <c r="U28" s="31"/>
      <c r="V28" s="3"/>
      <c r="W28" s="258"/>
      <c r="X28" s="258"/>
      <c r="Y28" s="258"/>
      <c r="Z28" s="258"/>
      <c r="AA28" s="258"/>
      <c r="AB28" s="258"/>
      <c r="AC28" s="258"/>
      <c r="AD28" s="258"/>
      <c r="AE28" s="14"/>
      <c r="AF28" s="14"/>
      <c r="AG28" s="14"/>
      <c r="AL28" s="154" t="s">
        <v>389</v>
      </c>
      <c r="AM28" s="81" t="s">
        <v>390</v>
      </c>
      <c r="AN28" s="81" t="s">
        <v>412</v>
      </c>
      <c r="AO28" s="81">
        <f>SUM(N21:N24)/SUM(N$17:N$25,N$28,N$26)</f>
        <v>3.877017144841604E-2</v>
      </c>
      <c r="AP28" s="81" t="s">
        <v>392</v>
      </c>
      <c r="AQ28" s="204">
        <v>0.251</v>
      </c>
      <c r="AU28" s="205" t="s">
        <v>389</v>
      </c>
      <c r="AV28" s="205" t="s">
        <v>390</v>
      </c>
      <c r="AW28" s="205" t="s">
        <v>412</v>
      </c>
      <c r="AX28" s="207" t="s">
        <v>434</v>
      </c>
      <c r="AY28" s="206">
        <f t="shared" si="3"/>
        <v>4.4699999999999997E-2</v>
      </c>
      <c r="AZ28" s="205" t="s">
        <v>392</v>
      </c>
      <c r="BE28" s="81" t="s">
        <v>449</v>
      </c>
      <c r="BF28" s="204">
        <f>BF26+BF27</f>
        <v>17178679.770000003</v>
      </c>
      <c r="BI28" s="81" t="s">
        <v>456</v>
      </c>
      <c r="BJ28" s="204">
        <v>-1000000</v>
      </c>
      <c r="BP28" s="154" t="s">
        <v>389</v>
      </c>
      <c r="BQ28" s="81" t="s">
        <v>390</v>
      </c>
      <c r="BR28" s="81" t="s">
        <v>412</v>
      </c>
      <c r="BS28" s="204">
        <f t="shared" si="21"/>
        <v>0.251</v>
      </c>
      <c r="BT28" s="81" t="s">
        <v>392</v>
      </c>
      <c r="BU28" s="204">
        <v>0.251</v>
      </c>
      <c r="BY28" s="211">
        <f t="shared" si="22"/>
        <v>4.4699999999999997E-2</v>
      </c>
      <c r="BZ28" s="211"/>
      <c r="CA28" s="81" t="s">
        <v>486</v>
      </c>
      <c r="CB28" s="204">
        <v>259</v>
      </c>
      <c r="CC28" s="204">
        <v>2.63</v>
      </c>
      <c r="CG28" s="81" t="s">
        <v>482</v>
      </c>
      <c r="CH28" s="204">
        <v>0.14099999999999999</v>
      </c>
      <c r="CI28" s="204">
        <v>9.4499999999999998E-4</v>
      </c>
      <c r="CJ28" s="81">
        <v>148.78</v>
      </c>
      <c r="CK28" s="81" t="s">
        <v>505</v>
      </c>
      <c r="CM28" s="81" t="s">
        <v>285</v>
      </c>
      <c r="CN28" s="204">
        <v>83.2</v>
      </c>
      <c r="CO28" s="204">
        <v>0.88100000000000001</v>
      </c>
      <c r="CP28" s="81">
        <v>94.5</v>
      </c>
      <c r="CQ28" s="81" t="s">
        <v>509</v>
      </c>
      <c r="CR28" s="204">
        <v>2E-16</v>
      </c>
      <c r="CS28" s="81" t="s">
        <v>510</v>
      </c>
      <c r="CU28" s="212" t="s">
        <v>506</v>
      </c>
      <c r="CV28" s="81" t="s">
        <v>396</v>
      </c>
      <c r="CW28" s="204">
        <v>2700000</v>
      </c>
      <c r="CX28" s="204">
        <v>8.4600000000000009</v>
      </c>
      <c r="CY28" s="81">
        <v>319026</v>
      </c>
      <c r="CZ28" s="81" t="s">
        <v>505</v>
      </c>
      <c r="DA28" s="81" t="s">
        <v>510</v>
      </c>
      <c r="DI28" s="204"/>
      <c r="DL28" s="287">
        <f t="shared" si="0"/>
        <v>0</v>
      </c>
      <c r="DM28" s="287">
        <f t="shared" si="1"/>
        <v>0</v>
      </c>
      <c r="DN28" s="287">
        <f t="shared" si="2"/>
        <v>0</v>
      </c>
      <c r="DP28" s="290" t="s">
        <v>506</v>
      </c>
      <c r="DQ28" s="290" t="s">
        <v>554</v>
      </c>
      <c r="DR28" s="291">
        <v>0.78400000000000003</v>
      </c>
      <c r="DS28" s="291">
        <v>1.4E-2</v>
      </c>
      <c r="DT28" s="290">
        <v>55.96</v>
      </c>
      <c r="DU28" s="290" t="s">
        <v>509</v>
      </c>
      <c r="DV28" s="291">
        <v>2E-16</v>
      </c>
      <c r="DW28" s="81" t="s">
        <v>510</v>
      </c>
      <c r="DX28" s="212" t="s">
        <v>568</v>
      </c>
      <c r="DY28" s="295" t="s">
        <v>396</v>
      </c>
      <c r="DZ28" s="292" t="s">
        <v>434</v>
      </c>
      <c r="EA28" s="293">
        <f t="shared" ref="EA28:EA30" si="23">DR34</f>
        <v>3420000</v>
      </c>
      <c r="EB28" s="212" t="s">
        <v>392</v>
      </c>
    </row>
    <row r="29" spans="1:132" ht="15" customHeight="1" thickTop="1" thickBot="1" x14ac:dyDescent="0.35">
      <c r="A29" s="220"/>
      <c r="B29" s="221"/>
      <c r="C29" s="222"/>
      <c r="D29" s="220"/>
      <c r="E29" s="221"/>
      <c r="F29" s="221"/>
      <c r="G29" s="221"/>
      <c r="H29" s="222"/>
      <c r="K29" s="255"/>
      <c r="L29" s="256"/>
      <c r="M29" s="256"/>
      <c r="N29" s="256"/>
      <c r="O29" s="257"/>
      <c r="V29" s="3"/>
      <c r="W29" s="260" t="s">
        <v>99</v>
      </c>
      <c r="X29" s="261"/>
      <c r="Y29" s="262" t="s">
        <v>21</v>
      </c>
      <c r="Z29" s="263">
        <f>1/(1/10+SUM(AC31:AC34)+1/6)</f>
        <v>1.4549653579676673</v>
      </c>
      <c r="AA29" s="261" t="s">
        <v>5</v>
      </c>
      <c r="AB29" s="261"/>
      <c r="AC29" s="261" t="s">
        <v>22</v>
      </c>
      <c r="AD29" s="264">
        <f>SUM(AD31:AD35)</f>
        <v>465540</v>
      </c>
      <c r="AE29" s="14" t="s">
        <v>23</v>
      </c>
      <c r="AF29" s="14">
        <f>SUM(AD31:AD34)</f>
        <v>465540</v>
      </c>
      <c r="AG29" s="14"/>
      <c r="AP29" s="81" t="s">
        <v>392</v>
      </c>
      <c r="AU29" s="205"/>
      <c r="AV29" s="205"/>
      <c r="AW29" s="205"/>
      <c r="AX29" s="207"/>
      <c r="AZ29" s="205"/>
      <c r="BE29" s="81" t="s">
        <v>450</v>
      </c>
      <c r="BF29" s="3">
        <f>BF24+BF25</f>
        <v>100.23804862504861</v>
      </c>
      <c r="BI29" s="81" t="s">
        <v>294</v>
      </c>
      <c r="BJ29" s="204">
        <v>-1000000</v>
      </c>
      <c r="BS29" s="204"/>
      <c r="BT29" s="81" t="s">
        <v>392</v>
      </c>
      <c r="BY29" s="211"/>
      <c r="BZ29" s="211"/>
      <c r="CA29" s="81" t="s">
        <v>487</v>
      </c>
      <c r="CB29" s="204">
        <v>197</v>
      </c>
      <c r="CC29" s="204">
        <v>1.44</v>
      </c>
      <c r="CG29" s="81" t="s">
        <v>483</v>
      </c>
      <c r="CH29" s="204">
        <v>0.76</v>
      </c>
      <c r="CI29" s="204">
        <v>3.9399999999999999E-3</v>
      </c>
      <c r="CJ29" s="81">
        <v>192.86</v>
      </c>
      <c r="CK29" s="81" t="s">
        <v>505</v>
      </c>
      <c r="CM29" s="81" t="s">
        <v>120</v>
      </c>
      <c r="CN29" s="204">
        <v>64.400000000000006</v>
      </c>
      <c r="CO29" s="204">
        <v>1.8</v>
      </c>
      <c r="CP29" s="81">
        <v>35.869999999999997</v>
      </c>
      <c r="CQ29" s="81" t="s">
        <v>509</v>
      </c>
      <c r="CR29" s="204">
        <v>2E-16</v>
      </c>
      <c r="CS29" s="81" t="s">
        <v>510</v>
      </c>
      <c r="CU29" s="212" t="s">
        <v>506</v>
      </c>
      <c r="CV29" s="81" t="s">
        <v>413</v>
      </c>
      <c r="CW29" s="204">
        <v>1700000</v>
      </c>
      <c r="CX29" s="204">
        <v>7.17</v>
      </c>
      <c r="CY29" s="81">
        <v>236943</v>
      </c>
      <c r="CZ29" s="81" t="s">
        <v>505</v>
      </c>
      <c r="DA29" s="81" t="s">
        <v>510</v>
      </c>
      <c r="DI29" s="204"/>
      <c r="DK29" s="81" t="s">
        <v>413</v>
      </c>
      <c r="DL29" s="288">
        <f t="shared" si="0"/>
        <v>1182461.2799999998</v>
      </c>
      <c r="DM29" s="288">
        <f t="shared" si="1"/>
        <v>1340000</v>
      </c>
      <c r="DN29" s="288">
        <f t="shared" si="2"/>
        <v>1130000</v>
      </c>
      <c r="DP29" s="290" t="s">
        <v>506</v>
      </c>
      <c r="DQ29" s="290" t="s">
        <v>424</v>
      </c>
      <c r="DR29" s="291">
        <v>1.16E-8</v>
      </c>
      <c r="DS29" s="291">
        <v>1.3799999999999999E-6</v>
      </c>
      <c r="DT29" s="290">
        <v>0.01</v>
      </c>
      <c r="DU29" s="290">
        <v>0.99329999999999996</v>
      </c>
      <c r="DX29" s="212" t="s">
        <v>568</v>
      </c>
      <c r="DY29" s="295" t="s">
        <v>397</v>
      </c>
      <c r="DZ29" s="292" t="s">
        <v>434</v>
      </c>
      <c r="EA29" s="293">
        <f t="shared" si="23"/>
        <v>22400000</v>
      </c>
      <c r="EB29" s="212" t="s">
        <v>392</v>
      </c>
    </row>
    <row r="30" spans="1:132" ht="15" customHeight="1" thickTop="1" thickBot="1" x14ac:dyDescent="0.35">
      <c r="A30" s="237"/>
      <c r="B30" s="219"/>
      <c r="C30" s="242"/>
      <c r="D30" s="237"/>
      <c r="E30" s="219"/>
      <c r="F30" s="219"/>
      <c r="G30" s="219"/>
      <c r="H30" s="242"/>
      <c r="K30" s="81"/>
      <c r="L30" s="81"/>
      <c r="M30" s="81"/>
      <c r="P30" s="81"/>
      <c r="Q30" s="81"/>
      <c r="V30" s="3"/>
      <c r="W30" s="265"/>
      <c r="X30" s="266" t="s">
        <v>27</v>
      </c>
      <c r="Y30" s="266" t="s">
        <v>28</v>
      </c>
      <c r="Z30" s="266" t="s">
        <v>29</v>
      </c>
      <c r="AA30" s="266" t="s">
        <v>30</v>
      </c>
      <c r="AB30" s="266" t="s">
        <v>31</v>
      </c>
      <c r="AC30" s="266" t="s">
        <v>32</v>
      </c>
      <c r="AD30" s="267" t="s">
        <v>33</v>
      </c>
      <c r="AE30" s="14"/>
      <c r="AF30" s="14"/>
      <c r="AG30" s="14"/>
      <c r="AL30" s="154" t="s">
        <v>389</v>
      </c>
      <c r="AM30" s="81" t="s">
        <v>390</v>
      </c>
      <c r="AN30" s="81" t="s">
        <v>413</v>
      </c>
      <c r="AO30" s="204">
        <f>B35*1.04*1012*5</f>
        <v>1182461.2799999998</v>
      </c>
      <c r="AP30" s="81" t="s">
        <v>392</v>
      </c>
      <c r="AQ30" s="204">
        <v>1340000</v>
      </c>
      <c r="AU30" s="205" t="s">
        <v>389</v>
      </c>
      <c r="AV30" s="205" t="s">
        <v>390</v>
      </c>
      <c r="AW30" s="205" t="s">
        <v>413</v>
      </c>
      <c r="AX30" s="207" t="s">
        <v>434</v>
      </c>
      <c r="AY30" s="206">
        <f t="shared" si="3"/>
        <v>1130000</v>
      </c>
      <c r="AZ30" s="205" t="s">
        <v>392</v>
      </c>
      <c r="BI30" s="81" t="s">
        <v>301</v>
      </c>
      <c r="BJ30" s="204">
        <v>-1000000</v>
      </c>
      <c r="BP30" s="154" t="s">
        <v>389</v>
      </c>
      <c r="BQ30" s="81" t="s">
        <v>390</v>
      </c>
      <c r="BR30" s="81" t="s">
        <v>413</v>
      </c>
      <c r="BS30" s="204">
        <f t="shared" si="21"/>
        <v>1340000</v>
      </c>
      <c r="BT30" s="81" t="s">
        <v>392</v>
      </c>
      <c r="BU30" s="204">
        <v>1340000</v>
      </c>
      <c r="BY30" s="211">
        <f>CN16</f>
        <v>1130000</v>
      </c>
      <c r="BZ30" s="211"/>
      <c r="CA30" s="81" t="s">
        <v>285</v>
      </c>
      <c r="CB30" s="204">
        <v>487</v>
      </c>
      <c r="CC30" s="204">
        <v>2.62</v>
      </c>
      <c r="CG30" s="81" t="s">
        <v>484</v>
      </c>
      <c r="CH30" s="204">
        <v>6.4100000000000004E-2</v>
      </c>
      <c r="CI30" s="204">
        <v>4.3300000000000001E-4</v>
      </c>
      <c r="CJ30" s="81">
        <v>148.13</v>
      </c>
      <c r="CK30" s="81" t="s">
        <v>505</v>
      </c>
      <c r="CM30" s="81" t="s">
        <v>488</v>
      </c>
      <c r="CN30" s="204">
        <v>-4.93</v>
      </c>
      <c r="CO30" s="204">
        <v>2.1999999999999999E-2</v>
      </c>
      <c r="CP30" s="81">
        <v>-223.73</v>
      </c>
      <c r="CQ30" s="81" t="s">
        <v>509</v>
      </c>
      <c r="CR30" s="204">
        <v>2E-16</v>
      </c>
      <c r="CS30" s="81" t="s">
        <v>510</v>
      </c>
      <c r="CU30" s="212" t="s">
        <v>506</v>
      </c>
      <c r="CV30" s="81" t="s">
        <v>397</v>
      </c>
      <c r="CW30" s="204">
        <v>16300000</v>
      </c>
      <c r="CX30" s="204">
        <v>47.4</v>
      </c>
      <c r="CY30" s="81">
        <v>343884</v>
      </c>
      <c r="CZ30" s="81" t="s">
        <v>505</v>
      </c>
      <c r="DA30" s="81" t="s">
        <v>510</v>
      </c>
      <c r="DI30" s="204"/>
      <c r="DK30" s="81" t="s">
        <v>414</v>
      </c>
      <c r="DL30" s="288">
        <f t="shared" si="0"/>
        <v>10421543.789999999</v>
      </c>
      <c r="DM30" s="288">
        <f t="shared" si="1"/>
        <v>2810000</v>
      </c>
      <c r="DN30" s="288">
        <f t="shared" si="2"/>
        <v>6980000</v>
      </c>
      <c r="DP30" s="290" t="s">
        <v>506</v>
      </c>
      <c r="DQ30" s="290" t="s">
        <v>555</v>
      </c>
      <c r="DR30" s="291">
        <v>0.88800000000000001</v>
      </c>
      <c r="DS30" s="291">
        <v>7.79E-3</v>
      </c>
      <c r="DT30" s="290">
        <v>114.1</v>
      </c>
      <c r="DU30" s="290" t="s">
        <v>509</v>
      </c>
      <c r="DV30" s="291">
        <v>2E-16</v>
      </c>
      <c r="DW30" s="81" t="s">
        <v>510</v>
      </c>
      <c r="DX30" s="212" t="s">
        <v>568</v>
      </c>
      <c r="DY30" s="295" t="s">
        <v>398</v>
      </c>
      <c r="DZ30" s="292" t="s">
        <v>434</v>
      </c>
      <c r="EA30" s="293">
        <f t="shared" si="23"/>
        <v>28100000</v>
      </c>
      <c r="EB30" s="212" t="s">
        <v>392</v>
      </c>
    </row>
    <row r="31" spans="1:132" ht="15" customHeight="1" thickTop="1" thickBot="1" x14ac:dyDescent="0.35">
      <c r="K31" s="81"/>
      <c r="L31" s="81"/>
      <c r="M31" s="81"/>
      <c r="P31" s="69" t="s">
        <v>106</v>
      </c>
      <c r="Q31" s="70">
        <f>SUM(Q6:Q9)+SUM(Q10:Q13)+0.5*Q14+Q16+SUM(Q17:Q24)+Q25</f>
        <v>177.47759458784151</v>
      </c>
      <c r="R31" s="69" t="s">
        <v>107</v>
      </c>
      <c r="W31" s="271"/>
      <c r="X31" s="272" t="s">
        <v>103</v>
      </c>
      <c r="Y31" s="272">
        <v>0.02</v>
      </c>
      <c r="Z31" s="272">
        <v>0.18</v>
      </c>
      <c r="AA31" s="272">
        <v>550</v>
      </c>
      <c r="AB31" s="272">
        <v>1880</v>
      </c>
      <c r="AC31" s="273">
        <f>Y31/Z31</f>
        <v>0.11111111111111112</v>
      </c>
      <c r="AD31" s="274">
        <f>Y31*AA31*AB31</f>
        <v>20680</v>
      </c>
      <c r="AE31" s="14" t="s">
        <v>104</v>
      </c>
      <c r="AF31" s="14"/>
      <c r="AG31" s="14"/>
      <c r="AL31" s="154" t="s">
        <v>389</v>
      </c>
      <c r="AM31" s="81" t="s">
        <v>390</v>
      </c>
      <c r="AN31" s="81" t="s">
        <v>414</v>
      </c>
      <c r="AO31" s="204">
        <f>T25+SUM(T17:T20)</f>
        <v>10421543.789999999</v>
      </c>
      <c r="AP31" s="81" t="s">
        <v>392</v>
      </c>
      <c r="AQ31" s="204">
        <v>2810000</v>
      </c>
      <c r="AU31" s="205" t="s">
        <v>389</v>
      </c>
      <c r="AV31" s="205" t="s">
        <v>390</v>
      </c>
      <c r="AW31" s="205" t="s">
        <v>414</v>
      </c>
      <c r="AX31" s="207" t="s">
        <v>434</v>
      </c>
      <c r="AY31" s="206">
        <f t="shared" si="3"/>
        <v>6980000</v>
      </c>
      <c r="AZ31" s="205" t="s">
        <v>392</v>
      </c>
      <c r="BP31" s="154" t="s">
        <v>389</v>
      </c>
      <c r="BQ31" s="81" t="s">
        <v>390</v>
      </c>
      <c r="BR31" s="81" t="s">
        <v>414</v>
      </c>
      <c r="BS31" s="204">
        <f t="shared" si="21"/>
        <v>2810000</v>
      </c>
      <c r="BT31" s="81" t="s">
        <v>392</v>
      </c>
      <c r="BU31" s="204">
        <v>2810000</v>
      </c>
      <c r="BY31" s="211">
        <f>CN17</f>
        <v>6980000</v>
      </c>
      <c r="BZ31" s="211"/>
      <c r="CA31" s="81" t="s">
        <v>120</v>
      </c>
      <c r="CB31" s="204">
        <v>274</v>
      </c>
      <c r="CC31" s="204">
        <v>1.37</v>
      </c>
      <c r="CG31" s="81" t="s">
        <v>485</v>
      </c>
      <c r="CH31" s="204">
        <v>5.4300000000000001E-2</v>
      </c>
      <c r="CI31" s="204">
        <v>4.44E-4</v>
      </c>
      <c r="CJ31" s="81">
        <v>122.4</v>
      </c>
      <c r="CK31" s="81" t="s">
        <v>505</v>
      </c>
      <c r="CM31" s="81" t="s">
        <v>489</v>
      </c>
      <c r="CN31" s="204">
        <v>-4.84</v>
      </c>
      <c r="CO31" s="204">
        <v>2.86E-2</v>
      </c>
      <c r="CP31" s="81">
        <v>-169.23</v>
      </c>
      <c r="CQ31" s="81" t="s">
        <v>509</v>
      </c>
      <c r="CR31" s="204">
        <v>2E-16</v>
      </c>
      <c r="CS31" s="81" t="s">
        <v>510</v>
      </c>
      <c r="CU31" s="212" t="s">
        <v>506</v>
      </c>
      <c r="CV31" s="81" t="s">
        <v>398</v>
      </c>
      <c r="CW31" s="204">
        <v>26200000</v>
      </c>
      <c r="CX31" s="204">
        <v>77.599999999999994</v>
      </c>
      <c r="CY31" s="81">
        <v>337769</v>
      </c>
      <c r="CZ31" s="81" t="s">
        <v>505</v>
      </c>
      <c r="DA31" s="81" t="s">
        <v>510</v>
      </c>
      <c r="DE31" s="81" t="s">
        <v>389</v>
      </c>
      <c r="DF31" s="81" t="s">
        <v>390</v>
      </c>
      <c r="DG31" s="81" t="str">
        <f t="shared" si="13"/>
        <v>f1D</v>
      </c>
      <c r="DH31" s="81" t="s">
        <v>434</v>
      </c>
      <c r="DI31" s="204">
        <f t="shared" si="14"/>
        <v>0.06</v>
      </c>
      <c r="DJ31" s="81" t="s">
        <v>392</v>
      </c>
      <c r="DK31" s="81" t="s">
        <v>415</v>
      </c>
      <c r="DL31" s="288">
        <f t="shared" si="0"/>
        <v>5574674.700000002</v>
      </c>
      <c r="DM31" s="288">
        <f t="shared" si="1"/>
        <v>5640000</v>
      </c>
      <c r="DN31" s="288">
        <f t="shared" si="2"/>
        <v>11000000</v>
      </c>
      <c r="DP31" s="290" t="s">
        <v>506</v>
      </c>
      <c r="DQ31" s="290" t="s">
        <v>556</v>
      </c>
      <c r="DR31" s="291">
        <v>0.73599999999999999</v>
      </c>
      <c r="DS31" s="291">
        <v>1.46E-2</v>
      </c>
      <c r="DT31" s="290">
        <v>50.47</v>
      </c>
      <c r="DU31" s="290" t="s">
        <v>509</v>
      </c>
      <c r="DV31" s="291">
        <v>2E-16</v>
      </c>
      <c r="DW31" s="81" t="s">
        <v>510</v>
      </c>
      <c r="DZ31" s="292"/>
    </row>
    <row r="32" spans="1:132" ht="15" customHeight="1" thickTop="1" thickBot="1" x14ac:dyDescent="0.35">
      <c r="K32" s="81"/>
      <c r="L32" s="81"/>
      <c r="M32" s="81"/>
      <c r="P32" s="81"/>
      <c r="Q32" s="81">
        <f>G4*Y39</f>
        <v>13.62</v>
      </c>
      <c r="W32" s="220"/>
      <c r="X32" s="221" t="s">
        <v>129</v>
      </c>
      <c r="Y32" s="221">
        <v>0.08</v>
      </c>
      <c r="Z32" s="221">
        <v>0.6</v>
      </c>
      <c r="AA32" s="221">
        <v>1100</v>
      </c>
      <c r="AB32" s="221">
        <v>860</v>
      </c>
      <c r="AC32" s="268">
        <f>Y32/Z32</f>
        <v>0.13333333333333333</v>
      </c>
      <c r="AD32" s="222">
        <f>Y32*AA32*AB32</f>
        <v>75680</v>
      </c>
      <c r="AE32" s="14"/>
      <c r="AF32" s="14"/>
      <c r="AG32" s="14"/>
      <c r="AL32" s="154" t="s">
        <v>389</v>
      </c>
      <c r="AM32" s="81" t="s">
        <v>390</v>
      </c>
      <c r="AN32" s="81" t="s">
        <v>415</v>
      </c>
      <c r="AO32" s="204">
        <f>SUM(T28)</f>
        <v>5574674.700000002</v>
      </c>
      <c r="AP32" s="81" t="s">
        <v>392</v>
      </c>
      <c r="AQ32" s="204">
        <v>5640000</v>
      </c>
      <c r="AU32" s="205" t="s">
        <v>389</v>
      </c>
      <c r="AV32" s="205" t="s">
        <v>390</v>
      </c>
      <c r="AW32" s="205" t="s">
        <v>415</v>
      </c>
      <c r="AX32" s="207" t="s">
        <v>434</v>
      </c>
      <c r="AY32" s="206">
        <f t="shared" si="3"/>
        <v>11000000</v>
      </c>
      <c r="AZ32" s="205" t="s">
        <v>392</v>
      </c>
      <c r="BI32" s="81" t="s">
        <v>281</v>
      </c>
      <c r="BJ32" s="81">
        <f>BJ4+BJ5</f>
        <v>106.83652596226875</v>
      </c>
      <c r="BP32" s="154" t="s">
        <v>389</v>
      </c>
      <c r="BQ32" s="81" t="s">
        <v>390</v>
      </c>
      <c r="BR32" s="81" t="s">
        <v>415</v>
      </c>
      <c r="BS32" s="204">
        <f t="shared" si="21"/>
        <v>5640000</v>
      </c>
      <c r="BT32" s="81" t="s">
        <v>392</v>
      </c>
      <c r="BU32" s="204">
        <v>5640000</v>
      </c>
      <c r="BY32" s="211">
        <f>CN18</f>
        <v>11000000</v>
      </c>
      <c r="BZ32" s="211"/>
      <c r="CA32" s="81" t="s">
        <v>488</v>
      </c>
      <c r="CB32" s="204">
        <v>-5.75</v>
      </c>
      <c r="CC32" s="204">
        <v>2.35E-2</v>
      </c>
      <c r="CG32" s="81" t="s">
        <v>486</v>
      </c>
      <c r="CH32" s="204">
        <v>259</v>
      </c>
      <c r="CI32" s="204">
        <v>2.63</v>
      </c>
      <c r="CJ32" s="81">
        <v>98.59</v>
      </c>
      <c r="CK32" s="81" t="s">
        <v>505</v>
      </c>
      <c r="CU32" s="212" t="s">
        <v>506</v>
      </c>
      <c r="CV32" s="81" t="s">
        <v>415</v>
      </c>
      <c r="CW32" s="204">
        <v>5730000</v>
      </c>
      <c r="CX32" s="204">
        <v>26.3</v>
      </c>
      <c r="CY32" s="81">
        <v>218218</v>
      </c>
      <c r="CZ32" s="81" t="s">
        <v>505</v>
      </c>
      <c r="DA32" s="81" t="s">
        <v>510</v>
      </c>
      <c r="DE32" s="81" t="s">
        <v>389</v>
      </c>
      <c r="DF32" s="81" t="s">
        <v>390</v>
      </c>
      <c r="DG32" s="81" t="str">
        <f t="shared" si="13"/>
        <v>f1N</v>
      </c>
      <c r="DH32" s="81" t="s">
        <v>434</v>
      </c>
      <c r="DI32" s="204">
        <f t="shared" si="14"/>
        <v>0.16</v>
      </c>
      <c r="DJ32" s="81" t="s">
        <v>392</v>
      </c>
      <c r="DK32" s="81" t="s">
        <v>416</v>
      </c>
      <c r="DL32" s="286">
        <f t="shared" si="0"/>
        <v>0.16211781349896529</v>
      </c>
      <c r="DM32" s="286">
        <f t="shared" si="1"/>
        <v>0.33200000000000002</v>
      </c>
      <c r="DN32" s="286">
        <f t="shared" si="2"/>
        <v>0.19700000000000001</v>
      </c>
      <c r="DP32" s="290" t="s">
        <v>506</v>
      </c>
      <c r="DQ32" s="290" t="s">
        <v>298</v>
      </c>
      <c r="DR32" s="291">
        <v>993000000</v>
      </c>
      <c r="DS32" s="291">
        <v>31400000</v>
      </c>
      <c r="DT32" s="290">
        <v>31.6</v>
      </c>
      <c r="DU32" s="290" t="s">
        <v>509</v>
      </c>
      <c r="DV32" s="291">
        <v>2E-16</v>
      </c>
      <c r="DW32" s="81" t="s">
        <v>510</v>
      </c>
      <c r="DX32" s="212" t="s">
        <v>568</v>
      </c>
      <c r="DY32" s="295" t="s">
        <v>589</v>
      </c>
      <c r="DZ32" s="292" t="s">
        <v>434</v>
      </c>
      <c r="EA32" s="293">
        <f>DR47</f>
        <v>262</v>
      </c>
      <c r="EB32" s="212" t="s">
        <v>392</v>
      </c>
    </row>
    <row r="33" spans="1:132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318" t="s">
        <v>112</v>
      </c>
      <c r="F33" s="319"/>
      <c r="G33" s="72" t="s">
        <v>113</v>
      </c>
      <c r="K33" s="81"/>
      <c r="L33" s="81"/>
      <c r="M33" s="81"/>
      <c r="P33" s="81"/>
      <c r="Q33" s="81"/>
      <c r="W33" s="220"/>
      <c r="X33" s="221" t="s">
        <v>131</v>
      </c>
      <c r="Y33" s="221">
        <v>0.2</v>
      </c>
      <c r="Z33" s="221">
        <v>1.4</v>
      </c>
      <c r="AA33" s="221">
        <v>2100</v>
      </c>
      <c r="AB33" s="221">
        <v>840</v>
      </c>
      <c r="AC33" s="268">
        <f>Y33/Z33</f>
        <v>0.14285714285714288</v>
      </c>
      <c r="AD33" s="222">
        <f>Y33*AA33*AB33</f>
        <v>352800</v>
      </c>
      <c r="AE33" s="14"/>
      <c r="AF33" s="14"/>
      <c r="AG33" s="14"/>
      <c r="AL33" s="154" t="s">
        <v>389</v>
      </c>
      <c r="AM33" s="81" t="s">
        <v>390</v>
      </c>
      <c r="AN33" s="81" t="s">
        <v>416</v>
      </c>
      <c r="AO33" s="81">
        <f>AO26*0.3</f>
        <v>0.16211781349896529</v>
      </c>
      <c r="AP33" s="81" t="s">
        <v>392</v>
      </c>
      <c r="AQ33" s="204">
        <v>0.33200000000000002</v>
      </c>
      <c r="AU33" s="205" t="s">
        <v>389</v>
      </c>
      <c r="AV33" s="205" t="s">
        <v>390</v>
      </c>
      <c r="AW33" s="205" t="s">
        <v>416</v>
      </c>
      <c r="AX33" s="207" t="s">
        <v>434</v>
      </c>
      <c r="AY33" s="206">
        <f t="shared" si="3"/>
        <v>0.19700000000000001</v>
      </c>
      <c r="AZ33" s="205" t="s">
        <v>392</v>
      </c>
      <c r="BI33" s="81" t="s">
        <v>282</v>
      </c>
      <c r="BJ33" s="3">
        <f>BJ6+BJ7</f>
        <v>163.79240000000004</v>
      </c>
      <c r="BP33" s="154" t="s">
        <v>389</v>
      </c>
      <c r="BQ33" s="81" t="s">
        <v>390</v>
      </c>
      <c r="BR33" s="81" t="s">
        <v>416</v>
      </c>
      <c r="BS33" s="204">
        <f t="shared" si="21"/>
        <v>0.33200000000000002</v>
      </c>
      <c r="BT33" s="81" t="s">
        <v>392</v>
      </c>
      <c r="BU33" s="204">
        <v>0.33200000000000002</v>
      </c>
      <c r="BY33" s="211">
        <f>CN23</f>
        <v>0.19700000000000001</v>
      </c>
      <c r="BZ33" s="211"/>
      <c r="CA33" s="81" t="s">
        <v>489</v>
      </c>
      <c r="CB33" s="204">
        <v>-6.06</v>
      </c>
      <c r="CC33" s="204">
        <v>2.58E-2</v>
      </c>
      <c r="CG33" s="81" t="s">
        <v>487</v>
      </c>
      <c r="CH33" s="204">
        <v>197</v>
      </c>
      <c r="CI33" s="204">
        <v>1.44</v>
      </c>
      <c r="CJ33" s="81">
        <v>136.51</v>
      </c>
      <c r="CK33" s="81" t="s">
        <v>505</v>
      </c>
      <c r="CM33" s="81" t="s">
        <v>490</v>
      </c>
      <c r="CN33" s="204">
        <v>-5.83</v>
      </c>
      <c r="CO33" s="204">
        <v>2.98E-2</v>
      </c>
      <c r="CP33" s="81">
        <v>-195.34</v>
      </c>
      <c r="CQ33" s="81" t="s">
        <v>509</v>
      </c>
      <c r="CR33" s="204">
        <v>2E-16</v>
      </c>
      <c r="CS33" s="81" t="s">
        <v>510</v>
      </c>
      <c r="CU33" s="212" t="s">
        <v>506</v>
      </c>
      <c r="CV33" s="81" t="s">
        <v>414</v>
      </c>
      <c r="CW33" s="204">
        <v>5800000</v>
      </c>
      <c r="CX33" s="204">
        <v>19.399999999999999</v>
      </c>
      <c r="CY33" s="81">
        <v>298526</v>
      </c>
      <c r="CZ33" s="81" t="s">
        <v>505</v>
      </c>
      <c r="DA33" s="81" t="s">
        <v>510</v>
      </c>
      <c r="DE33" s="81" t="s">
        <v>389</v>
      </c>
      <c r="DF33" s="81" t="s">
        <v>390</v>
      </c>
      <c r="DG33" s="81" t="str">
        <f t="shared" si="13"/>
        <v>f2N</v>
      </c>
      <c r="DH33" s="81" t="s">
        <v>434</v>
      </c>
      <c r="DI33" s="204">
        <f t="shared" si="14"/>
        <v>5.2999999999999999E-2</v>
      </c>
      <c r="DJ33" s="81" t="s">
        <v>392</v>
      </c>
      <c r="DK33" s="81" t="s">
        <v>417</v>
      </c>
      <c r="DL33" s="286">
        <f t="shared" si="0"/>
        <v>2.4116498387422757E-2</v>
      </c>
      <c r="DM33" s="286">
        <f t="shared" si="1"/>
        <v>6.88E-2</v>
      </c>
      <c r="DN33" s="286">
        <f t="shared" si="2"/>
        <v>4.9399999999999999E-2</v>
      </c>
      <c r="DP33" s="290" t="s">
        <v>506</v>
      </c>
      <c r="DQ33" s="290" t="s">
        <v>294</v>
      </c>
      <c r="DR33" s="291">
        <v>14200000</v>
      </c>
      <c r="DS33" s="291">
        <v>226000</v>
      </c>
      <c r="DT33" s="290">
        <v>62.67</v>
      </c>
      <c r="DU33" s="290" t="s">
        <v>509</v>
      </c>
      <c r="DV33" s="291">
        <v>2E-16</v>
      </c>
      <c r="DW33" s="81" t="s">
        <v>510</v>
      </c>
      <c r="DX33" s="212" t="s">
        <v>568</v>
      </c>
      <c r="DY33" s="295" t="s">
        <v>405</v>
      </c>
      <c r="DZ33" s="292" t="s">
        <v>434</v>
      </c>
      <c r="EA33" s="293">
        <f t="shared" ref="EA33:EA35" si="24">DR48</f>
        <v>204</v>
      </c>
      <c r="EB33" s="212" t="s">
        <v>392</v>
      </c>
    </row>
    <row r="34" spans="1:132" ht="15" customHeight="1" thickTop="1" thickBot="1" x14ac:dyDescent="0.35">
      <c r="A34" s="73">
        <v>1</v>
      </c>
      <c r="B34" s="74">
        <f>B7*3.5</f>
        <v>485.80000000000007</v>
      </c>
      <c r="C34" s="73"/>
      <c r="D34" s="73" t="s">
        <v>42</v>
      </c>
      <c r="E34" s="195">
        <v>21</v>
      </c>
      <c r="F34" s="195"/>
      <c r="G34" s="76">
        <f>VLOOKUP(D34,A6:B22,2,0)</f>
        <v>138.80000000000001</v>
      </c>
      <c r="K34" s="81"/>
      <c r="L34" s="81"/>
      <c r="M34" s="81"/>
      <c r="P34" s="81">
        <f>25+13+18</f>
        <v>56</v>
      </c>
      <c r="Q34" s="81"/>
      <c r="W34" s="237"/>
      <c r="X34" s="219" t="s">
        <v>80</v>
      </c>
      <c r="Y34" s="219">
        <v>0.02</v>
      </c>
      <c r="Z34" s="219">
        <v>0.6</v>
      </c>
      <c r="AA34" s="219">
        <v>975</v>
      </c>
      <c r="AB34" s="219">
        <v>840</v>
      </c>
      <c r="AC34" s="269">
        <f>Y34/Z34</f>
        <v>3.3333333333333333E-2</v>
      </c>
      <c r="AD34" s="242">
        <f>Y34*AA34*AB34</f>
        <v>16380</v>
      </c>
      <c r="AE34" s="14"/>
      <c r="AF34" s="14"/>
      <c r="AG34" s="14"/>
      <c r="AL34" s="154" t="s">
        <v>389</v>
      </c>
      <c r="AM34" s="81" t="s">
        <v>390</v>
      </c>
      <c r="AN34" s="81" t="s">
        <v>417</v>
      </c>
      <c r="AO34" s="81">
        <f>AO27*0.3</f>
        <v>2.4116498387422757E-2</v>
      </c>
      <c r="AP34" s="81" t="s">
        <v>392</v>
      </c>
      <c r="AQ34" s="204">
        <v>6.88E-2</v>
      </c>
      <c r="AU34" s="205" t="s">
        <v>389</v>
      </c>
      <c r="AV34" s="205" t="s">
        <v>390</v>
      </c>
      <c r="AW34" s="205" t="s">
        <v>417</v>
      </c>
      <c r="AX34" s="207" t="s">
        <v>434</v>
      </c>
      <c r="AY34" s="206">
        <f t="shared" si="3"/>
        <v>4.9399999999999999E-2</v>
      </c>
      <c r="AZ34" s="205" t="s">
        <v>392</v>
      </c>
      <c r="BI34" s="81" t="s">
        <v>291</v>
      </c>
      <c r="BJ34" s="204">
        <f>BJ10+BJ9</f>
        <v>39142536.300000004</v>
      </c>
      <c r="BP34" s="154" t="s">
        <v>389</v>
      </c>
      <c r="BQ34" s="81" t="s">
        <v>390</v>
      </c>
      <c r="BR34" s="81" t="s">
        <v>417</v>
      </c>
      <c r="BS34" s="204">
        <f t="shared" si="21"/>
        <v>6.88E-2</v>
      </c>
      <c r="BT34" s="81" t="s">
        <v>392</v>
      </c>
      <c r="BU34" s="204">
        <v>6.88E-2</v>
      </c>
      <c r="BY34" s="211">
        <f>CN24</f>
        <v>4.9399999999999999E-2</v>
      </c>
      <c r="BZ34" s="211"/>
      <c r="CA34" s="81" t="s">
        <v>490</v>
      </c>
      <c r="CB34" s="204">
        <v>-6.94</v>
      </c>
      <c r="CC34" s="204">
        <v>3.6200000000000003E-2</v>
      </c>
      <c r="CG34" s="81" t="s">
        <v>285</v>
      </c>
      <c r="CH34" s="204">
        <v>487</v>
      </c>
      <c r="CI34" s="204">
        <v>2.62</v>
      </c>
      <c r="CJ34" s="81">
        <v>186.01</v>
      </c>
      <c r="CK34" s="81" t="s">
        <v>505</v>
      </c>
      <c r="CM34" s="81" t="s">
        <v>491</v>
      </c>
      <c r="CN34" s="204">
        <v>-5.45</v>
      </c>
      <c r="CO34" s="204">
        <v>2.8299999999999999E-2</v>
      </c>
      <c r="CP34" s="81">
        <v>-192.79</v>
      </c>
      <c r="CQ34" s="81" t="s">
        <v>509</v>
      </c>
      <c r="CR34" s="204">
        <v>2E-16</v>
      </c>
      <c r="CS34" s="81" t="s">
        <v>510</v>
      </c>
      <c r="CU34" s="212" t="s">
        <v>506</v>
      </c>
      <c r="CV34" s="81" t="s">
        <v>476</v>
      </c>
      <c r="CW34" s="204">
        <v>-10</v>
      </c>
      <c r="CX34" s="204">
        <v>2.1000000000000001E-4</v>
      </c>
      <c r="CY34" s="81">
        <v>-47558</v>
      </c>
      <c r="CZ34" s="81" t="s">
        <v>505</v>
      </c>
      <c r="DA34" s="81" t="s">
        <v>510</v>
      </c>
      <c r="DE34" s="81" t="s">
        <v>389</v>
      </c>
      <c r="DF34" s="81" t="s">
        <v>390</v>
      </c>
      <c r="DG34" s="81" t="str">
        <f t="shared" si="13"/>
        <v>f3D</v>
      </c>
      <c r="DH34" s="81" t="s">
        <v>434</v>
      </c>
      <c r="DI34" s="204">
        <f t="shared" si="14"/>
        <v>0.65</v>
      </c>
      <c r="DJ34" s="81" t="s">
        <v>392</v>
      </c>
      <c r="DK34" s="81" t="s">
        <v>418</v>
      </c>
      <c r="DL34" s="286">
        <f t="shared" si="0"/>
        <v>0.71163105143452476</v>
      </c>
      <c r="DM34" s="286">
        <f t="shared" si="1"/>
        <v>0.46100000000000002</v>
      </c>
      <c r="DN34" s="286">
        <f t="shared" si="2"/>
        <v>0.59799999999999998</v>
      </c>
      <c r="DP34" s="290" t="s">
        <v>506</v>
      </c>
      <c r="DQ34" s="290" t="s">
        <v>475</v>
      </c>
      <c r="DR34" s="291">
        <v>3420000</v>
      </c>
      <c r="DS34" s="291">
        <v>44500</v>
      </c>
      <c r="DT34" s="290">
        <v>76.92</v>
      </c>
      <c r="DU34" s="290" t="s">
        <v>509</v>
      </c>
      <c r="DV34" s="291">
        <v>2E-16</v>
      </c>
      <c r="DW34" s="81" t="s">
        <v>510</v>
      </c>
      <c r="DX34" s="212" t="s">
        <v>568</v>
      </c>
      <c r="DY34" s="296" t="s">
        <v>406</v>
      </c>
      <c r="DZ34" s="292" t="s">
        <v>434</v>
      </c>
      <c r="EA34" s="293">
        <f t="shared" si="24"/>
        <v>497</v>
      </c>
      <c r="EB34" s="212" t="s">
        <v>392</v>
      </c>
    </row>
    <row r="35" spans="1:132" ht="15" customHeight="1" thickTop="1" thickBot="1" x14ac:dyDescent="0.35">
      <c r="A35" s="73">
        <v>2</v>
      </c>
      <c r="B35" s="74">
        <f>B4-B34</f>
        <v>224.69999999999993</v>
      </c>
      <c r="C35" s="73"/>
      <c r="D35" s="73" t="s">
        <v>116</v>
      </c>
      <c r="E35" s="77">
        <v>18</v>
      </c>
      <c r="F35" s="77"/>
      <c r="G35" s="76">
        <f>VLOOKUP(D35,A7:B23,2,0)</f>
        <v>119.59999999999997</v>
      </c>
      <c r="K35" s="81"/>
      <c r="L35" s="81"/>
      <c r="M35" s="81" t="s">
        <v>114</v>
      </c>
      <c r="N35" s="3">
        <f>SUM(Q6:Q9,Q15,Q17:Q20,Q25)</f>
        <v>71.329204223757216</v>
      </c>
      <c r="O35" s="3"/>
      <c r="P35" s="81">
        <f>P34/5</f>
        <v>11.2</v>
      </c>
      <c r="Q35" s="81"/>
      <c r="W35" s="221"/>
      <c r="X35" s="221"/>
      <c r="Y35" s="221"/>
      <c r="Z35" s="221"/>
      <c r="AA35" s="221"/>
      <c r="AB35" s="221"/>
      <c r="AC35" s="268"/>
      <c r="AD35" s="221"/>
      <c r="AE35" s="14"/>
      <c r="AF35" s="14"/>
      <c r="AG35" s="14"/>
      <c r="AL35" s="154" t="s">
        <v>389</v>
      </c>
      <c r="AM35" s="81" t="s">
        <v>390</v>
      </c>
      <c r="AN35" s="81" t="s">
        <v>418</v>
      </c>
      <c r="AO35" s="81">
        <f>AO28*0.3+0.7</f>
        <v>0.71163105143452476</v>
      </c>
      <c r="AP35" s="81" t="s">
        <v>392</v>
      </c>
      <c r="AQ35" s="204">
        <v>0.46100000000000002</v>
      </c>
      <c r="AU35" s="205" t="s">
        <v>389</v>
      </c>
      <c r="AV35" s="205" t="s">
        <v>390</v>
      </c>
      <c r="AW35" s="205" t="s">
        <v>418</v>
      </c>
      <c r="AX35" s="207" t="s">
        <v>434</v>
      </c>
      <c r="AY35" s="206">
        <f t="shared" si="3"/>
        <v>0.59799999999999998</v>
      </c>
      <c r="AZ35" s="205" t="s">
        <v>392</v>
      </c>
      <c r="BI35" s="81" t="s">
        <v>285</v>
      </c>
      <c r="BJ35" s="81">
        <f>BJ15+BJ14</f>
        <v>1396.0128617363343</v>
      </c>
      <c r="BP35" s="154" t="s">
        <v>389</v>
      </c>
      <c r="BQ35" s="81" t="s">
        <v>390</v>
      </c>
      <c r="BR35" s="81" t="s">
        <v>418</v>
      </c>
      <c r="BS35" s="204">
        <f t="shared" si="21"/>
        <v>0.46100000000000002</v>
      </c>
      <c r="BT35" s="81" t="s">
        <v>392</v>
      </c>
      <c r="BU35" s="204">
        <v>0.46100000000000002</v>
      </c>
      <c r="BY35" s="211">
        <f>CN25</f>
        <v>0.59799999999999998</v>
      </c>
      <c r="BZ35" s="211"/>
      <c r="CA35" s="81" t="s">
        <v>491</v>
      </c>
      <c r="CB35" s="204">
        <v>-6</v>
      </c>
      <c r="CC35" s="204">
        <v>2.3599999999999999E-2</v>
      </c>
      <c r="CG35" s="81" t="s">
        <v>120</v>
      </c>
      <c r="CH35" s="204">
        <v>274</v>
      </c>
      <c r="CI35" s="204">
        <v>1.37</v>
      </c>
      <c r="CJ35" s="81">
        <v>200.04</v>
      </c>
      <c r="CK35" s="81" t="s">
        <v>505</v>
      </c>
      <c r="CM35" s="81" t="s">
        <v>493</v>
      </c>
      <c r="CN35" s="204">
        <v>3.5699999999999998E-3</v>
      </c>
      <c r="CO35" s="204">
        <v>1.0900000000000001E-4</v>
      </c>
      <c r="CP35" s="81">
        <v>32.700000000000003</v>
      </c>
      <c r="CQ35" s="81" t="s">
        <v>509</v>
      </c>
      <c r="CR35" s="204">
        <v>2E-16</v>
      </c>
      <c r="CS35" s="81" t="s">
        <v>510</v>
      </c>
      <c r="CU35" s="212" t="s">
        <v>506</v>
      </c>
      <c r="CV35" s="81" t="s">
        <v>477</v>
      </c>
      <c r="CW35" s="204">
        <v>-10</v>
      </c>
      <c r="CX35" s="204">
        <v>2.1000000000000001E-4</v>
      </c>
      <c r="CY35" s="81">
        <v>-47558</v>
      </c>
      <c r="CZ35" s="81" t="s">
        <v>505</v>
      </c>
      <c r="DA35" s="81" t="s">
        <v>510</v>
      </c>
      <c r="DE35" s="81" t="s">
        <v>389</v>
      </c>
      <c r="DF35" s="81" t="s">
        <v>390</v>
      </c>
      <c r="DG35" s="81" t="str">
        <f t="shared" si="13"/>
        <v>f3N</v>
      </c>
      <c r="DH35" s="81" t="s">
        <v>434</v>
      </c>
      <c r="DI35" s="204">
        <f t="shared" si="14"/>
        <v>0.64500000000000002</v>
      </c>
      <c r="DJ35" s="81" t="s">
        <v>392</v>
      </c>
      <c r="DL35" s="287">
        <f t="shared" si="0"/>
        <v>0</v>
      </c>
      <c r="DM35" s="287">
        <f t="shared" si="1"/>
        <v>0</v>
      </c>
      <c r="DN35" s="287">
        <f t="shared" si="2"/>
        <v>0</v>
      </c>
      <c r="DP35" s="290" t="s">
        <v>506</v>
      </c>
      <c r="DQ35" s="290" t="s">
        <v>291</v>
      </c>
      <c r="DR35" s="291">
        <v>22400000</v>
      </c>
      <c r="DS35" s="291">
        <v>673000</v>
      </c>
      <c r="DT35" s="290">
        <v>33.29</v>
      </c>
      <c r="DU35" s="290" t="s">
        <v>509</v>
      </c>
      <c r="DV35" s="291">
        <v>2E-16</v>
      </c>
      <c r="DW35" s="81" t="s">
        <v>510</v>
      </c>
      <c r="DX35" s="212" t="s">
        <v>568</v>
      </c>
      <c r="DY35" s="296" t="s">
        <v>407</v>
      </c>
      <c r="DZ35" s="292" t="s">
        <v>434</v>
      </c>
      <c r="EA35" s="293">
        <f t="shared" si="24"/>
        <v>274</v>
      </c>
      <c r="EB35" s="212" t="s">
        <v>392</v>
      </c>
    </row>
    <row r="36" spans="1:132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320" t="s">
        <v>119</v>
      </c>
      <c r="F36" s="314"/>
      <c r="G36" s="76">
        <f>B17</f>
        <v>0</v>
      </c>
      <c r="K36" s="81"/>
      <c r="L36" s="81"/>
      <c r="M36" s="81" t="s">
        <v>117</v>
      </c>
      <c r="N36" s="3">
        <f>SUM(Q10:Q13,Q21:Q24)</f>
        <v>49.940000000000005</v>
      </c>
      <c r="P36" s="81"/>
      <c r="Q36" s="81"/>
      <c r="W36" s="258"/>
      <c r="X36" s="258"/>
      <c r="Y36" s="259"/>
      <c r="Z36" s="259"/>
      <c r="AA36" s="259"/>
      <c r="AB36" s="258"/>
      <c r="AC36" s="258"/>
      <c r="AD36" s="258"/>
      <c r="AE36" s="14"/>
      <c r="AF36" s="14"/>
      <c r="AG36" s="14"/>
      <c r="AP36" s="81" t="s">
        <v>392</v>
      </c>
      <c r="AU36" s="205"/>
      <c r="AV36" s="205"/>
      <c r="AW36" s="205"/>
      <c r="AX36" s="207"/>
      <c r="AZ36" s="205"/>
      <c r="BI36" s="81" t="s">
        <v>457</v>
      </c>
      <c r="BJ36" s="3">
        <f>BJ32+BJ33</f>
        <v>270.6289259622688</v>
      </c>
      <c r="BS36" s="204"/>
      <c r="BT36" s="81" t="s">
        <v>392</v>
      </c>
      <c r="BY36" s="211"/>
      <c r="BZ36" s="211"/>
      <c r="CA36" s="81" t="s">
        <v>492</v>
      </c>
      <c r="CB36" s="204">
        <v>-6.6</v>
      </c>
      <c r="CC36" s="204">
        <v>2.63E-2</v>
      </c>
      <c r="CG36" s="81" t="s">
        <v>488</v>
      </c>
      <c r="CH36" s="204">
        <v>-5.75</v>
      </c>
      <c r="CI36" s="204">
        <v>2.35E-2</v>
      </c>
      <c r="CJ36" s="81">
        <v>-244.53</v>
      </c>
      <c r="CK36" s="81" t="s">
        <v>505</v>
      </c>
      <c r="CM36" s="81" t="s">
        <v>494</v>
      </c>
      <c r="CN36" s="204">
        <v>186</v>
      </c>
      <c r="CO36" s="204">
        <v>2.46</v>
      </c>
      <c r="CP36" s="81">
        <v>75.599999999999994</v>
      </c>
      <c r="CQ36" s="81" t="s">
        <v>509</v>
      </c>
      <c r="CR36" s="204">
        <v>2E-16</v>
      </c>
      <c r="CS36" s="81" t="s">
        <v>510</v>
      </c>
      <c r="CU36" s="212" t="s">
        <v>506</v>
      </c>
      <c r="CV36" s="81" t="s">
        <v>528</v>
      </c>
      <c r="CW36" s="204">
        <v>-10</v>
      </c>
      <c r="CX36" s="204">
        <v>2.1000000000000001E-4</v>
      </c>
      <c r="CY36" s="81">
        <v>-47558</v>
      </c>
      <c r="CZ36" s="81" t="s">
        <v>505</v>
      </c>
      <c r="DA36" s="81" t="s">
        <v>510</v>
      </c>
      <c r="DE36" s="81" t="s">
        <v>389</v>
      </c>
      <c r="DF36" s="81" t="s">
        <v>390</v>
      </c>
      <c r="DG36" s="81" t="str">
        <f t="shared" si="13"/>
        <v>f5D</v>
      </c>
      <c r="DH36" s="81" t="s">
        <v>434</v>
      </c>
      <c r="DI36" s="204">
        <f t="shared" si="14"/>
        <v>7.0000000000000007E-2</v>
      </c>
      <c r="DJ36" s="81" t="s">
        <v>392</v>
      </c>
      <c r="DK36" s="81" t="s">
        <v>419</v>
      </c>
      <c r="DL36" s="289">
        <f t="shared" si="0"/>
        <v>173.39156907303101</v>
      </c>
      <c r="DM36" s="289">
        <f t="shared" si="1"/>
        <v>467</v>
      </c>
      <c r="DN36" s="289">
        <f t="shared" si="2"/>
        <v>194</v>
      </c>
      <c r="DP36" s="290" t="s">
        <v>506</v>
      </c>
      <c r="DQ36" s="290" t="s">
        <v>293</v>
      </c>
      <c r="DR36" s="291">
        <v>28100000</v>
      </c>
      <c r="DS36" s="291">
        <v>259000</v>
      </c>
      <c r="DT36" s="290">
        <v>108.17</v>
      </c>
      <c r="DU36" s="290" t="s">
        <v>509</v>
      </c>
      <c r="DV36" s="291">
        <v>2E-16</v>
      </c>
      <c r="DW36" s="81" t="s">
        <v>510</v>
      </c>
      <c r="DX36" s="212" t="s">
        <v>568</v>
      </c>
      <c r="DY36" s="297" t="s">
        <v>409</v>
      </c>
      <c r="DZ36" s="292" t="s">
        <v>434</v>
      </c>
      <c r="EA36" s="293">
        <f>DR59</f>
        <v>58.9</v>
      </c>
      <c r="EB36" s="212" t="s">
        <v>392</v>
      </c>
    </row>
    <row r="37" spans="1:132" ht="15" customHeight="1" thickTop="1" thickBot="1" x14ac:dyDescent="0.35">
      <c r="K37" s="81"/>
      <c r="L37" s="81"/>
      <c r="M37" s="81" t="s">
        <v>120</v>
      </c>
      <c r="N37" s="3">
        <f>'Verwarming Tabula'!B60</f>
        <v>138.03320000000002</v>
      </c>
      <c r="P37" s="81"/>
      <c r="Q37" s="81"/>
      <c r="W37" s="260" t="s">
        <v>115</v>
      </c>
      <c r="X37" s="261"/>
      <c r="Y37" s="262" t="s">
        <v>21</v>
      </c>
      <c r="Z37" s="275">
        <v>1.1000000000000001</v>
      </c>
      <c r="AA37" s="261" t="s">
        <v>5</v>
      </c>
      <c r="AB37" s="261"/>
      <c r="AC37" s="261" t="s">
        <v>22</v>
      </c>
      <c r="AD37" s="264">
        <f>SUM(AD38:AD39)</f>
        <v>0</v>
      </c>
      <c r="AE37" s="14" t="s">
        <v>23</v>
      </c>
      <c r="AF37" s="14">
        <f>SUM(AD39:AD40)</f>
        <v>0</v>
      </c>
      <c r="AG37" s="14"/>
      <c r="AL37" s="154" t="s">
        <v>389</v>
      </c>
      <c r="AM37" s="81" t="s">
        <v>390</v>
      </c>
      <c r="AN37" s="81" t="s">
        <v>419</v>
      </c>
      <c r="AO37" s="81">
        <f>SUM(N17:N20)*(1/(SUM(AC20:AC21)*0.5+1/8))+N25*(1/(SUM(AC9:AC10)*0.5+1/8))</f>
        <v>173.39156907303101</v>
      </c>
      <c r="AP37" s="81" t="s">
        <v>392</v>
      </c>
      <c r="AQ37" s="204">
        <v>467</v>
      </c>
      <c r="AU37" s="205" t="s">
        <v>389</v>
      </c>
      <c r="AV37" s="205" t="s">
        <v>390</v>
      </c>
      <c r="AW37" s="205" t="s">
        <v>419</v>
      </c>
      <c r="AX37" s="207" t="s">
        <v>434</v>
      </c>
      <c r="AY37" s="206">
        <f t="shared" si="3"/>
        <v>194</v>
      </c>
      <c r="AZ37" s="205" t="s">
        <v>392</v>
      </c>
      <c r="BP37" s="154" t="s">
        <v>389</v>
      </c>
      <c r="BQ37" s="81" t="s">
        <v>390</v>
      </c>
      <c r="BR37" s="81" t="s">
        <v>419</v>
      </c>
      <c r="BS37" s="204">
        <f t="shared" si="21"/>
        <v>467</v>
      </c>
      <c r="BT37" s="81" t="s">
        <v>392</v>
      </c>
      <c r="BU37" s="204">
        <v>467</v>
      </c>
      <c r="BY37" s="211">
        <f>CN27</f>
        <v>194</v>
      </c>
      <c r="BZ37" s="211"/>
      <c r="CA37" s="81" t="s">
        <v>493</v>
      </c>
      <c r="CB37" s="204">
        <v>6.4400000000000004E-3</v>
      </c>
      <c r="CC37" s="204">
        <v>1.36E-4</v>
      </c>
      <c r="CG37" s="81" t="s">
        <v>489</v>
      </c>
      <c r="CH37" s="204">
        <v>-6.06</v>
      </c>
      <c r="CI37" s="204">
        <v>2.58E-2</v>
      </c>
      <c r="CJ37" s="81">
        <v>-234.52</v>
      </c>
      <c r="CK37" s="81" t="s">
        <v>505</v>
      </c>
      <c r="CM37" s="81" t="s">
        <v>495</v>
      </c>
      <c r="CN37" s="204">
        <v>761</v>
      </c>
      <c r="CO37" s="204">
        <v>784</v>
      </c>
      <c r="CP37" s="81">
        <v>0.97</v>
      </c>
      <c r="CQ37" s="81">
        <v>0.33200000000000002</v>
      </c>
      <c r="CU37" s="212" t="s">
        <v>506</v>
      </c>
      <c r="CV37" s="81" t="s">
        <v>529</v>
      </c>
      <c r="CW37" s="204">
        <v>-10</v>
      </c>
      <c r="CX37" s="204">
        <v>2.1000000000000001E-4</v>
      </c>
      <c r="CY37" s="81">
        <v>-47558</v>
      </c>
      <c r="CZ37" s="81" t="s">
        <v>505</v>
      </c>
      <c r="DA37" s="81" t="s">
        <v>510</v>
      </c>
      <c r="DE37" s="81" t="s">
        <v>389</v>
      </c>
      <c r="DF37" s="81" t="s">
        <v>390</v>
      </c>
      <c r="DG37" s="81" t="str">
        <f t="shared" si="13"/>
        <v>f5N</v>
      </c>
      <c r="DH37" s="81" t="s">
        <v>434</v>
      </c>
      <c r="DI37" s="204">
        <f t="shared" si="14"/>
        <v>0.13</v>
      </c>
      <c r="DJ37" s="81" t="s">
        <v>392</v>
      </c>
      <c r="DK37" s="81" t="s">
        <v>420</v>
      </c>
      <c r="DL37" s="289">
        <f t="shared" si="0"/>
        <v>196.13980707395501</v>
      </c>
      <c r="DM37" s="289">
        <f t="shared" si="1"/>
        <v>247</v>
      </c>
      <c r="DN37" s="289">
        <f t="shared" si="2"/>
        <v>83.2</v>
      </c>
      <c r="DP37" s="290" t="s">
        <v>506</v>
      </c>
      <c r="DQ37" s="290" t="s">
        <v>476</v>
      </c>
      <c r="DR37" s="291">
        <v>-5.83</v>
      </c>
      <c r="DS37" s="291">
        <v>6.25E-2</v>
      </c>
      <c r="DT37" s="290">
        <v>-93.3</v>
      </c>
      <c r="DU37" s="290" t="s">
        <v>509</v>
      </c>
      <c r="DV37" s="291">
        <v>2E-16</v>
      </c>
      <c r="DW37" s="81" t="s">
        <v>510</v>
      </c>
      <c r="DX37" s="212" t="s">
        <v>568</v>
      </c>
      <c r="DY37" s="297" t="s">
        <v>408</v>
      </c>
      <c r="DZ37" s="292" t="s">
        <v>434</v>
      </c>
      <c r="EA37" s="293">
        <f>1/DR56</f>
        <v>154.08320493066256</v>
      </c>
      <c r="EB37" s="212" t="s">
        <v>392</v>
      </c>
    </row>
    <row r="38" spans="1:132" ht="15" customHeight="1" thickTop="1" thickBot="1" x14ac:dyDescent="0.35">
      <c r="B38" s="3"/>
      <c r="K38" s="81"/>
      <c r="L38" s="81"/>
      <c r="M38" s="81"/>
      <c r="N38" s="3"/>
      <c r="P38" s="81"/>
      <c r="Q38" s="81"/>
      <c r="W38" s="271"/>
      <c r="X38" s="272" t="s">
        <v>16</v>
      </c>
      <c r="Y38" s="272">
        <v>0.7</v>
      </c>
      <c r="Z38" s="272" t="s">
        <v>5</v>
      </c>
      <c r="AA38" s="272"/>
      <c r="AB38" s="272" t="s">
        <v>608</v>
      </c>
      <c r="AC38" s="272">
        <f>(Z37-(1-AC39)*Y38)/0.25</f>
        <v>2.3000000000000007</v>
      </c>
      <c r="AD38" s="276"/>
      <c r="AE38" s="14"/>
      <c r="AF38" s="14"/>
      <c r="AG38" s="14"/>
      <c r="AL38" s="154" t="s">
        <v>389</v>
      </c>
      <c r="AM38" s="81" t="s">
        <v>390</v>
      </c>
      <c r="AN38" s="81" t="s">
        <v>420</v>
      </c>
      <c r="AO38" s="81">
        <f>4*Z23*N28</f>
        <v>196.13980707395501</v>
      </c>
      <c r="AP38" s="81" t="s">
        <v>392</v>
      </c>
      <c r="AQ38" s="204">
        <v>247</v>
      </c>
      <c r="AU38" s="205" t="s">
        <v>389</v>
      </c>
      <c r="AV38" s="205" t="s">
        <v>390</v>
      </c>
      <c r="AW38" s="205" t="s">
        <v>420</v>
      </c>
      <c r="AX38" s="207" t="s">
        <v>434</v>
      </c>
      <c r="AY38" s="206">
        <f t="shared" si="3"/>
        <v>83.2</v>
      </c>
      <c r="AZ38" s="205" t="s">
        <v>392</v>
      </c>
      <c r="BP38" s="154" t="s">
        <v>389</v>
      </c>
      <c r="BQ38" s="81" t="s">
        <v>390</v>
      </c>
      <c r="BR38" s="81" t="s">
        <v>420</v>
      </c>
      <c r="BS38" s="204">
        <f t="shared" si="21"/>
        <v>247</v>
      </c>
      <c r="BT38" s="81" t="s">
        <v>392</v>
      </c>
      <c r="BU38" s="204">
        <v>247</v>
      </c>
      <c r="BY38" s="211">
        <f>CN28</f>
        <v>83.2</v>
      </c>
      <c r="BZ38" s="211"/>
      <c r="CA38" s="81" t="s">
        <v>494</v>
      </c>
      <c r="CB38" s="204">
        <v>143</v>
      </c>
      <c r="CC38" s="204">
        <v>1.36</v>
      </c>
      <c r="CG38" s="81" t="s">
        <v>490</v>
      </c>
      <c r="CH38" s="204">
        <v>-6.94</v>
      </c>
      <c r="CI38" s="204">
        <v>3.6200000000000003E-2</v>
      </c>
      <c r="CJ38" s="81">
        <v>-191.49</v>
      </c>
      <c r="CK38" s="81" t="s">
        <v>505</v>
      </c>
      <c r="CU38" s="212" t="s">
        <v>506</v>
      </c>
      <c r="CV38" s="81" t="s">
        <v>400</v>
      </c>
      <c r="CW38" s="204">
        <v>0.06</v>
      </c>
      <c r="CX38" s="204">
        <v>9.4099999999999997E-7</v>
      </c>
      <c r="CY38" s="81">
        <v>63794</v>
      </c>
      <c r="CZ38" s="81" t="s">
        <v>505</v>
      </c>
      <c r="DA38" s="81" t="s">
        <v>510</v>
      </c>
      <c r="DE38" s="81" t="s">
        <v>389</v>
      </c>
      <c r="DF38" s="81" t="s">
        <v>390</v>
      </c>
      <c r="DG38" s="81" t="str">
        <f t="shared" si="13"/>
        <v>hwD</v>
      </c>
      <c r="DH38" s="81" t="s">
        <v>434</v>
      </c>
      <c r="DI38" s="204">
        <f t="shared" si="14"/>
        <v>281</v>
      </c>
      <c r="DJ38" s="81" t="s">
        <v>392</v>
      </c>
      <c r="DK38" s="81" t="s">
        <v>421</v>
      </c>
      <c r="DL38" s="289">
        <f t="shared" si="0"/>
        <v>67.67838947368422</v>
      </c>
      <c r="DM38" s="289">
        <f t="shared" si="1"/>
        <v>82.5</v>
      </c>
      <c r="DN38" s="289">
        <f t="shared" si="2"/>
        <v>64.400000000000006</v>
      </c>
      <c r="DP38" s="290" t="s">
        <v>506</v>
      </c>
      <c r="DQ38" s="290" t="s">
        <v>477</v>
      </c>
      <c r="DR38" s="291">
        <v>-16.3</v>
      </c>
      <c r="DS38" s="291">
        <v>116</v>
      </c>
      <c r="DT38" s="290">
        <v>-0.14000000000000001</v>
      </c>
      <c r="DU38" s="290">
        <v>0.8881</v>
      </c>
      <c r="DX38" s="212" t="s">
        <v>568</v>
      </c>
      <c r="DY38" s="294" t="s">
        <v>400</v>
      </c>
      <c r="DZ38" s="292" t="s">
        <v>434</v>
      </c>
      <c r="EA38" s="293">
        <f>DR42</f>
        <v>6.8099999999999994E-2</v>
      </c>
      <c r="EB38" s="212" t="s">
        <v>392</v>
      </c>
    </row>
    <row r="39" spans="1:132" ht="15" customHeight="1" thickTop="1" thickBot="1" x14ac:dyDescent="0.35">
      <c r="K39" s="81"/>
      <c r="L39" s="81"/>
      <c r="M39" s="81" t="s">
        <v>122</v>
      </c>
      <c r="N39" s="3">
        <f>B4*1.204*1012*5/1000000</f>
        <v>4.3285365199999992</v>
      </c>
      <c r="O39" s="81" t="s">
        <v>123</v>
      </c>
      <c r="Q39" s="81"/>
      <c r="W39" s="237"/>
      <c r="X39" s="219" t="s">
        <v>121</v>
      </c>
      <c r="Y39" s="219">
        <v>0.3</v>
      </c>
      <c r="Z39" s="219"/>
      <c r="AA39" s="219"/>
      <c r="AB39" s="219" t="s">
        <v>607</v>
      </c>
      <c r="AC39" s="219">
        <v>0.25</v>
      </c>
      <c r="AD39" s="242"/>
      <c r="AE39" s="14"/>
      <c r="AF39" s="14"/>
      <c r="AG39" s="14"/>
      <c r="AL39" s="154" t="s">
        <v>389</v>
      </c>
      <c r="AM39" s="81" t="s">
        <v>390</v>
      </c>
      <c r="AN39" s="81" t="s">
        <v>421</v>
      </c>
      <c r="AO39" s="3">
        <f>'Verwarming Tabula 2zone'!B139+SUM(Q21:Q24)</f>
        <v>67.67838947368422</v>
      </c>
      <c r="AP39" s="81" t="s">
        <v>392</v>
      </c>
      <c r="AQ39" s="204">
        <v>82.5</v>
      </c>
      <c r="AU39" s="205" t="s">
        <v>389</v>
      </c>
      <c r="AV39" s="205" t="s">
        <v>390</v>
      </c>
      <c r="AW39" s="205" t="s">
        <v>421</v>
      </c>
      <c r="AX39" s="207" t="s">
        <v>434</v>
      </c>
      <c r="AY39" s="206">
        <f t="shared" si="3"/>
        <v>64.400000000000006</v>
      </c>
      <c r="AZ39" s="205" t="s">
        <v>392</v>
      </c>
      <c r="BP39" s="154" t="s">
        <v>389</v>
      </c>
      <c r="BQ39" s="81" t="s">
        <v>390</v>
      </c>
      <c r="BR39" s="81" t="s">
        <v>421</v>
      </c>
      <c r="BS39" s="204">
        <f t="shared" si="21"/>
        <v>82.5</v>
      </c>
      <c r="BT39" s="81" t="s">
        <v>392</v>
      </c>
      <c r="BU39" s="204">
        <v>82.5</v>
      </c>
      <c r="BY39" s="211">
        <f>CN29</f>
        <v>64.400000000000006</v>
      </c>
      <c r="BZ39" s="211"/>
      <c r="CA39" s="81" t="s">
        <v>495</v>
      </c>
      <c r="CB39" s="204">
        <v>1.35E-4</v>
      </c>
      <c r="CC39" s="204">
        <v>1.1900000000000001E-3</v>
      </c>
      <c r="CG39" s="81" t="s">
        <v>491</v>
      </c>
      <c r="CH39" s="204">
        <v>-6</v>
      </c>
      <c r="CI39" s="204">
        <v>2.3599999999999999E-2</v>
      </c>
      <c r="CJ39" s="81">
        <v>-254.34</v>
      </c>
      <c r="CK39" s="81" t="s">
        <v>505</v>
      </c>
      <c r="CU39" s="212" t="s">
        <v>506</v>
      </c>
      <c r="CV39" s="81" t="s">
        <v>416</v>
      </c>
      <c r="CW39" s="204">
        <v>0.16</v>
      </c>
      <c r="CX39" s="204">
        <v>2.48E-6</v>
      </c>
      <c r="CY39" s="81">
        <v>64442</v>
      </c>
      <c r="CZ39" s="81" t="s">
        <v>505</v>
      </c>
      <c r="DA39" s="81" t="s">
        <v>510</v>
      </c>
      <c r="DE39" s="81" t="s">
        <v>389</v>
      </c>
      <c r="DF39" s="81" t="s">
        <v>390</v>
      </c>
      <c r="DG39" s="81" t="str">
        <f t="shared" si="13"/>
        <v>hwiD</v>
      </c>
      <c r="DH39" s="81" t="s">
        <v>434</v>
      </c>
      <c r="DI39" s="204">
        <f t="shared" si="14"/>
        <v>705</v>
      </c>
      <c r="DJ39" s="81" t="s">
        <v>392</v>
      </c>
      <c r="DK39" s="81" t="s">
        <v>422</v>
      </c>
      <c r="DL39" s="289">
        <f t="shared" si="0"/>
        <v>40.08729549914019</v>
      </c>
      <c r="DM39" s="289">
        <f t="shared" si="1"/>
        <v>171.23287671232879</v>
      </c>
      <c r="DN39" s="289">
        <f t="shared" si="2"/>
        <v>280.1120448179272</v>
      </c>
      <c r="DP39" s="290" t="s">
        <v>506</v>
      </c>
      <c r="DQ39" s="290" t="s">
        <v>478</v>
      </c>
      <c r="DR39" s="291">
        <v>-11</v>
      </c>
      <c r="DS39" s="291">
        <v>6.63</v>
      </c>
      <c r="DT39" s="290">
        <v>-1.65</v>
      </c>
      <c r="DU39" s="290">
        <v>9.8199999999999996E-2</v>
      </c>
      <c r="DV39" s="290" t="s">
        <v>557</v>
      </c>
      <c r="DX39" s="212" t="s">
        <v>568</v>
      </c>
      <c r="DY39" s="295" t="s">
        <v>401</v>
      </c>
      <c r="DZ39" s="292" t="s">
        <v>434</v>
      </c>
      <c r="EA39" s="293">
        <f t="shared" ref="EA39:EA42" si="25">DR43</f>
        <v>0.13700000000000001</v>
      </c>
      <c r="EB39" s="212" t="s">
        <v>392</v>
      </c>
    </row>
    <row r="40" spans="1:132" ht="15" customHeight="1" thickTop="1" thickBot="1" x14ac:dyDescent="0.35">
      <c r="A40" s="81" t="s">
        <v>271</v>
      </c>
      <c r="K40" s="81"/>
      <c r="L40" s="81"/>
      <c r="M40" s="81" t="s">
        <v>124</v>
      </c>
      <c r="N40" s="3">
        <f>SUM(R6:R9,R15)/1000000</f>
        <v>56.299023035849999</v>
      </c>
      <c r="O40" s="81" t="s">
        <v>125</v>
      </c>
      <c r="P40" s="3">
        <f>SUM(T6:T9,T15)/1000000</f>
        <v>29.784199410000003</v>
      </c>
      <c r="Q40" s="81"/>
      <c r="W40" s="258"/>
      <c r="X40" s="258"/>
      <c r="Y40" s="258"/>
      <c r="Z40" s="258"/>
      <c r="AA40" s="258"/>
      <c r="AB40" s="258"/>
      <c r="AC40" s="258"/>
      <c r="AD40" s="258"/>
      <c r="AE40" s="14"/>
      <c r="AF40" s="14"/>
      <c r="AG40" s="14"/>
      <c r="AL40" s="154" t="s">
        <v>389</v>
      </c>
      <c r="AM40" s="81" t="s">
        <v>390</v>
      </c>
      <c r="AN40" s="81" t="s">
        <v>422</v>
      </c>
      <c r="AO40" s="81">
        <f>SUM(N17:N20)*1/(SUM(AC17:AC19)+0.5*SUM(AC20:AC21)+1/23)+N25*1/(SUM(AC7:AC9)+0.5*SUM(AC10)+1/23)</f>
        <v>40.08729549914019</v>
      </c>
      <c r="AP40" s="81" t="s">
        <v>392</v>
      </c>
      <c r="AQ40" s="81">
        <f>1/(0.00584)</f>
        <v>171.23287671232879</v>
      </c>
      <c r="AU40" s="205" t="s">
        <v>389</v>
      </c>
      <c r="AV40" s="205" t="s">
        <v>390</v>
      </c>
      <c r="AW40" s="205" t="s">
        <v>422</v>
      </c>
      <c r="AX40" s="207" t="s">
        <v>434</v>
      </c>
      <c r="AY40" s="206">
        <f t="shared" si="3"/>
        <v>280.1120448179272</v>
      </c>
      <c r="AZ40" s="205" t="s">
        <v>392</v>
      </c>
      <c r="BP40" s="154" t="s">
        <v>389</v>
      </c>
      <c r="BQ40" s="81" t="s">
        <v>390</v>
      </c>
      <c r="BR40" s="81" t="s">
        <v>422</v>
      </c>
      <c r="BS40" s="204">
        <f t="shared" si="21"/>
        <v>171.23287671232879</v>
      </c>
      <c r="BT40" s="81" t="s">
        <v>392</v>
      </c>
      <c r="BU40" s="81">
        <f>1/(0.00584)</f>
        <v>171.23287671232879</v>
      </c>
      <c r="BY40" s="211">
        <f>1/CN35</f>
        <v>280.1120448179272</v>
      </c>
      <c r="BZ40" s="211"/>
      <c r="CA40" s="81" t="s">
        <v>496</v>
      </c>
      <c r="CB40" s="204">
        <v>58.3</v>
      </c>
      <c r="CC40" s="204">
        <v>1.63</v>
      </c>
      <c r="CG40" s="81" t="s">
        <v>492</v>
      </c>
      <c r="CH40" s="204">
        <v>-6.6</v>
      </c>
      <c r="CI40" s="204">
        <v>2.63E-2</v>
      </c>
      <c r="CJ40" s="81">
        <v>-250.67</v>
      </c>
      <c r="CK40" s="81" t="s">
        <v>505</v>
      </c>
      <c r="CU40" s="212" t="s">
        <v>506</v>
      </c>
      <c r="CV40" s="81" t="s">
        <v>417</v>
      </c>
      <c r="CW40" s="204">
        <v>5.2999999999999999E-2</v>
      </c>
      <c r="CX40" s="204">
        <v>8.3099999999999996E-7</v>
      </c>
      <c r="CY40" s="81">
        <v>63749</v>
      </c>
      <c r="CZ40" s="81" t="s">
        <v>505</v>
      </c>
      <c r="DA40" s="81" t="s">
        <v>510</v>
      </c>
      <c r="DE40" s="81" t="s">
        <v>389</v>
      </c>
      <c r="DF40" s="81" t="s">
        <v>390</v>
      </c>
      <c r="DG40" s="81" t="str">
        <f t="shared" si="13"/>
        <v>hwiN</v>
      </c>
      <c r="DH40" s="81" t="s">
        <v>434</v>
      </c>
      <c r="DI40" s="204">
        <f t="shared" si="14"/>
        <v>882</v>
      </c>
      <c r="DJ40" s="81" t="s">
        <v>392</v>
      </c>
      <c r="DL40" s="287">
        <f t="shared" si="0"/>
        <v>0</v>
      </c>
      <c r="DM40" s="287">
        <f t="shared" si="1"/>
        <v>0</v>
      </c>
      <c r="DN40" s="287">
        <f t="shared" si="2"/>
        <v>0</v>
      </c>
      <c r="DP40" s="290" t="s">
        <v>506</v>
      </c>
      <c r="DQ40" s="290" t="s">
        <v>479</v>
      </c>
      <c r="DR40" s="291">
        <v>-15</v>
      </c>
      <c r="DS40" s="291">
        <v>39.4</v>
      </c>
      <c r="DT40" s="290">
        <v>-0.38</v>
      </c>
      <c r="DU40" s="290">
        <v>0.70269999999999999</v>
      </c>
      <c r="DX40" s="212" t="s">
        <v>568</v>
      </c>
      <c r="DY40" s="295" t="s">
        <v>402</v>
      </c>
      <c r="DZ40" s="292" t="s">
        <v>434</v>
      </c>
      <c r="EA40" s="293">
        <f t="shared" si="25"/>
        <v>0.76700000000000002</v>
      </c>
      <c r="EB40" s="212" t="s">
        <v>392</v>
      </c>
    </row>
    <row r="41" spans="1:132" ht="15" customHeight="1" thickTop="1" thickBot="1" x14ac:dyDescent="0.35">
      <c r="A41" s="148" t="s">
        <v>272</v>
      </c>
      <c r="K41" s="81"/>
      <c r="L41" s="81"/>
      <c r="M41" s="81" t="s">
        <v>126</v>
      </c>
      <c r="N41" s="3">
        <f>SUM(R26:R27)/1000000</f>
        <v>89.781309299999975</v>
      </c>
      <c r="O41" s="81" t="s">
        <v>125</v>
      </c>
      <c r="P41" s="3">
        <f>SUM(T26:T27)/1000000</f>
        <v>89.781309299999975</v>
      </c>
      <c r="Q41" s="81"/>
      <c r="W41" s="258"/>
      <c r="X41" s="258"/>
      <c r="Y41" s="259"/>
      <c r="Z41" s="259"/>
      <c r="AA41" s="259"/>
      <c r="AB41" s="258"/>
      <c r="AC41" s="258"/>
      <c r="AD41" s="258"/>
      <c r="AE41" s="14"/>
      <c r="AF41" s="14"/>
      <c r="AG41" s="14"/>
      <c r="AP41" s="81" t="s">
        <v>392</v>
      </c>
      <c r="AU41" s="205"/>
      <c r="AV41" s="205"/>
      <c r="AW41" s="205"/>
      <c r="AX41" s="207"/>
      <c r="AZ41" s="205"/>
      <c r="BS41" s="204"/>
      <c r="BT41" s="81" t="s">
        <v>392</v>
      </c>
      <c r="BY41" s="211"/>
      <c r="BZ41" s="211"/>
      <c r="CG41" s="81" t="s">
        <v>493</v>
      </c>
      <c r="CH41" s="204">
        <v>6.4400000000000004E-3</v>
      </c>
      <c r="CI41" s="204">
        <v>1.36E-4</v>
      </c>
      <c r="CJ41" s="81">
        <v>47.2</v>
      </c>
      <c r="CK41" s="81" t="s">
        <v>505</v>
      </c>
      <c r="CU41" s="212" t="s">
        <v>506</v>
      </c>
      <c r="CV41" s="81" t="s">
        <v>402</v>
      </c>
      <c r="CW41" s="204">
        <v>0.65</v>
      </c>
      <c r="CX41" s="204">
        <v>9.5799999999999998E-6</v>
      </c>
      <c r="CY41" s="81">
        <v>67820</v>
      </c>
      <c r="CZ41" s="81" t="s">
        <v>505</v>
      </c>
      <c r="DA41" s="81" t="s">
        <v>510</v>
      </c>
      <c r="DE41" s="81" t="s">
        <v>389</v>
      </c>
      <c r="DF41" s="81" t="s">
        <v>390</v>
      </c>
      <c r="DG41" s="81" t="str">
        <f t="shared" si="13"/>
        <v>hwN</v>
      </c>
      <c r="DH41" s="81" t="s">
        <v>434</v>
      </c>
      <c r="DI41" s="204">
        <f t="shared" si="14"/>
        <v>384</v>
      </c>
      <c r="DJ41" s="81" t="s">
        <v>392</v>
      </c>
      <c r="DK41" s="81" t="s">
        <v>423</v>
      </c>
      <c r="DL41" s="286">
        <f t="shared" si="0"/>
        <v>0.1881393552609017</v>
      </c>
      <c r="DM41" s="286">
        <f t="shared" si="1"/>
        <v>0.112</v>
      </c>
      <c r="DN41" s="286">
        <f t="shared" si="2"/>
        <v>0.14199999999999999</v>
      </c>
      <c r="DP41" s="290" t="s">
        <v>506</v>
      </c>
      <c r="DQ41" s="290" t="s">
        <v>480</v>
      </c>
      <c r="DR41" s="291">
        <v>-15.6</v>
      </c>
      <c r="DS41" s="291">
        <v>71.400000000000006</v>
      </c>
      <c r="DT41" s="290">
        <v>-0.22</v>
      </c>
      <c r="DU41" s="290">
        <v>0.82769999999999999</v>
      </c>
      <c r="DX41" s="212" t="s">
        <v>568</v>
      </c>
      <c r="DY41" s="292" t="s">
        <v>403</v>
      </c>
      <c r="DZ41" s="292" t="s">
        <v>434</v>
      </c>
      <c r="EA41" s="293">
        <f t="shared" si="25"/>
        <v>6.2199999999999998E-2</v>
      </c>
      <c r="EB41" s="212" t="s">
        <v>392</v>
      </c>
    </row>
    <row r="42" spans="1:132" ht="15" customHeight="1" thickTop="1" thickBot="1" x14ac:dyDescent="0.35">
      <c r="A42" s="81" t="s">
        <v>273</v>
      </c>
      <c r="C42" s="81">
        <f>0.55</f>
        <v>0.55000000000000004</v>
      </c>
      <c r="K42" s="81"/>
      <c r="L42" s="81"/>
      <c r="M42" s="81" t="s">
        <v>127</v>
      </c>
      <c r="N42" s="3">
        <f>R14/1000000</f>
        <v>64.873856920000009</v>
      </c>
      <c r="P42" s="3">
        <f>T14/1000000</f>
        <v>15.401248000000002</v>
      </c>
      <c r="Q42" s="81"/>
      <c r="W42" s="260" t="s">
        <v>63</v>
      </c>
      <c r="X42" s="261"/>
      <c r="Y42" s="262" t="s">
        <v>21</v>
      </c>
      <c r="Z42" s="263">
        <f>1/(1/10+SUM(AC44:AC48))</f>
        <v>0.22994798795510538</v>
      </c>
      <c r="AA42" s="261" t="s">
        <v>5</v>
      </c>
      <c r="AB42" s="261"/>
      <c r="AC42" s="261" t="s">
        <v>22</v>
      </c>
      <c r="AD42" s="264">
        <f>SUM(AD44:AD48)</f>
        <v>467390.9</v>
      </c>
      <c r="AE42" s="14" t="s">
        <v>23</v>
      </c>
      <c r="AF42" s="14">
        <f>SUM(AD44:AD45)</f>
        <v>110960</v>
      </c>
      <c r="AG42" s="14"/>
      <c r="AL42" s="154" t="s">
        <v>389</v>
      </c>
      <c r="AM42" s="81" t="s">
        <v>390</v>
      </c>
      <c r="AN42" s="81" t="s">
        <v>423</v>
      </c>
      <c r="AO42" s="81">
        <f>SUM(N26)/SUM(N6:N14,N26:N27)</f>
        <v>0.1881393552609017</v>
      </c>
      <c r="AP42" s="81" t="s">
        <v>392</v>
      </c>
      <c r="AQ42" s="204">
        <v>0.112</v>
      </c>
      <c r="AU42" s="205" t="s">
        <v>389</v>
      </c>
      <c r="AV42" s="205" t="s">
        <v>390</v>
      </c>
      <c r="AW42" s="205" t="s">
        <v>423</v>
      </c>
      <c r="AX42" s="207" t="s">
        <v>434</v>
      </c>
      <c r="AY42" s="206">
        <f t="shared" si="3"/>
        <v>0.14199999999999999</v>
      </c>
      <c r="AZ42" s="205" t="s">
        <v>392</v>
      </c>
      <c r="BP42" s="154" t="s">
        <v>389</v>
      </c>
      <c r="BQ42" s="81" t="s">
        <v>390</v>
      </c>
      <c r="BR42" s="81" t="s">
        <v>423</v>
      </c>
      <c r="BS42" s="204">
        <f t="shared" si="21"/>
        <v>0.112</v>
      </c>
      <c r="BT42" s="81" t="s">
        <v>392</v>
      </c>
      <c r="BU42" s="204">
        <v>0.112</v>
      </c>
      <c r="BY42" s="211">
        <f>CH16</f>
        <v>0.14199999999999999</v>
      </c>
      <c r="BZ42" s="211"/>
      <c r="CG42" s="81" t="s">
        <v>494</v>
      </c>
      <c r="CH42" s="204">
        <v>143</v>
      </c>
      <c r="CI42" s="204">
        <v>1.36</v>
      </c>
      <c r="CJ42" s="81">
        <v>105.13</v>
      </c>
      <c r="CK42" s="81" t="s">
        <v>505</v>
      </c>
      <c r="CU42" s="212" t="s">
        <v>506</v>
      </c>
      <c r="CV42" s="81" t="s">
        <v>418</v>
      </c>
      <c r="CW42" s="204">
        <v>0.64500000000000002</v>
      </c>
      <c r="CX42" s="204">
        <v>9.5200000000000003E-6</v>
      </c>
      <c r="CY42" s="81">
        <v>67783</v>
      </c>
      <c r="CZ42" s="81" t="s">
        <v>505</v>
      </c>
      <c r="DA42" s="81" t="s">
        <v>510</v>
      </c>
      <c r="DE42" s="81" t="s">
        <v>389</v>
      </c>
      <c r="DF42" s="81" t="s">
        <v>390</v>
      </c>
      <c r="DG42" s="81" t="str">
        <f t="shared" si="13"/>
        <v>infD</v>
      </c>
      <c r="DH42" s="81" t="s">
        <v>434</v>
      </c>
      <c r="DI42" s="204">
        <f t="shared" si="14"/>
        <v>53</v>
      </c>
      <c r="DJ42" s="81" t="s">
        <v>392</v>
      </c>
      <c r="DK42" s="81" t="s">
        <v>424</v>
      </c>
      <c r="DL42" s="286">
        <f t="shared" si="0"/>
        <v>0.34044878893029051</v>
      </c>
      <c r="DM42" s="286">
        <f t="shared" si="1"/>
        <v>0.23</v>
      </c>
      <c r="DN42" s="286">
        <f t="shared" si="2"/>
        <v>0.34599999999999997</v>
      </c>
      <c r="DP42" s="290" t="s">
        <v>506</v>
      </c>
      <c r="DQ42" s="290" t="s">
        <v>481</v>
      </c>
      <c r="DR42" s="291">
        <v>6.8099999999999994E-2</v>
      </c>
      <c r="DS42" s="291">
        <v>8.4900000000000004E-4</v>
      </c>
      <c r="DT42" s="290">
        <v>80.2</v>
      </c>
      <c r="DU42" s="290" t="s">
        <v>509</v>
      </c>
      <c r="DV42" s="291">
        <v>2E-16</v>
      </c>
      <c r="DW42" s="81" t="s">
        <v>510</v>
      </c>
      <c r="DX42" s="212" t="s">
        <v>568</v>
      </c>
      <c r="DY42" s="292" t="s">
        <v>518</v>
      </c>
      <c r="DZ42" s="292" t="s">
        <v>434</v>
      </c>
      <c r="EA42" s="293">
        <f t="shared" si="25"/>
        <v>5.3100000000000001E-2</v>
      </c>
      <c r="EB42" s="212" t="s">
        <v>392</v>
      </c>
    </row>
    <row r="43" spans="1:132" ht="15" customHeight="1" thickTop="1" thickBot="1" x14ac:dyDescent="0.35">
      <c r="A43" s="81" t="s">
        <v>274</v>
      </c>
      <c r="C43" s="81">
        <v>0.99</v>
      </c>
      <c r="D43" s="81" t="s">
        <v>275</v>
      </c>
      <c r="K43" s="81"/>
      <c r="L43" s="81"/>
      <c r="M43" s="81"/>
      <c r="P43" s="81"/>
      <c r="Q43" s="81"/>
      <c r="W43" s="265"/>
      <c r="X43" s="266" t="s">
        <v>27</v>
      </c>
      <c r="Y43" s="266" t="s">
        <v>28</v>
      </c>
      <c r="Z43" s="266" t="s">
        <v>29</v>
      </c>
      <c r="AA43" s="266" t="s">
        <v>30</v>
      </c>
      <c r="AB43" s="266" t="s">
        <v>31</v>
      </c>
      <c r="AC43" s="266" t="s">
        <v>32</v>
      </c>
      <c r="AD43" s="267" t="s">
        <v>33</v>
      </c>
      <c r="AE43" s="14"/>
      <c r="AF43" s="14"/>
      <c r="AG43" s="14"/>
      <c r="AL43" s="154" t="s">
        <v>389</v>
      </c>
      <c r="AM43" s="81" t="s">
        <v>390</v>
      </c>
      <c r="AN43" s="81" t="s">
        <v>424</v>
      </c>
      <c r="AO43" s="81">
        <f>SUM(N26)/SUM(N$17:N$25,N$28,N$26)</f>
        <v>0.34044878893029051</v>
      </c>
      <c r="AP43" s="81" t="s">
        <v>392</v>
      </c>
      <c r="AQ43" s="204">
        <v>0.23</v>
      </c>
      <c r="AU43" s="205" t="s">
        <v>389</v>
      </c>
      <c r="AV43" s="205" t="s">
        <v>390</v>
      </c>
      <c r="AW43" s="205" t="s">
        <v>424</v>
      </c>
      <c r="AX43" s="207" t="s">
        <v>434</v>
      </c>
      <c r="AY43" s="206">
        <f t="shared" si="3"/>
        <v>0.34599999999999997</v>
      </c>
      <c r="AZ43" s="205" t="s">
        <v>392</v>
      </c>
      <c r="BP43" s="154" t="s">
        <v>389</v>
      </c>
      <c r="BQ43" s="81" t="s">
        <v>390</v>
      </c>
      <c r="BR43" s="81" t="s">
        <v>424</v>
      </c>
      <c r="BS43" s="204">
        <f t="shared" si="21"/>
        <v>0.23</v>
      </c>
      <c r="BT43" s="81" t="s">
        <v>392</v>
      </c>
      <c r="BU43" s="204">
        <v>0.23</v>
      </c>
      <c r="BY43" s="211">
        <f>CN14</f>
        <v>0.34599999999999997</v>
      </c>
      <c r="BZ43" s="211"/>
      <c r="CG43" s="81" t="s">
        <v>495</v>
      </c>
      <c r="CH43" s="204">
        <v>1.35E-4</v>
      </c>
      <c r="CI43" s="204">
        <v>1.1900000000000001E-3</v>
      </c>
      <c r="CJ43" s="81">
        <v>0.11</v>
      </c>
      <c r="CK43" s="81">
        <v>0.91</v>
      </c>
      <c r="CU43" s="212" t="s">
        <v>506</v>
      </c>
      <c r="CV43" s="81" t="s">
        <v>518</v>
      </c>
      <c r="CW43" s="204">
        <v>7.0000000000000007E-2</v>
      </c>
      <c r="CX43" s="204">
        <v>1.1000000000000001E-6</v>
      </c>
      <c r="CY43" s="81">
        <v>63858</v>
      </c>
      <c r="CZ43" s="81" t="s">
        <v>505</v>
      </c>
      <c r="DA43" s="81" t="s">
        <v>510</v>
      </c>
      <c r="DE43" s="81" t="s">
        <v>389</v>
      </c>
      <c r="DF43" s="81" t="s">
        <v>390</v>
      </c>
      <c r="DG43" s="81" t="str">
        <f t="shared" si="13"/>
        <v>infN</v>
      </c>
      <c r="DH43" s="81" t="s">
        <v>434</v>
      </c>
      <c r="DI43" s="204">
        <f t="shared" si="14"/>
        <v>36.9</v>
      </c>
      <c r="DJ43" s="81" t="s">
        <v>392</v>
      </c>
      <c r="DK43" s="81" t="s">
        <v>425</v>
      </c>
      <c r="DL43" s="288">
        <f t="shared" si="0"/>
        <v>27839291.999999993</v>
      </c>
      <c r="DM43" s="288">
        <f t="shared" si="1"/>
        <v>10700000</v>
      </c>
      <c r="DN43" s="288">
        <f t="shared" si="2"/>
        <v>120000000</v>
      </c>
      <c r="DP43" s="290" t="s">
        <v>506</v>
      </c>
      <c r="DQ43" s="290" t="s">
        <v>482</v>
      </c>
      <c r="DR43" s="291">
        <v>0.13700000000000001</v>
      </c>
      <c r="DS43" s="291">
        <v>1.0399999999999999E-3</v>
      </c>
      <c r="DT43" s="290">
        <v>132.03</v>
      </c>
      <c r="DU43" s="290" t="s">
        <v>509</v>
      </c>
      <c r="DV43" s="291">
        <v>2E-16</v>
      </c>
      <c r="DW43" s="81" t="s">
        <v>510</v>
      </c>
      <c r="DZ43" s="292"/>
    </row>
    <row r="44" spans="1:132" ht="15" customHeight="1" thickTop="1" thickBot="1" x14ac:dyDescent="0.35">
      <c r="A44" s="81" t="s">
        <v>277</v>
      </c>
      <c r="C44" s="81">
        <v>0.7</v>
      </c>
      <c r="E44" s="79"/>
      <c r="K44" s="81"/>
      <c r="L44" s="81"/>
      <c r="M44" s="81"/>
      <c r="P44" s="81"/>
      <c r="Q44" s="81"/>
      <c r="W44" s="271"/>
      <c r="X44" s="272" t="s">
        <v>128</v>
      </c>
      <c r="Y44" s="272">
        <v>0.02</v>
      </c>
      <c r="Z44" s="272">
        <v>1.4</v>
      </c>
      <c r="AA44" s="272">
        <v>2100</v>
      </c>
      <c r="AB44" s="272">
        <v>840</v>
      </c>
      <c r="AC44" s="273">
        <f>Y44/Z44</f>
        <v>1.4285714285714287E-2</v>
      </c>
      <c r="AD44" s="274">
        <f>Y44*AA44*AB44</f>
        <v>35280</v>
      </c>
      <c r="AE44" s="14" t="s">
        <v>104</v>
      </c>
      <c r="AF44" s="14"/>
      <c r="AG44" s="14"/>
      <c r="AL44" s="154" t="s">
        <v>389</v>
      </c>
      <c r="AM44" s="81" t="s">
        <v>390</v>
      </c>
      <c r="AN44" s="81" t="s">
        <v>425</v>
      </c>
      <c r="AO44" s="81">
        <f>T26/2</f>
        <v>27839291.999999993</v>
      </c>
      <c r="AP44" s="81" t="s">
        <v>392</v>
      </c>
      <c r="AQ44" s="204">
        <v>10700000</v>
      </c>
      <c r="AU44" s="205" t="s">
        <v>389</v>
      </c>
      <c r="AV44" s="205" t="s">
        <v>390</v>
      </c>
      <c r="AW44" s="205" t="s">
        <v>425</v>
      </c>
      <c r="AX44" s="207" t="s">
        <v>434</v>
      </c>
      <c r="AY44" s="206">
        <f t="shared" si="3"/>
        <v>120000000</v>
      </c>
      <c r="AZ44" s="205" t="s">
        <v>392</v>
      </c>
      <c r="BP44" s="154" t="s">
        <v>389</v>
      </c>
      <c r="BQ44" s="81" t="s">
        <v>390</v>
      </c>
      <c r="BR44" s="81" t="s">
        <v>425</v>
      </c>
      <c r="BS44" s="204">
        <f t="shared" si="21"/>
        <v>10700000</v>
      </c>
      <c r="BT44" s="81" t="s">
        <v>392</v>
      </c>
      <c r="BU44" s="204">
        <v>10700000</v>
      </c>
      <c r="BY44" s="211">
        <f>CO51</f>
        <v>120000000</v>
      </c>
      <c r="BZ44" s="211"/>
      <c r="CG44" s="81" t="s">
        <v>496</v>
      </c>
      <c r="CH44" s="204">
        <v>58.3</v>
      </c>
      <c r="CI44" s="204">
        <v>1.63</v>
      </c>
      <c r="CJ44" s="81">
        <v>35.75</v>
      </c>
      <c r="CK44" s="81" t="s">
        <v>505</v>
      </c>
      <c r="CM44" s="81" t="s">
        <v>497</v>
      </c>
      <c r="CN44" s="81" t="s">
        <v>512</v>
      </c>
      <c r="CU44" s="212" t="s">
        <v>506</v>
      </c>
      <c r="CV44" s="81" t="s">
        <v>519</v>
      </c>
      <c r="CW44" s="204">
        <v>0.13</v>
      </c>
      <c r="CX44" s="204">
        <v>2.0200000000000001E-6</v>
      </c>
      <c r="CY44" s="81">
        <v>64246</v>
      </c>
      <c r="CZ44" s="81" t="s">
        <v>505</v>
      </c>
      <c r="DA44" s="81" t="s">
        <v>510</v>
      </c>
      <c r="DI44" s="204"/>
      <c r="DK44" s="81" t="s">
        <v>426</v>
      </c>
      <c r="DL44" s="288">
        <f t="shared" si="0"/>
        <v>27839291.999999993</v>
      </c>
      <c r="DM44" s="288">
        <f t="shared" si="1"/>
        <v>33900000</v>
      </c>
      <c r="DN44" s="288">
        <f t="shared" si="2"/>
        <v>630000</v>
      </c>
      <c r="DP44" s="290" t="s">
        <v>506</v>
      </c>
      <c r="DQ44" s="290" t="s">
        <v>483</v>
      </c>
      <c r="DR44" s="291">
        <v>0.76700000000000002</v>
      </c>
      <c r="DS44" s="291">
        <v>3.8999999999999998E-3</v>
      </c>
      <c r="DT44" s="290">
        <v>196.97</v>
      </c>
      <c r="DU44" s="290" t="s">
        <v>509</v>
      </c>
      <c r="DV44" s="291">
        <v>2E-16</v>
      </c>
      <c r="DW44" s="81" t="s">
        <v>510</v>
      </c>
      <c r="DX44" s="212" t="s">
        <v>568</v>
      </c>
      <c r="DY44" s="297" t="s">
        <v>590</v>
      </c>
      <c r="DZ44" s="292" t="s">
        <v>434</v>
      </c>
      <c r="EA44" s="293">
        <f>DR69</f>
        <v>0.33600000000000002</v>
      </c>
      <c r="EB44" s="212" t="s">
        <v>392</v>
      </c>
    </row>
    <row r="45" spans="1:132" ht="15" customHeight="1" thickTop="1" thickBot="1" x14ac:dyDescent="0.35">
      <c r="A45" s="81" t="s">
        <v>278</v>
      </c>
      <c r="C45" s="81">
        <v>0.7</v>
      </c>
      <c r="E45" s="79"/>
      <c r="K45" s="81"/>
      <c r="L45" s="81"/>
      <c r="M45" s="81"/>
      <c r="P45" s="81"/>
      <c r="Q45" s="81"/>
      <c r="W45" s="220"/>
      <c r="X45" s="221" t="s">
        <v>129</v>
      </c>
      <c r="Y45" s="221">
        <v>0.08</v>
      </c>
      <c r="Z45" s="221">
        <v>0.6</v>
      </c>
      <c r="AA45" s="221">
        <v>1100</v>
      </c>
      <c r="AB45" s="221">
        <v>860</v>
      </c>
      <c r="AC45" s="268">
        <f>Y45/Z45</f>
        <v>0.13333333333333333</v>
      </c>
      <c r="AD45" s="222">
        <f>Y45*AA45*AB45</f>
        <v>75680</v>
      </c>
      <c r="AE45" s="14"/>
      <c r="AF45" s="14"/>
      <c r="AG45" s="14"/>
      <c r="AL45" s="154" t="s">
        <v>389</v>
      </c>
      <c r="AM45" s="81" t="s">
        <v>390</v>
      </c>
      <c r="AN45" s="81" t="s">
        <v>426</v>
      </c>
      <c r="AO45" s="81">
        <f>T26/2</f>
        <v>27839291.999999993</v>
      </c>
      <c r="AP45" s="81" t="s">
        <v>392</v>
      </c>
      <c r="AQ45" s="204">
        <v>33900000</v>
      </c>
      <c r="AU45" s="205" t="s">
        <v>389</v>
      </c>
      <c r="AV45" s="205" t="s">
        <v>390</v>
      </c>
      <c r="AW45" s="205" t="s">
        <v>426</v>
      </c>
      <c r="AX45" s="207" t="s">
        <v>434</v>
      </c>
      <c r="AY45" s="206">
        <f t="shared" si="3"/>
        <v>630000</v>
      </c>
      <c r="AZ45" s="205" t="s">
        <v>392</v>
      </c>
      <c r="BP45" s="154" t="s">
        <v>389</v>
      </c>
      <c r="BQ45" s="81" t="s">
        <v>390</v>
      </c>
      <c r="BR45" s="81" t="s">
        <v>426</v>
      </c>
      <c r="BS45" s="204">
        <f t="shared" si="21"/>
        <v>33900000</v>
      </c>
      <c r="BT45" s="81" t="s">
        <v>392</v>
      </c>
      <c r="BU45" s="204">
        <v>33900000</v>
      </c>
      <c r="BY45" s="211">
        <f>CO52</f>
        <v>630000</v>
      </c>
      <c r="BZ45" s="211"/>
      <c r="CM45" s="81" t="s">
        <v>506</v>
      </c>
      <c r="CN45" s="81" t="s">
        <v>499</v>
      </c>
      <c r="CU45" s="212" t="s">
        <v>506</v>
      </c>
      <c r="CV45" s="81" t="s">
        <v>404</v>
      </c>
      <c r="CW45" s="204">
        <v>281</v>
      </c>
      <c r="CX45" s="204">
        <v>1.15E-3</v>
      </c>
      <c r="CY45" s="81">
        <v>244765</v>
      </c>
      <c r="CZ45" s="81" t="s">
        <v>505</v>
      </c>
      <c r="DA45" s="81" t="s">
        <v>510</v>
      </c>
      <c r="DI45" s="204"/>
      <c r="DK45" s="81" t="s">
        <v>427</v>
      </c>
      <c r="DL45" s="286">
        <f t="shared" si="0"/>
        <v>5.6441806578270505E-2</v>
      </c>
      <c r="DM45" s="286">
        <f t="shared" si="1"/>
        <v>7.5399999999999995E-2</v>
      </c>
      <c r="DN45" s="286">
        <f t="shared" si="2"/>
        <v>5.4300000000000001E-2</v>
      </c>
      <c r="DP45" s="290" t="s">
        <v>506</v>
      </c>
      <c r="DQ45" s="290" t="s">
        <v>484</v>
      </c>
      <c r="DR45" s="291">
        <v>6.2199999999999998E-2</v>
      </c>
      <c r="DS45" s="291">
        <v>4.7800000000000002E-4</v>
      </c>
      <c r="DT45" s="290">
        <v>130.32</v>
      </c>
      <c r="DU45" s="290" t="s">
        <v>509</v>
      </c>
      <c r="DV45" s="291">
        <v>2E-16</v>
      </c>
      <c r="DW45" s="81" t="s">
        <v>510</v>
      </c>
      <c r="DX45" s="212" t="s">
        <v>568</v>
      </c>
      <c r="DY45" s="297" t="s">
        <v>591</v>
      </c>
      <c r="DZ45" s="292" t="s">
        <v>434</v>
      </c>
      <c r="EA45" s="293">
        <f t="shared" ref="EA45:EA59" si="26">DR70</f>
        <v>1.17E-14</v>
      </c>
      <c r="EB45" s="212" t="s">
        <v>392</v>
      </c>
    </row>
    <row r="46" spans="1:132" ht="15" customHeight="1" thickTop="1" thickBot="1" x14ac:dyDescent="0.35">
      <c r="K46" s="81"/>
      <c r="L46" s="81"/>
      <c r="M46" s="81"/>
      <c r="P46" s="81"/>
      <c r="Q46" s="81"/>
      <c r="W46" s="220"/>
      <c r="X46" s="221" t="s">
        <v>276</v>
      </c>
      <c r="Y46" s="302">
        <v>9.5000000000000001E-2</v>
      </c>
      <c r="Z46" s="221">
        <v>2.4E-2</v>
      </c>
      <c r="AA46" s="221">
        <v>26</v>
      </c>
      <c r="AB46" s="221">
        <v>1470</v>
      </c>
      <c r="AC46" s="268">
        <f>Y46/Z46</f>
        <v>3.9583333333333335</v>
      </c>
      <c r="AD46" s="222">
        <f>Y46*AA46*AB46</f>
        <v>3630.9</v>
      </c>
      <c r="AE46" s="14"/>
      <c r="AF46" s="14"/>
      <c r="AG46" s="14"/>
      <c r="AL46" s="154" t="s">
        <v>389</v>
      </c>
      <c r="AM46" s="81" t="s">
        <v>390</v>
      </c>
      <c r="AN46" s="81" t="s">
        <v>427</v>
      </c>
      <c r="AO46" s="81">
        <f>AO42*0.3</f>
        <v>5.6441806578270505E-2</v>
      </c>
      <c r="AP46" s="81" t="s">
        <v>392</v>
      </c>
      <c r="AQ46" s="204">
        <v>7.5399999999999995E-2</v>
      </c>
      <c r="AU46" s="205" t="s">
        <v>389</v>
      </c>
      <c r="AV46" s="205" t="s">
        <v>390</v>
      </c>
      <c r="AW46" s="205" t="s">
        <v>427</v>
      </c>
      <c r="AX46" s="207" t="s">
        <v>434</v>
      </c>
      <c r="AY46" s="206">
        <f t="shared" si="3"/>
        <v>5.4300000000000001E-2</v>
      </c>
      <c r="AZ46" s="205" t="s">
        <v>392</v>
      </c>
      <c r="BP46" s="154" t="s">
        <v>389</v>
      </c>
      <c r="BQ46" s="81" t="s">
        <v>390</v>
      </c>
      <c r="BR46" s="81" t="s">
        <v>427</v>
      </c>
      <c r="BS46" s="204">
        <f t="shared" si="21"/>
        <v>7.5399999999999995E-2</v>
      </c>
      <c r="BT46" s="81" t="s">
        <v>392</v>
      </c>
      <c r="BU46" s="204">
        <v>7.5399999999999995E-2</v>
      </c>
      <c r="BY46" s="211">
        <f>CH31</f>
        <v>5.4300000000000001E-2</v>
      </c>
      <c r="BZ46" s="211"/>
      <c r="CM46" s="81" t="s">
        <v>506</v>
      </c>
      <c r="CN46" s="81" t="s">
        <v>500</v>
      </c>
      <c r="CO46" s="81" t="s">
        <v>501</v>
      </c>
      <c r="CP46" s="81" t="s">
        <v>502</v>
      </c>
      <c r="CQ46" s="81" t="s">
        <v>503</v>
      </c>
      <c r="CR46" s="81" t="s">
        <v>504</v>
      </c>
      <c r="CS46" s="81" t="s">
        <v>508</v>
      </c>
      <c r="CU46" s="212" t="s">
        <v>506</v>
      </c>
      <c r="CV46" s="81" t="s">
        <v>406</v>
      </c>
      <c r="CW46" s="204">
        <v>705</v>
      </c>
      <c r="CX46" s="204">
        <v>2.7899999999999999E-3</v>
      </c>
      <c r="CY46" s="81">
        <v>252594</v>
      </c>
      <c r="CZ46" s="81" t="s">
        <v>505</v>
      </c>
      <c r="DA46" s="81" t="s">
        <v>510</v>
      </c>
      <c r="DI46" s="204"/>
      <c r="DK46" s="81" t="s">
        <v>428</v>
      </c>
      <c r="DL46" s="286">
        <f t="shared" si="0"/>
        <v>0.10213463667908715</v>
      </c>
      <c r="DM46" s="286">
        <f t="shared" si="1"/>
        <v>0.127</v>
      </c>
      <c r="DN46" s="286">
        <f t="shared" si="2"/>
        <v>9.5100000000000004E-2</v>
      </c>
      <c r="DP46" s="290" t="s">
        <v>506</v>
      </c>
      <c r="DQ46" s="290" t="s">
        <v>485</v>
      </c>
      <c r="DR46" s="291">
        <v>5.3100000000000001E-2</v>
      </c>
      <c r="DS46" s="291">
        <v>4.1599999999999997E-4</v>
      </c>
      <c r="DT46" s="290">
        <v>127.4</v>
      </c>
      <c r="DU46" s="290" t="s">
        <v>509</v>
      </c>
      <c r="DV46" s="291">
        <v>2E-16</v>
      </c>
      <c r="DW46" s="81" t="s">
        <v>510</v>
      </c>
      <c r="DX46" s="212" t="s">
        <v>568</v>
      </c>
      <c r="DY46" s="297" t="s">
        <v>592</v>
      </c>
      <c r="DZ46" s="292" t="s">
        <v>434</v>
      </c>
      <c r="EA46" s="293">
        <f t="shared" si="26"/>
        <v>0.79200000000000004</v>
      </c>
      <c r="EB46" s="212" t="s">
        <v>392</v>
      </c>
    </row>
    <row r="47" spans="1:132" ht="15" customHeight="1" thickTop="1" thickBot="1" x14ac:dyDescent="0.35">
      <c r="B47" s="3"/>
      <c r="K47" s="81"/>
      <c r="L47" s="81"/>
      <c r="M47" s="81"/>
      <c r="P47" s="81"/>
      <c r="Q47" s="81"/>
      <c r="W47" s="220"/>
      <c r="X47" s="221" t="s">
        <v>131</v>
      </c>
      <c r="Y47" s="221">
        <v>0.2</v>
      </c>
      <c r="Z47" s="221">
        <v>1.4</v>
      </c>
      <c r="AA47" s="221">
        <v>2100</v>
      </c>
      <c r="AB47" s="221">
        <v>840</v>
      </c>
      <c r="AC47" s="268">
        <f>Y47/Z47</f>
        <v>0.14285714285714288</v>
      </c>
      <c r="AD47" s="222">
        <f>Y47*AA47*AB47</f>
        <v>352800</v>
      </c>
      <c r="AE47" s="14"/>
      <c r="AF47" s="14"/>
      <c r="AG47" s="14"/>
      <c r="AL47" s="154" t="s">
        <v>389</v>
      </c>
      <c r="AM47" s="81" t="s">
        <v>390</v>
      </c>
      <c r="AN47" s="81" t="s">
        <v>428</v>
      </c>
      <c r="AO47" s="81">
        <f>AO43*0.3</f>
        <v>0.10213463667908715</v>
      </c>
      <c r="AP47" s="81" t="s">
        <v>392</v>
      </c>
      <c r="AQ47" s="204">
        <v>0.127</v>
      </c>
      <c r="AU47" s="205" t="s">
        <v>389</v>
      </c>
      <c r="AV47" s="205" t="s">
        <v>390</v>
      </c>
      <c r="AW47" s="205" t="s">
        <v>428</v>
      </c>
      <c r="AX47" s="207" t="s">
        <v>434</v>
      </c>
      <c r="AY47" s="206">
        <f t="shared" si="3"/>
        <v>9.5100000000000004E-2</v>
      </c>
      <c r="AZ47" s="205" t="s">
        <v>392</v>
      </c>
      <c r="BP47" s="154" t="s">
        <v>389</v>
      </c>
      <c r="BQ47" s="81" t="s">
        <v>390</v>
      </c>
      <c r="BR47" s="81" t="s">
        <v>428</v>
      </c>
      <c r="BS47" s="204">
        <f t="shared" si="21"/>
        <v>0.127</v>
      </c>
      <c r="BT47" s="81" t="s">
        <v>392</v>
      </c>
      <c r="BU47" s="204">
        <v>0.127</v>
      </c>
      <c r="BY47" s="211">
        <f>CN26</f>
        <v>9.5100000000000004E-2</v>
      </c>
      <c r="BZ47" s="211"/>
      <c r="CM47" s="81" t="s">
        <v>506</v>
      </c>
      <c r="CN47" s="81" t="s">
        <v>513</v>
      </c>
      <c r="CO47" s="204">
        <v>290</v>
      </c>
      <c r="CP47" s="204">
        <v>0.14499999999999999</v>
      </c>
      <c r="CQ47" s="81">
        <v>1995.82</v>
      </c>
      <c r="CR47" s="81" t="s">
        <v>509</v>
      </c>
      <c r="CS47" s="204">
        <v>2E-16</v>
      </c>
      <c r="CT47" s="81" t="s">
        <v>510</v>
      </c>
      <c r="CU47" s="212" t="s">
        <v>506</v>
      </c>
      <c r="CV47" s="81" t="s">
        <v>420</v>
      </c>
      <c r="CW47" s="204">
        <v>882</v>
      </c>
      <c r="CX47" s="204">
        <v>6.6800000000000002E-3</v>
      </c>
      <c r="CY47" s="81">
        <v>132039</v>
      </c>
      <c r="CZ47" s="81" t="s">
        <v>505</v>
      </c>
      <c r="DA47" s="81" t="s">
        <v>510</v>
      </c>
      <c r="DI47" s="204"/>
      <c r="DK47" s="81" t="s">
        <v>429</v>
      </c>
      <c r="DL47" s="289">
        <f t="shared" si="0"/>
        <v>696.05542725173189</v>
      </c>
      <c r="DM47" s="289">
        <f t="shared" si="1"/>
        <v>599</v>
      </c>
      <c r="DN47" s="289">
        <f t="shared" si="2"/>
        <v>138</v>
      </c>
      <c r="DP47" s="290" t="s">
        <v>506</v>
      </c>
      <c r="DQ47" s="290" t="s">
        <v>486</v>
      </c>
      <c r="DR47" s="291">
        <v>262</v>
      </c>
      <c r="DS47" s="291">
        <v>2.85</v>
      </c>
      <c r="DT47" s="290">
        <v>92.12</v>
      </c>
      <c r="DU47" s="290" t="s">
        <v>509</v>
      </c>
      <c r="DV47" s="291">
        <v>2E-16</v>
      </c>
      <c r="DW47" s="81" t="s">
        <v>510</v>
      </c>
      <c r="DX47" s="212" t="s">
        <v>568</v>
      </c>
      <c r="DY47" s="297" t="s">
        <v>593</v>
      </c>
      <c r="DZ47" s="292" t="s">
        <v>434</v>
      </c>
      <c r="EA47" s="293">
        <f t="shared" si="26"/>
        <v>0.66100000000000003</v>
      </c>
      <c r="EB47" s="212" t="s">
        <v>392</v>
      </c>
    </row>
    <row r="48" spans="1:132" ht="15" customHeight="1" thickTop="1" thickBot="1" x14ac:dyDescent="0.35">
      <c r="B48" s="3"/>
      <c r="K48" s="81"/>
      <c r="L48" s="81"/>
      <c r="M48" s="81"/>
      <c r="P48" s="81"/>
      <c r="Q48" s="81"/>
      <c r="W48" s="237"/>
      <c r="X48" s="219" t="s">
        <v>132</v>
      </c>
      <c r="Y48" s="219">
        <v>0</v>
      </c>
      <c r="Z48" s="219">
        <v>0.02</v>
      </c>
      <c r="AA48" s="219">
        <v>30</v>
      </c>
      <c r="AB48" s="219">
        <v>1470</v>
      </c>
      <c r="AC48" s="269">
        <f>Y48/Z48</f>
        <v>0</v>
      </c>
      <c r="AD48" s="242">
        <f>Y48*AA48*AB48</f>
        <v>0</v>
      </c>
      <c r="AE48" s="14"/>
      <c r="AF48" s="14"/>
      <c r="AG48" s="14"/>
      <c r="AL48" s="154" t="s">
        <v>389</v>
      </c>
      <c r="AM48" s="81" t="s">
        <v>390</v>
      </c>
      <c r="AN48" s="81" t="s">
        <v>429</v>
      </c>
      <c r="AO48" s="81">
        <f>Z29*4*N26</f>
        <v>696.05542725173189</v>
      </c>
      <c r="AP48" s="81" t="s">
        <v>392</v>
      </c>
      <c r="AQ48" s="204">
        <v>599</v>
      </c>
      <c r="AU48" s="205" t="s">
        <v>389</v>
      </c>
      <c r="AV48" s="205" t="s">
        <v>390</v>
      </c>
      <c r="AW48" s="205" t="s">
        <v>429</v>
      </c>
      <c r="AX48" s="207" t="s">
        <v>434</v>
      </c>
      <c r="AY48" s="206">
        <f t="shared" si="3"/>
        <v>138</v>
      </c>
      <c r="AZ48" s="205" t="s">
        <v>392</v>
      </c>
      <c r="BP48" s="154" t="s">
        <v>389</v>
      </c>
      <c r="BQ48" s="81" t="s">
        <v>390</v>
      </c>
      <c r="BR48" s="81" t="s">
        <v>429</v>
      </c>
      <c r="BS48" s="204">
        <f t="shared" si="21"/>
        <v>599</v>
      </c>
      <c r="BT48" s="81" t="s">
        <v>392</v>
      </c>
      <c r="BU48" s="204">
        <v>599</v>
      </c>
      <c r="BY48" s="211">
        <f>CO60</f>
        <v>138</v>
      </c>
      <c r="BZ48" s="211"/>
      <c r="CM48" s="81" t="s">
        <v>506</v>
      </c>
      <c r="CN48" s="81" t="s">
        <v>514</v>
      </c>
      <c r="CO48" s="204">
        <v>291</v>
      </c>
      <c r="CP48" s="204">
        <v>0.76600000000000001</v>
      </c>
      <c r="CQ48" s="81">
        <v>379.48</v>
      </c>
      <c r="CR48" s="81" t="s">
        <v>509</v>
      </c>
      <c r="CS48" s="204">
        <v>2E-16</v>
      </c>
      <c r="CT48" s="81" t="s">
        <v>510</v>
      </c>
      <c r="CU48" s="212" t="s">
        <v>506</v>
      </c>
      <c r="CV48" s="81" t="s">
        <v>419</v>
      </c>
      <c r="CW48" s="204">
        <v>384</v>
      </c>
      <c r="CX48" s="204">
        <v>1.17E-3</v>
      </c>
      <c r="CY48" s="81">
        <v>328443</v>
      </c>
      <c r="CZ48" s="81" t="s">
        <v>505</v>
      </c>
      <c r="DA48" s="81" t="s">
        <v>510</v>
      </c>
      <c r="DI48" s="204"/>
      <c r="DK48" s="81" t="s">
        <v>430</v>
      </c>
      <c r="DL48" s="289">
        <f t="shared" si="0"/>
        <v>348.02771362586594</v>
      </c>
      <c r="DM48" s="289">
        <f t="shared" si="1"/>
        <v>537</v>
      </c>
      <c r="DN48" s="289">
        <f t="shared" si="2"/>
        <v>7610</v>
      </c>
      <c r="DP48" s="290" t="s">
        <v>506</v>
      </c>
      <c r="DQ48" s="290" t="s">
        <v>487</v>
      </c>
      <c r="DR48" s="291">
        <v>204</v>
      </c>
      <c r="DS48" s="291">
        <v>1.35</v>
      </c>
      <c r="DT48" s="290">
        <v>151.66999999999999</v>
      </c>
      <c r="DU48" s="290" t="s">
        <v>509</v>
      </c>
      <c r="DV48" s="291">
        <v>2E-16</v>
      </c>
      <c r="DW48" s="81" t="s">
        <v>510</v>
      </c>
      <c r="DX48" s="212" t="s">
        <v>568</v>
      </c>
      <c r="DY48" s="297" t="s">
        <v>594</v>
      </c>
      <c r="DZ48" s="292" t="s">
        <v>434</v>
      </c>
      <c r="EA48" s="293">
        <f t="shared" si="26"/>
        <v>0.25700000000000001</v>
      </c>
      <c r="EB48" s="212" t="s">
        <v>392</v>
      </c>
    </row>
    <row r="49" spans="2:132" ht="15" customHeight="1" thickTop="1" thickBot="1" x14ac:dyDescent="0.35">
      <c r="B49" s="3"/>
      <c r="K49" s="81"/>
      <c r="L49" s="81"/>
      <c r="M49" s="81"/>
      <c r="P49" s="81"/>
      <c r="Q49" s="81"/>
      <c r="W49" s="221"/>
      <c r="X49" s="221"/>
      <c r="Y49" s="221"/>
      <c r="Z49" s="221"/>
      <c r="AA49" s="221"/>
      <c r="AB49" s="221"/>
      <c r="AC49" s="268"/>
      <c r="AD49" s="221"/>
      <c r="AE49" s="14"/>
      <c r="AF49" s="14"/>
      <c r="AG49" s="14"/>
      <c r="AL49" s="154" t="s">
        <v>389</v>
      </c>
      <c r="AM49" s="81" t="s">
        <v>390</v>
      </c>
      <c r="AN49" s="81" t="s">
        <v>430</v>
      </c>
      <c r="AO49" s="81">
        <f>AO50/2</f>
        <v>348.02771362586594</v>
      </c>
      <c r="AP49" s="81" t="s">
        <v>392</v>
      </c>
      <c r="AQ49" s="204">
        <v>537</v>
      </c>
      <c r="AU49" s="205" t="s">
        <v>389</v>
      </c>
      <c r="AV49" s="205" t="s">
        <v>390</v>
      </c>
      <c r="AW49" s="205" t="s">
        <v>430</v>
      </c>
      <c r="AX49" s="207" t="s">
        <v>434</v>
      </c>
      <c r="AY49" s="206">
        <f>BY49</f>
        <v>7610</v>
      </c>
      <c r="AZ49" s="205" t="s">
        <v>392</v>
      </c>
      <c r="BP49" s="154" t="s">
        <v>389</v>
      </c>
      <c r="BQ49" s="81" t="s">
        <v>390</v>
      </c>
      <c r="BR49" s="81" t="s">
        <v>430</v>
      </c>
      <c r="BS49" s="204">
        <f t="shared" si="21"/>
        <v>537</v>
      </c>
      <c r="BT49" s="81" t="s">
        <v>392</v>
      </c>
      <c r="BU49" s="204">
        <v>537</v>
      </c>
      <c r="BY49" s="211">
        <f>CO61</f>
        <v>7610</v>
      </c>
      <c r="BZ49" s="211"/>
      <c r="CM49" s="81" t="s">
        <v>506</v>
      </c>
      <c r="CN49" s="81" t="s">
        <v>423</v>
      </c>
      <c r="CO49" s="204">
        <v>0.14299999999999999</v>
      </c>
      <c r="CP49" s="204">
        <v>7.2499999999999995E-4</v>
      </c>
      <c r="CQ49" s="81">
        <v>197.29</v>
      </c>
      <c r="CR49" s="81" t="s">
        <v>509</v>
      </c>
      <c r="CS49" s="204">
        <v>2E-16</v>
      </c>
      <c r="CT49" s="81" t="s">
        <v>510</v>
      </c>
      <c r="CU49" s="212" t="s">
        <v>506</v>
      </c>
      <c r="CV49" s="81" t="s">
        <v>407</v>
      </c>
      <c r="CW49" s="204">
        <v>53</v>
      </c>
      <c r="CX49" s="204">
        <v>2.9300000000000002E-4</v>
      </c>
      <c r="CY49" s="81">
        <v>180769</v>
      </c>
      <c r="CZ49" s="81" t="s">
        <v>505</v>
      </c>
      <c r="DA49" s="81" t="s">
        <v>510</v>
      </c>
      <c r="DI49" s="204"/>
      <c r="DK49" s="81" t="s">
        <v>431</v>
      </c>
      <c r="DL49" s="289">
        <f t="shared" si="0"/>
        <v>696.05542725173189</v>
      </c>
      <c r="DM49" s="289">
        <f t="shared" si="1"/>
        <v>594</v>
      </c>
      <c r="DN49" s="289">
        <f>BY50</f>
        <v>371</v>
      </c>
      <c r="DP49" s="290" t="s">
        <v>506</v>
      </c>
      <c r="DQ49" s="290" t="s">
        <v>285</v>
      </c>
      <c r="DR49" s="291">
        <v>497</v>
      </c>
      <c r="DS49" s="291">
        <v>2.75</v>
      </c>
      <c r="DT49" s="290">
        <v>180.72</v>
      </c>
      <c r="DU49" s="290" t="s">
        <v>509</v>
      </c>
      <c r="DV49" s="291">
        <v>2E-16</v>
      </c>
      <c r="DW49" s="81" t="s">
        <v>510</v>
      </c>
      <c r="DX49" s="212" t="s">
        <v>568</v>
      </c>
      <c r="DY49" s="297" t="s">
        <v>595</v>
      </c>
      <c r="DZ49" s="292" t="s">
        <v>434</v>
      </c>
      <c r="EA49" s="293">
        <f t="shared" si="26"/>
        <v>0.27100000000000002</v>
      </c>
      <c r="EB49" s="212" t="s">
        <v>392</v>
      </c>
    </row>
    <row r="50" spans="2:132" ht="15" customHeight="1" thickTop="1" thickBot="1" x14ac:dyDescent="0.35">
      <c r="K50" s="81"/>
      <c r="L50" s="81"/>
      <c r="M50" s="81"/>
      <c r="P50" s="81"/>
      <c r="Q50" s="81"/>
      <c r="W50" s="258"/>
      <c r="X50" s="258"/>
      <c r="Y50" s="277"/>
      <c r="Z50" s="277"/>
      <c r="AA50" s="277"/>
      <c r="AB50" s="258"/>
      <c r="AC50" s="258"/>
      <c r="AD50" s="258"/>
      <c r="AE50" s="14"/>
      <c r="AF50" s="14"/>
      <c r="AG50" s="14"/>
      <c r="AL50" s="154" t="s">
        <v>389</v>
      </c>
      <c r="AM50" s="81" t="s">
        <v>390</v>
      </c>
      <c r="AN50" s="81" t="s">
        <v>431</v>
      </c>
      <c r="AO50" s="81">
        <f>AO48</f>
        <v>696.05542725173189</v>
      </c>
      <c r="AP50" s="81" t="s">
        <v>392</v>
      </c>
      <c r="AQ50" s="204">
        <v>594</v>
      </c>
      <c r="AU50" s="205" t="s">
        <v>389</v>
      </c>
      <c r="AV50" s="205" t="s">
        <v>390</v>
      </c>
      <c r="AW50" s="205" t="s">
        <v>431</v>
      </c>
      <c r="AX50" s="207" t="s">
        <v>434</v>
      </c>
      <c r="AY50" s="206">
        <f t="shared" si="3"/>
        <v>371</v>
      </c>
      <c r="AZ50" s="205" t="s">
        <v>392</v>
      </c>
      <c r="BP50" s="154" t="s">
        <v>389</v>
      </c>
      <c r="BQ50" s="81" t="s">
        <v>390</v>
      </c>
      <c r="BR50" s="81" t="s">
        <v>431</v>
      </c>
      <c r="BS50" s="204">
        <f t="shared" si="21"/>
        <v>594</v>
      </c>
      <c r="BT50" s="81" t="s">
        <v>392</v>
      </c>
      <c r="BU50" s="204">
        <v>594</v>
      </c>
      <c r="BY50" s="211">
        <f>CO62</f>
        <v>371</v>
      </c>
      <c r="BZ50" s="211"/>
      <c r="CM50" s="81" t="s">
        <v>506</v>
      </c>
      <c r="CN50" s="81" t="s">
        <v>424</v>
      </c>
      <c r="CO50" s="204">
        <v>0.72299999999999998</v>
      </c>
      <c r="CP50" s="204">
        <v>2.46E-2</v>
      </c>
      <c r="CQ50" s="81">
        <v>29.4</v>
      </c>
      <c r="CR50" s="81" t="s">
        <v>509</v>
      </c>
      <c r="CS50" s="204">
        <v>2E-16</v>
      </c>
      <c r="CT50" s="81" t="s">
        <v>510</v>
      </c>
      <c r="CU50" s="212" t="s">
        <v>506</v>
      </c>
      <c r="CV50" s="81" t="s">
        <v>421</v>
      </c>
      <c r="CW50" s="204">
        <v>36.9</v>
      </c>
      <c r="CX50" s="204">
        <v>5.6099999999999998E-4</v>
      </c>
      <c r="CY50" s="81">
        <v>65843</v>
      </c>
      <c r="CZ50" s="81" t="s">
        <v>505</v>
      </c>
      <c r="DA50" s="81" t="s">
        <v>510</v>
      </c>
      <c r="DI50" s="204"/>
      <c r="DP50" s="290" t="s">
        <v>506</v>
      </c>
      <c r="DQ50" s="290" t="s">
        <v>120</v>
      </c>
      <c r="DR50" s="291">
        <v>274</v>
      </c>
      <c r="DS50" s="291">
        <v>1.32</v>
      </c>
      <c r="DT50" s="290">
        <v>207.59</v>
      </c>
      <c r="DU50" s="290" t="s">
        <v>509</v>
      </c>
      <c r="DV50" s="291">
        <v>2E-16</v>
      </c>
      <c r="DW50" s="81" t="s">
        <v>510</v>
      </c>
      <c r="DX50" s="212" t="s">
        <v>568</v>
      </c>
      <c r="DY50" s="297" t="s">
        <v>596</v>
      </c>
      <c r="DZ50" s="292" t="s">
        <v>434</v>
      </c>
      <c r="EA50" s="293">
        <f t="shared" si="26"/>
        <v>0.22900000000000001</v>
      </c>
      <c r="EB50" s="212" t="s">
        <v>392</v>
      </c>
    </row>
    <row r="51" spans="2:132" ht="15" customHeight="1" thickTop="1" thickBot="1" x14ac:dyDescent="0.35">
      <c r="K51" s="81"/>
      <c r="L51" s="81"/>
      <c r="M51" s="81"/>
      <c r="P51" s="81"/>
      <c r="Q51" s="81"/>
      <c r="W51" s="278" t="s">
        <v>68</v>
      </c>
      <c r="X51" s="279"/>
      <c r="Y51" s="280" t="s">
        <v>21</v>
      </c>
      <c r="Z51" s="281">
        <v>3.5</v>
      </c>
      <c r="AA51" s="279" t="s">
        <v>5</v>
      </c>
      <c r="AB51" s="279"/>
      <c r="AC51" s="279" t="s">
        <v>22</v>
      </c>
      <c r="AD51" s="282">
        <f>0.04*550*1660</f>
        <v>36520</v>
      </c>
      <c r="AE51" s="14" t="s">
        <v>23</v>
      </c>
      <c r="AF51" s="14">
        <f>SUM(AD53:AD54)</f>
        <v>0</v>
      </c>
      <c r="AG51" s="14"/>
      <c r="CM51" s="81" t="s">
        <v>506</v>
      </c>
      <c r="CN51" s="81" t="s">
        <v>515</v>
      </c>
      <c r="CO51" s="204">
        <v>120000000</v>
      </c>
      <c r="CP51" s="204">
        <v>15700000</v>
      </c>
      <c r="CQ51" s="81">
        <v>7.65</v>
      </c>
      <c r="CR51" s="204">
        <v>2.8000000000000001E-14</v>
      </c>
      <c r="CS51" s="81" t="s">
        <v>510</v>
      </c>
      <c r="CU51" s="212" t="s">
        <v>506</v>
      </c>
      <c r="CV51" s="81" t="s">
        <v>488</v>
      </c>
      <c r="CW51" s="204">
        <v>-10</v>
      </c>
      <c r="CX51" s="204">
        <v>1.5799999999999999E-4</v>
      </c>
      <c r="CY51" s="81">
        <v>-63411</v>
      </c>
      <c r="CZ51" s="81" t="s">
        <v>505</v>
      </c>
      <c r="DA51" s="81" t="s">
        <v>510</v>
      </c>
      <c r="DI51" s="204"/>
      <c r="DP51" s="290" t="s">
        <v>506</v>
      </c>
      <c r="DQ51" s="290" t="s">
        <v>488</v>
      </c>
      <c r="DR51" s="291">
        <v>-5.74</v>
      </c>
      <c r="DS51" s="291">
        <v>2.1600000000000001E-2</v>
      </c>
      <c r="DT51" s="290">
        <v>-265.19</v>
      </c>
      <c r="DU51" s="290" t="s">
        <v>509</v>
      </c>
      <c r="DV51" s="291">
        <v>2E-16</v>
      </c>
      <c r="DW51" s="81" t="s">
        <v>510</v>
      </c>
      <c r="DX51" s="212" t="s">
        <v>568</v>
      </c>
      <c r="DY51" s="297" t="s">
        <v>597</v>
      </c>
      <c r="DZ51" s="292" t="s">
        <v>434</v>
      </c>
      <c r="EA51" s="293">
        <f t="shared" si="26"/>
        <v>0.13400000000000001</v>
      </c>
      <c r="EB51" s="212" t="s">
        <v>392</v>
      </c>
    </row>
    <row r="52" spans="2:132" thickTop="1" thickBot="1" x14ac:dyDescent="0.35">
      <c r="W52" s="283"/>
      <c r="X52" s="284" t="s">
        <v>16</v>
      </c>
      <c r="Y52" s="284">
        <v>3.5</v>
      </c>
      <c r="Z52" s="284" t="s">
        <v>5</v>
      </c>
      <c r="AA52" s="284"/>
      <c r="AB52" s="284" t="s">
        <v>303</v>
      </c>
      <c r="AC52" s="284">
        <f>(1/Z51-1/8-1/23)*0.11</f>
        <v>1.2895962732919253E-2</v>
      </c>
      <c r="AD52" s="285"/>
      <c r="AE52" s="14"/>
      <c r="AF52" s="14"/>
      <c r="AG52" s="14"/>
      <c r="CM52" s="81" t="s">
        <v>506</v>
      </c>
      <c r="CN52" s="81" t="s">
        <v>426</v>
      </c>
      <c r="CO52" s="204">
        <v>630000</v>
      </c>
      <c r="CP52" s="204">
        <v>33500</v>
      </c>
      <c r="CQ52" s="81">
        <v>18.79</v>
      </c>
      <c r="CR52" s="81" t="s">
        <v>509</v>
      </c>
      <c r="CS52" s="204">
        <v>2E-16</v>
      </c>
      <c r="CT52" s="81" t="s">
        <v>510</v>
      </c>
      <c r="CU52" s="212" t="s">
        <v>506</v>
      </c>
      <c r="CV52" s="81" t="s">
        <v>489</v>
      </c>
      <c r="CW52" s="204">
        <v>-10</v>
      </c>
      <c r="CX52" s="204">
        <v>1.5799999999999999E-4</v>
      </c>
      <c r="CY52" s="81">
        <v>-63411</v>
      </c>
      <c r="CZ52" s="81" t="s">
        <v>505</v>
      </c>
      <c r="DA52" s="81" t="s">
        <v>510</v>
      </c>
      <c r="DE52" s="81" t="s">
        <v>389</v>
      </c>
      <c r="DF52" s="81" t="s">
        <v>390</v>
      </c>
      <c r="DG52" s="81" t="str">
        <f t="shared" si="13"/>
        <v>UfDN</v>
      </c>
      <c r="DH52" s="81" t="s">
        <v>434</v>
      </c>
      <c r="DI52" s="204">
        <f t="shared" si="14"/>
        <v>532</v>
      </c>
      <c r="DJ52" s="81" t="s">
        <v>392</v>
      </c>
      <c r="DP52" s="290" t="s">
        <v>506</v>
      </c>
      <c r="DQ52" s="290" t="s">
        <v>489</v>
      </c>
      <c r="DR52" s="291">
        <v>-6.04</v>
      </c>
      <c r="DS52" s="291">
        <v>2.41E-2</v>
      </c>
      <c r="DT52" s="290">
        <v>-250.23</v>
      </c>
      <c r="DU52" s="290" t="s">
        <v>509</v>
      </c>
      <c r="DV52" s="291">
        <v>2E-16</v>
      </c>
      <c r="DW52" s="81" t="s">
        <v>510</v>
      </c>
      <c r="DX52" s="212" t="s">
        <v>568</v>
      </c>
      <c r="DY52" s="297" t="s">
        <v>598</v>
      </c>
      <c r="DZ52" s="292" t="s">
        <v>434</v>
      </c>
      <c r="EA52" s="293">
        <f t="shared" si="26"/>
        <v>0.111</v>
      </c>
      <c r="EB52" s="212" t="s">
        <v>392</v>
      </c>
    </row>
    <row r="53" spans="2:132" thickTop="1" thickBot="1" x14ac:dyDescent="0.35">
      <c r="W53" s="258"/>
      <c r="X53" s="258"/>
      <c r="Y53" s="259"/>
      <c r="Z53" s="259"/>
      <c r="AA53" s="259"/>
      <c r="AB53" s="258"/>
      <c r="AC53" s="258"/>
      <c r="AD53" s="258"/>
      <c r="AE53" s="14"/>
      <c r="AF53" s="14"/>
      <c r="AG53" s="14"/>
      <c r="CM53" s="81">
        <v>17</v>
      </c>
      <c r="CU53" s="212" t="s">
        <v>506</v>
      </c>
      <c r="CV53" s="81" t="s">
        <v>490</v>
      </c>
      <c r="CW53" s="204">
        <v>-10</v>
      </c>
      <c r="CX53" s="204">
        <v>1.5799999999999999E-4</v>
      </c>
      <c r="CY53" s="81">
        <v>-63411</v>
      </c>
      <c r="CZ53" s="81" t="s">
        <v>505</v>
      </c>
      <c r="DA53" s="81" t="s">
        <v>510</v>
      </c>
      <c r="DE53" s="81" t="s">
        <v>389</v>
      </c>
      <c r="DF53" s="81" t="s">
        <v>390</v>
      </c>
      <c r="DG53" s="81" t="str">
        <f t="shared" si="13"/>
        <v>Ufi</v>
      </c>
      <c r="DH53" s="81" t="s">
        <v>434</v>
      </c>
      <c r="DI53" s="204">
        <f t="shared" si="14"/>
        <v>1</v>
      </c>
      <c r="DJ53" s="81" t="s">
        <v>392</v>
      </c>
      <c r="DP53" s="290" t="s">
        <v>506</v>
      </c>
      <c r="DQ53" s="290" t="s">
        <v>490</v>
      </c>
      <c r="DR53" s="291">
        <v>-7.15</v>
      </c>
      <c r="DS53" s="291">
        <v>3.3399999999999999E-2</v>
      </c>
      <c r="DT53" s="290">
        <v>-214.09</v>
      </c>
      <c r="DU53" s="290" t="s">
        <v>509</v>
      </c>
      <c r="DV53" s="291">
        <v>2E-16</v>
      </c>
      <c r="DW53" s="81" t="s">
        <v>510</v>
      </c>
      <c r="DX53" s="212" t="s">
        <v>568</v>
      </c>
      <c r="DY53" s="297" t="s">
        <v>599</v>
      </c>
      <c r="DZ53" s="292" t="s">
        <v>434</v>
      </c>
      <c r="EA53" s="293">
        <f t="shared" si="26"/>
        <v>2.6099999999999999E-11</v>
      </c>
      <c r="EB53" s="212" t="s">
        <v>392</v>
      </c>
    </row>
    <row r="54" spans="2:132" thickTop="1" thickBot="1" x14ac:dyDescent="0.35">
      <c r="AN54" s="160" t="s">
        <v>432</v>
      </c>
      <c r="AO54" s="160">
        <f>SUM(AO42,AO4:AO7)</f>
        <v>0.99999999999999989</v>
      </c>
      <c r="AP54" s="160"/>
      <c r="BR54" s="160" t="s">
        <v>432</v>
      </c>
      <c r="BS54" s="160">
        <f>SUM(BS42,BS4:BS7)</f>
        <v>0.99119290000000004</v>
      </c>
      <c r="BT54" s="160"/>
      <c r="CM54" s="81" t="s">
        <v>506</v>
      </c>
      <c r="CN54" s="81" t="s">
        <v>480</v>
      </c>
      <c r="CO54" s="204">
        <v>-3.69</v>
      </c>
      <c r="CP54" s="204">
        <v>1.17</v>
      </c>
      <c r="CQ54" s="81">
        <v>-3.14</v>
      </c>
      <c r="CR54" s="81">
        <v>1.6999999999999999E-3</v>
      </c>
      <c r="CS54" s="81" t="s">
        <v>516</v>
      </c>
      <c r="CU54" s="212" t="s">
        <v>506</v>
      </c>
      <c r="CV54" s="81" t="s">
        <v>491</v>
      </c>
      <c r="CW54" s="204">
        <v>-10</v>
      </c>
      <c r="CX54" s="204">
        <v>1.5799999999999999E-4</v>
      </c>
      <c r="CY54" s="81">
        <v>-63411</v>
      </c>
      <c r="CZ54" s="81" t="s">
        <v>505</v>
      </c>
      <c r="DA54" s="81" t="s">
        <v>510</v>
      </c>
      <c r="DE54" s="81" t="s">
        <v>389</v>
      </c>
      <c r="DF54" s="81" t="s">
        <v>390</v>
      </c>
      <c r="DG54" s="81" t="str">
        <f t="shared" si="13"/>
        <v>UfND</v>
      </c>
      <c r="DH54" s="81" t="s">
        <v>434</v>
      </c>
      <c r="DI54" s="204">
        <f t="shared" si="14"/>
        <v>351</v>
      </c>
      <c r="DJ54" s="81" t="s">
        <v>392</v>
      </c>
      <c r="DP54" s="290" t="s">
        <v>506</v>
      </c>
      <c r="DQ54" s="290" t="s">
        <v>491</v>
      </c>
      <c r="DR54" s="291">
        <v>-6.2</v>
      </c>
      <c r="DS54" s="291">
        <v>2.12E-2</v>
      </c>
      <c r="DT54" s="290">
        <v>-292.51</v>
      </c>
      <c r="DU54" s="290" t="s">
        <v>509</v>
      </c>
      <c r="DV54" s="291">
        <v>2E-16</v>
      </c>
      <c r="DW54" s="81" t="s">
        <v>510</v>
      </c>
      <c r="DX54" s="212" t="s">
        <v>568</v>
      </c>
      <c r="DY54" s="297" t="s">
        <v>600</v>
      </c>
      <c r="DZ54" s="292" t="s">
        <v>434</v>
      </c>
      <c r="EA54" s="293">
        <f t="shared" si="26"/>
        <v>3.2300000000000002E-10</v>
      </c>
      <c r="EB54" s="212" t="s">
        <v>392</v>
      </c>
    </row>
    <row r="55" spans="2:132" thickTop="1" thickBot="1" x14ac:dyDescent="0.35">
      <c r="AN55" s="160" t="s">
        <v>432</v>
      </c>
      <c r="AO55" s="160">
        <f>SUM(AO43,AO26:AO28)</f>
        <v>1</v>
      </c>
      <c r="AP55" s="160"/>
      <c r="BR55" s="160" t="s">
        <v>432</v>
      </c>
      <c r="BS55" s="160">
        <f>SUM(BS43,BS26:BS28)</f>
        <v>1.006</v>
      </c>
      <c r="BT55" s="160"/>
      <c r="CM55" s="81" t="s">
        <v>506</v>
      </c>
      <c r="CN55" s="81" t="s">
        <v>517</v>
      </c>
      <c r="CO55" s="204">
        <v>-0.99099999999999999</v>
      </c>
      <c r="CP55" s="204">
        <v>0.94399999999999995</v>
      </c>
      <c r="CQ55" s="81">
        <v>-1.05</v>
      </c>
      <c r="CR55" s="81">
        <v>0.29389999999999999</v>
      </c>
      <c r="CU55" s="212" t="s">
        <v>506</v>
      </c>
      <c r="CV55" s="81" t="s">
        <v>492</v>
      </c>
      <c r="CW55" s="204">
        <v>-10</v>
      </c>
      <c r="CX55" s="204">
        <v>1.5799999999999999E-4</v>
      </c>
      <c r="CY55" s="81">
        <v>-63411</v>
      </c>
      <c r="CZ55" s="81" t="s">
        <v>505</v>
      </c>
      <c r="DA55" s="81" t="s">
        <v>510</v>
      </c>
      <c r="DE55" s="81" t="s">
        <v>389</v>
      </c>
      <c r="DF55" s="81" t="s">
        <v>390</v>
      </c>
      <c r="DG55" s="81" t="str">
        <f t="shared" si="13"/>
        <v>UwD</v>
      </c>
      <c r="DH55" s="81" t="s">
        <v>434</v>
      </c>
      <c r="DI55" s="204">
        <f t="shared" si="14"/>
        <v>61.2</v>
      </c>
      <c r="DJ55" s="81" t="s">
        <v>392</v>
      </c>
      <c r="DP55" s="290" t="s">
        <v>506</v>
      </c>
      <c r="DQ55" s="290" t="s">
        <v>492</v>
      </c>
      <c r="DR55" s="291">
        <v>-6.76</v>
      </c>
      <c r="DS55" s="291">
        <v>2.76E-2</v>
      </c>
      <c r="DT55" s="290">
        <v>-244.72</v>
      </c>
      <c r="DU55" s="290" t="s">
        <v>509</v>
      </c>
      <c r="DV55" s="291">
        <v>2E-16</v>
      </c>
      <c r="DW55" s="81" t="s">
        <v>510</v>
      </c>
      <c r="DX55" s="212" t="s">
        <v>568</v>
      </c>
      <c r="DY55" s="297" t="s">
        <v>601</v>
      </c>
      <c r="DZ55" s="292" t="s">
        <v>434</v>
      </c>
      <c r="EA55" s="293">
        <f t="shared" si="26"/>
        <v>3.5200000000000002E-2</v>
      </c>
      <c r="EB55" s="212" t="s">
        <v>392</v>
      </c>
    </row>
    <row r="56" spans="2:132" thickTop="1" thickBot="1" x14ac:dyDescent="0.35">
      <c r="AN56" s="160" t="s">
        <v>433</v>
      </c>
      <c r="AO56" s="160">
        <f>SUM(AO46,AO14:AO17)</f>
        <v>0.99999999999999989</v>
      </c>
      <c r="AP56" s="160"/>
      <c r="BR56" s="160" t="s">
        <v>433</v>
      </c>
      <c r="BS56" s="160">
        <f>SUM(BS46,BS14:BS17)</f>
        <v>0.98349999999999993</v>
      </c>
      <c r="BT56" s="160"/>
      <c r="CM56" s="81" t="s">
        <v>506</v>
      </c>
      <c r="CN56" s="81" t="s">
        <v>518</v>
      </c>
      <c r="CO56" s="204">
        <v>5.6500000000000002E-2</v>
      </c>
      <c r="CP56" s="204">
        <v>4.6299999999999998E-4</v>
      </c>
      <c r="CQ56" s="81">
        <v>122.19</v>
      </c>
      <c r="CR56" s="81" t="s">
        <v>509</v>
      </c>
      <c r="CS56" s="204">
        <v>2E-16</v>
      </c>
      <c r="CT56" s="81" t="s">
        <v>510</v>
      </c>
      <c r="CU56" s="212" t="s">
        <v>506</v>
      </c>
      <c r="CV56" s="81" t="s">
        <v>530</v>
      </c>
      <c r="CW56" s="204">
        <v>-10</v>
      </c>
      <c r="CX56" s="204">
        <v>1.5799999999999999E-4</v>
      </c>
      <c r="CY56" s="81">
        <v>-63411</v>
      </c>
      <c r="CZ56" s="81" t="s">
        <v>505</v>
      </c>
      <c r="DA56" s="81" t="s">
        <v>510</v>
      </c>
      <c r="DE56" s="81" t="s">
        <v>389</v>
      </c>
      <c r="DF56" s="81" t="s">
        <v>390</v>
      </c>
      <c r="DG56" s="81" t="str">
        <f t="shared" si="13"/>
        <v>UwN</v>
      </c>
      <c r="DH56" s="81" t="s">
        <v>434</v>
      </c>
      <c r="DI56" s="204">
        <f t="shared" si="14"/>
        <v>50</v>
      </c>
      <c r="DJ56" s="81" t="s">
        <v>392</v>
      </c>
      <c r="DP56" s="290" t="s">
        <v>506</v>
      </c>
      <c r="DQ56" s="290" t="s">
        <v>493</v>
      </c>
      <c r="DR56" s="291">
        <v>6.4900000000000001E-3</v>
      </c>
      <c r="DS56" s="291">
        <v>1.08E-4</v>
      </c>
      <c r="DT56" s="290">
        <v>60.17</v>
      </c>
      <c r="DU56" s="290" t="s">
        <v>509</v>
      </c>
      <c r="DV56" s="291">
        <v>2E-16</v>
      </c>
      <c r="DW56" s="81" t="s">
        <v>510</v>
      </c>
      <c r="DX56" s="212" t="s">
        <v>568</v>
      </c>
      <c r="DY56" s="297" t="s">
        <v>602</v>
      </c>
      <c r="DZ56" s="292" t="s">
        <v>434</v>
      </c>
      <c r="EA56" s="293">
        <f t="shared" si="26"/>
        <v>0.627</v>
      </c>
      <c r="EB56" s="212" t="s">
        <v>392</v>
      </c>
    </row>
    <row r="57" spans="2:132" thickTop="1" thickBot="1" x14ac:dyDescent="0.35">
      <c r="AN57" s="160" t="s">
        <v>433</v>
      </c>
      <c r="AO57" s="160">
        <f>SUM(AO47,AO33:AO35)</f>
        <v>1</v>
      </c>
      <c r="AP57" s="160"/>
      <c r="BR57" s="160" t="s">
        <v>433</v>
      </c>
      <c r="BS57" s="160">
        <f>SUM(BS47,BS33:BS35)</f>
        <v>0.98880000000000012</v>
      </c>
      <c r="BT57" s="160"/>
      <c r="CM57" s="81" t="s">
        <v>506</v>
      </c>
      <c r="CN57" s="81" t="s">
        <v>519</v>
      </c>
      <c r="CO57" s="204">
        <v>1.15E-3</v>
      </c>
      <c r="CP57" s="204">
        <v>8.8200000000000003E-5</v>
      </c>
      <c r="CQ57" s="81">
        <v>13.04</v>
      </c>
      <c r="CR57" s="81" t="s">
        <v>509</v>
      </c>
      <c r="CS57" s="204">
        <v>2E-16</v>
      </c>
      <c r="CT57" s="81" t="s">
        <v>510</v>
      </c>
      <c r="CU57" s="212" t="s">
        <v>506</v>
      </c>
      <c r="CV57" s="81" t="s">
        <v>531</v>
      </c>
      <c r="CW57" s="204">
        <v>-10</v>
      </c>
      <c r="CX57" s="204">
        <v>1.5799999999999999E-4</v>
      </c>
      <c r="CY57" s="81">
        <v>-63411</v>
      </c>
      <c r="CZ57" s="81" t="s">
        <v>505</v>
      </c>
      <c r="DA57" s="81" t="s">
        <v>510</v>
      </c>
      <c r="DI57" s="204"/>
      <c r="DP57" s="290" t="s">
        <v>506</v>
      </c>
      <c r="DQ57" s="290" t="s">
        <v>494</v>
      </c>
      <c r="DR57" s="291">
        <v>148</v>
      </c>
      <c r="DS57" s="291">
        <v>1.17</v>
      </c>
      <c r="DT57" s="290">
        <v>126.65</v>
      </c>
      <c r="DU57" s="290" t="s">
        <v>509</v>
      </c>
      <c r="DV57" s="291">
        <v>2E-16</v>
      </c>
      <c r="DW57" s="81" t="s">
        <v>510</v>
      </c>
      <c r="DX57" s="212" t="s">
        <v>568</v>
      </c>
      <c r="DY57" s="297" t="s">
        <v>603</v>
      </c>
      <c r="DZ57" s="292" t="s">
        <v>434</v>
      </c>
      <c r="EA57" s="293">
        <f t="shared" si="26"/>
        <v>1.17</v>
      </c>
      <c r="EB57" s="212" t="s">
        <v>392</v>
      </c>
    </row>
    <row r="58" spans="2:132" thickTop="1" thickBot="1" x14ac:dyDescent="0.35">
      <c r="CM58" s="81" t="s">
        <v>506</v>
      </c>
      <c r="CN58" s="81" t="s">
        <v>492</v>
      </c>
      <c r="CO58" s="204">
        <v>-2.19</v>
      </c>
      <c r="CP58" s="204">
        <v>2.1600000000000001E-2</v>
      </c>
      <c r="CQ58" s="81">
        <v>-101.52</v>
      </c>
      <c r="CR58" s="81" t="s">
        <v>509</v>
      </c>
      <c r="CS58" s="204">
        <v>2E-16</v>
      </c>
      <c r="CT58" s="81" t="s">
        <v>510</v>
      </c>
      <c r="CU58" s="212" t="s">
        <v>506</v>
      </c>
      <c r="CV58" s="81" t="s">
        <v>532</v>
      </c>
      <c r="CW58" s="204">
        <v>-10</v>
      </c>
      <c r="CX58" s="204">
        <v>1.5799999999999999E-4</v>
      </c>
      <c r="CY58" s="81">
        <v>-63411</v>
      </c>
      <c r="CZ58" s="81" t="s">
        <v>505</v>
      </c>
      <c r="DA58" s="81" t="s">
        <v>510</v>
      </c>
      <c r="DI58" s="204"/>
      <c r="DP58" s="290" t="s">
        <v>506</v>
      </c>
      <c r="DQ58" s="290" t="s">
        <v>495</v>
      </c>
      <c r="DR58" s="291">
        <v>5220</v>
      </c>
      <c r="DS58" s="291">
        <v>692</v>
      </c>
      <c r="DT58" s="290">
        <v>7.54</v>
      </c>
      <c r="DU58" s="291">
        <v>5.3000000000000001E-14</v>
      </c>
      <c r="DV58" s="290" t="s">
        <v>510</v>
      </c>
      <c r="DX58" s="212" t="s">
        <v>568</v>
      </c>
      <c r="DY58" s="297" t="s">
        <v>604</v>
      </c>
      <c r="DZ58" s="292" t="s">
        <v>434</v>
      </c>
      <c r="EA58" s="293">
        <f t="shared" si="26"/>
        <v>0.49199999999999999</v>
      </c>
      <c r="EB58" s="212" t="s">
        <v>392</v>
      </c>
    </row>
    <row r="59" spans="2:132" thickTop="1" thickBot="1" x14ac:dyDescent="0.35">
      <c r="CM59" s="81" t="s">
        <v>506</v>
      </c>
      <c r="CN59" s="81" t="s">
        <v>520</v>
      </c>
      <c r="CO59" s="204">
        <v>-5.72</v>
      </c>
      <c r="CP59" s="204">
        <v>2.24E-2</v>
      </c>
      <c r="CQ59" s="81">
        <v>-255.17</v>
      </c>
      <c r="CR59" s="81" t="s">
        <v>509</v>
      </c>
      <c r="CS59" s="204">
        <v>2E-16</v>
      </c>
      <c r="CT59" s="81" t="s">
        <v>510</v>
      </c>
      <c r="CU59" s="212" t="s">
        <v>506</v>
      </c>
      <c r="CV59" s="81" t="s">
        <v>429</v>
      </c>
      <c r="CW59" s="204">
        <v>532</v>
      </c>
      <c r="CX59" s="204">
        <v>8.1700000000000002E-3</v>
      </c>
      <c r="CY59" s="81">
        <v>65144</v>
      </c>
      <c r="CZ59" s="81" t="s">
        <v>505</v>
      </c>
      <c r="DA59" s="81" t="s">
        <v>510</v>
      </c>
      <c r="DI59" s="204"/>
      <c r="DP59" s="290" t="s">
        <v>506</v>
      </c>
      <c r="DQ59" s="290" t="s">
        <v>496</v>
      </c>
      <c r="DR59" s="291">
        <v>58.9</v>
      </c>
      <c r="DS59" s="291">
        <v>1.25</v>
      </c>
      <c r="DT59" s="290">
        <v>47.14</v>
      </c>
      <c r="DU59" s="290" t="s">
        <v>509</v>
      </c>
      <c r="DV59" s="291">
        <v>2E-16</v>
      </c>
      <c r="DW59" s="81" t="s">
        <v>510</v>
      </c>
      <c r="DX59" s="212" t="s">
        <v>568</v>
      </c>
      <c r="DY59" s="297" t="s">
        <v>605</v>
      </c>
      <c r="DZ59" s="292" t="s">
        <v>434</v>
      </c>
      <c r="EA59" s="293">
        <f t="shared" si="26"/>
        <v>0.26500000000000001</v>
      </c>
      <c r="EB59" s="212" t="s">
        <v>392</v>
      </c>
    </row>
    <row r="60" spans="2:132" thickTop="1" thickBot="1" x14ac:dyDescent="0.35">
      <c r="CM60" s="81" t="s">
        <v>506</v>
      </c>
      <c r="CN60" s="81" t="s">
        <v>429</v>
      </c>
      <c r="CO60" s="204">
        <v>138</v>
      </c>
      <c r="CP60" s="204">
        <v>1.2</v>
      </c>
      <c r="CQ60" s="81">
        <v>115.34</v>
      </c>
      <c r="CR60" s="81" t="s">
        <v>509</v>
      </c>
      <c r="CS60" s="204">
        <v>2E-16</v>
      </c>
      <c r="CT60" s="81" t="s">
        <v>510</v>
      </c>
      <c r="CU60" s="212" t="s">
        <v>506</v>
      </c>
      <c r="CV60" s="81" t="s">
        <v>430</v>
      </c>
      <c r="CW60" s="204">
        <v>1</v>
      </c>
      <c r="CX60" s="204">
        <v>1.5800000000000001E-5</v>
      </c>
      <c r="CY60" s="81">
        <v>63424</v>
      </c>
      <c r="CZ60" s="81" t="s">
        <v>505</v>
      </c>
      <c r="DA60" s="81" t="s">
        <v>510</v>
      </c>
      <c r="DI60" s="204"/>
      <c r="DY60" s="297"/>
      <c r="DZ60" s="292"/>
      <c r="EA60" s="293"/>
    </row>
    <row r="61" spans="2:132" thickTop="1" thickBot="1" x14ac:dyDescent="0.35">
      <c r="CM61" s="81" t="s">
        <v>506</v>
      </c>
      <c r="CN61" s="81" t="s">
        <v>430</v>
      </c>
      <c r="CO61" s="204">
        <v>7610</v>
      </c>
      <c r="CP61" s="204">
        <v>117</v>
      </c>
      <c r="CQ61" s="81">
        <v>64.83</v>
      </c>
      <c r="CR61" s="81" t="s">
        <v>509</v>
      </c>
      <c r="CS61" s="204">
        <v>2E-16</v>
      </c>
      <c r="CT61" s="81" t="s">
        <v>510</v>
      </c>
      <c r="CU61" s="212" t="s">
        <v>506</v>
      </c>
      <c r="CV61" s="81" t="s">
        <v>431</v>
      </c>
      <c r="CW61" s="204">
        <v>351</v>
      </c>
      <c r="CX61" s="204">
        <v>5.3400000000000001E-3</v>
      </c>
      <c r="CY61" s="81">
        <v>65718</v>
      </c>
      <c r="CZ61" s="81" t="s">
        <v>505</v>
      </c>
      <c r="DA61" s="81" t="s">
        <v>510</v>
      </c>
      <c r="DI61" s="204"/>
      <c r="DX61" s="212" t="s">
        <v>568</v>
      </c>
      <c r="DY61" s="297" t="s">
        <v>413</v>
      </c>
      <c r="DZ61" s="292" t="s">
        <v>434</v>
      </c>
      <c r="EA61" s="293">
        <f>DR86</f>
        <v>1190000</v>
      </c>
      <c r="EB61" s="212" t="s">
        <v>392</v>
      </c>
    </row>
    <row r="62" spans="2:132" thickTop="1" thickBot="1" x14ac:dyDescent="0.35">
      <c r="CM62" s="81" t="s">
        <v>506</v>
      </c>
      <c r="CN62" s="81" t="s">
        <v>431</v>
      </c>
      <c r="CO62" s="204">
        <v>371</v>
      </c>
      <c r="CP62" s="204">
        <v>5.67</v>
      </c>
      <c r="CQ62" s="81">
        <v>65.489999999999995</v>
      </c>
      <c r="CR62" s="81" t="s">
        <v>509</v>
      </c>
      <c r="CS62" s="204">
        <v>2E-16</v>
      </c>
      <c r="CT62" s="81" t="s">
        <v>510</v>
      </c>
      <c r="CU62" s="212" t="s">
        <v>506</v>
      </c>
      <c r="CV62" s="81" t="s">
        <v>408</v>
      </c>
      <c r="CW62" s="204">
        <v>61.2</v>
      </c>
      <c r="CX62" s="204">
        <v>2.7300000000000002E-4</v>
      </c>
      <c r="CY62" s="81">
        <v>224462</v>
      </c>
      <c r="CZ62" s="81" t="s">
        <v>505</v>
      </c>
      <c r="DA62" s="81" t="s">
        <v>510</v>
      </c>
      <c r="DI62" s="204"/>
      <c r="DP62" s="290" t="s">
        <v>506</v>
      </c>
      <c r="DQ62" s="290" t="s">
        <v>497</v>
      </c>
      <c r="DR62" s="290" t="s">
        <v>558</v>
      </c>
      <c r="DX62" s="212" t="s">
        <v>568</v>
      </c>
      <c r="DY62" s="297" t="s">
        <v>414</v>
      </c>
      <c r="DZ62" s="292" t="s">
        <v>434</v>
      </c>
      <c r="EA62" s="293">
        <f t="shared" ref="EA62:EA63" si="27">DR87</f>
        <v>6550000</v>
      </c>
      <c r="EB62" s="212" t="s">
        <v>392</v>
      </c>
    </row>
    <row r="63" spans="2:132" thickTop="1" thickBot="1" x14ac:dyDescent="0.35">
      <c r="CU63" s="212" t="s">
        <v>506</v>
      </c>
      <c r="CV63" s="81" t="s">
        <v>422</v>
      </c>
      <c r="CW63" s="204">
        <v>50</v>
      </c>
      <c r="CX63" s="204">
        <v>2.2499999999999999E-4</v>
      </c>
      <c r="CY63" s="81">
        <v>221939</v>
      </c>
      <c r="CZ63" s="81" t="s">
        <v>505</v>
      </c>
      <c r="DA63" s="81" t="s">
        <v>510</v>
      </c>
      <c r="DP63" s="290" t="s">
        <v>506</v>
      </c>
      <c r="DQ63" s="290" t="s">
        <v>499</v>
      </c>
      <c r="DX63" s="212" t="s">
        <v>568</v>
      </c>
      <c r="DY63" s="297" t="s">
        <v>415</v>
      </c>
      <c r="DZ63" s="292" t="s">
        <v>434</v>
      </c>
      <c r="EA63" s="293">
        <f t="shared" si="27"/>
        <v>10100000</v>
      </c>
      <c r="EB63" s="212" t="s">
        <v>392</v>
      </c>
    </row>
    <row r="64" spans="2:132" thickTop="1" thickBot="1" x14ac:dyDescent="0.35">
      <c r="DP64" s="290" t="s">
        <v>506</v>
      </c>
      <c r="DQ64" s="290" t="s">
        <v>500</v>
      </c>
      <c r="DR64" s="290" t="s">
        <v>501</v>
      </c>
      <c r="DS64" s="290" t="s">
        <v>502</v>
      </c>
      <c r="DT64" s="290" t="s">
        <v>503</v>
      </c>
      <c r="DU64" s="290" t="s">
        <v>504</v>
      </c>
      <c r="DV64" s="290" t="s">
        <v>508</v>
      </c>
      <c r="DZ64" s="292"/>
    </row>
    <row r="65" spans="120:132" thickTop="1" thickBot="1" x14ac:dyDescent="0.35">
      <c r="DP65" s="290" t="s">
        <v>506</v>
      </c>
      <c r="DQ65" s="290" t="s">
        <v>465</v>
      </c>
      <c r="DR65" s="291">
        <v>290</v>
      </c>
      <c r="DS65" s="291">
        <v>0.22</v>
      </c>
      <c r="DT65" s="290">
        <v>1317.99</v>
      </c>
      <c r="DU65" s="290" t="s">
        <v>509</v>
      </c>
      <c r="DV65" s="291">
        <v>2E-16</v>
      </c>
      <c r="DW65" s="81" t="s">
        <v>510</v>
      </c>
      <c r="DX65" s="212" t="s">
        <v>568</v>
      </c>
      <c r="DY65" s="297" t="s">
        <v>416</v>
      </c>
      <c r="DZ65" s="292" t="s">
        <v>434</v>
      </c>
      <c r="EA65" s="293">
        <f>DR93</f>
        <v>0.19600000000000001</v>
      </c>
      <c r="EB65" s="212" t="s">
        <v>392</v>
      </c>
    </row>
    <row r="66" spans="120:132" thickTop="1" thickBot="1" x14ac:dyDescent="0.35">
      <c r="DP66" s="290" t="s">
        <v>506</v>
      </c>
      <c r="DQ66" s="290" t="s">
        <v>466</v>
      </c>
      <c r="DR66" s="291">
        <v>285</v>
      </c>
      <c r="DS66" s="291">
        <v>0.32900000000000001</v>
      </c>
      <c r="DT66" s="290">
        <v>866.96</v>
      </c>
      <c r="DU66" s="290" t="s">
        <v>509</v>
      </c>
      <c r="DV66" s="291">
        <v>2E-16</v>
      </c>
      <c r="DW66" s="81" t="s">
        <v>510</v>
      </c>
      <c r="DX66" s="212" t="s">
        <v>568</v>
      </c>
      <c r="DY66" s="297" t="s">
        <v>417</v>
      </c>
      <c r="DZ66" s="292" t="s">
        <v>434</v>
      </c>
      <c r="EA66" s="293">
        <f t="shared" ref="EA66:EA68" si="28">DR94</f>
        <v>4.8800000000000003E-2</v>
      </c>
      <c r="EB66" s="212" t="s">
        <v>392</v>
      </c>
    </row>
    <row r="67" spans="120:132" thickTop="1" thickBot="1" x14ac:dyDescent="0.35">
      <c r="DP67" s="290" t="s">
        <v>506</v>
      </c>
      <c r="DQ67" s="290" t="s">
        <v>467</v>
      </c>
      <c r="DR67" s="291">
        <v>291</v>
      </c>
      <c r="DS67" s="291">
        <v>0.11799999999999999</v>
      </c>
      <c r="DT67" s="290">
        <v>2468.87</v>
      </c>
      <c r="DU67" s="290" t="s">
        <v>509</v>
      </c>
      <c r="DV67" s="291">
        <v>2E-16</v>
      </c>
      <c r="DW67" s="81" t="s">
        <v>510</v>
      </c>
      <c r="DX67" s="212" t="s">
        <v>568</v>
      </c>
      <c r="DY67" s="297" t="s">
        <v>418</v>
      </c>
      <c r="DZ67" s="292" t="s">
        <v>434</v>
      </c>
      <c r="EA67" s="293">
        <f t="shared" si="28"/>
        <v>0.61299999999999999</v>
      </c>
      <c r="EB67" s="212" t="s">
        <v>392</v>
      </c>
    </row>
    <row r="68" spans="120:132" thickTop="1" thickBot="1" x14ac:dyDescent="0.35">
      <c r="DP68" s="290" t="s">
        <v>506</v>
      </c>
      <c r="DQ68" s="290" t="s">
        <v>468</v>
      </c>
      <c r="DR68" s="291">
        <v>293</v>
      </c>
      <c r="DS68" s="291">
        <v>0.17</v>
      </c>
      <c r="DT68" s="290">
        <v>1728.99</v>
      </c>
      <c r="DU68" s="290" t="s">
        <v>509</v>
      </c>
      <c r="DV68" s="291">
        <v>2E-16</v>
      </c>
      <c r="DW68" s="81" t="s">
        <v>510</v>
      </c>
      <c r="DX68" s="212" t="s">
        <v>568</v>
      </c>
      <c r="DY68" s="297" t="s">
        <v>519</v>
      </c>
      <c r="DZ68" s="292" t="s">
        <v>434</v>
      </c>
      <c r="EA68" s="293">
        <f t="shared" si="28"/>
        <v>9.3799999999999994E-2</v>
      </c>
      <c r="EB68" s="212" t="s">
        <v>392</v>
      </c>
    </row>
    <row r="69" spans="120:132" thickTop="1" thickBot="1" x14ac:dyDescent="0.35">
      <c r="DP69" s="290" t="s">
        <v>506</v>
      </c>
      <c r="DQ69" s="290" t="s">
        <v>541</v>
      </c>
      <c r="DR69" s="291">
        <v>0.33600000000000002</v>
      </c>
      <c r="DS69" s="291">
        <v>5.7599999999999998E-2</v>
      </c>
      <c r="DT69" s="290">
        <v>5.83</v>
      </c>
      <c r="DU69" s="291">
        <v>5.7999999999999998E-9</v>
      </c>
      <c r="DV69" s="290" t="s">
        <v>510</v>
      </c>
      <c r="DZ69" s="292"/>
    </row>
    <row r="70" spans="120:132" thickTop="1" thickBot="1" x14ac:dyDescent="0.35">
      <c r="DP70" s="290" t="s">
        <v>506</v>
      </c>
      <c r="DQ70" s="290" t="s">
        <v>410</v>
      </c>
      <c r="DR70" s="291">
        <v>1.17E-14</v>
      </c>
      <c r="DS70" s="291">
        <v>6.34E-12</v>
      </c>
      <c r="DT70" s="290">
        <v>0</v>
      </c>
      <c r="DU70" s="290">
        <v>1</v>
      </c>
      <c r="DX70" s="212" t="s">
        <v>568</v>
      </c>
      <c r="DY70" s="297" t="s">
        <v>606</v>
      </c>
      <c r="DZ70" s="292" t="s">
        <v>434</v>
      </c>
      <c r="EA70" s="293">
        <f>DR97</f>
        <v>199</v>
      </c>
      <c r="EB70" s="212" t="s">
        <v>392</v>
      </c>
    </row>
    <row r="71" spans="120:132" thickTop="1" thickBot="1" x14ac:dyDescent="0.35">
      <c r="DP71" s="290" t="s">
        <v>506</v>
      </c>
      <c r="DQ71" s="290" t="s">
        <v>542</v>
      </c>
      <c r="DR71" s="291">
        <v>0.79200000000000004</v>
      </c>
      <c r="DS71" s="291">
        <v>3.32E-2</v>
      </c>
      <c r="DT71" s="290">
        <v>23.82</v>
      </c>
      <c r="DU71" s="290" t="s">
        <v>509</v>
      </c>
      <c r="DV71" s="291">
        <v>2E-16</v>
      </c>
      <c r="DW71" s="81" t="s">
        <v>510</v>
      </c>
      <c r="DX71" s="212" t="s">
        <v>568</v>
      </c>
      <c r="DY71" s="297" t="s">
        <v>420</v>
      </c>
      <c r="DZ71" s="292" t="s">
        <v>434</v>
      </c>
      <c r="EA71" s="293">
        <f t="shared" ref="EA71:EA72" si="29">DR98</f>
        <v>86.6</v>
      </c>
      <c r="EB71" s="212" t="s">
        <v>392</v>
      </c>
    </row>
    <row r="72" spans="120:132" thickTop="1" thickBot="1" x14ac:dyDescent="0.35">
      <c r="DP72" s="290" t="s">
        <v>506</v>
      </c>
      <c r="DQ72" s="290" t="s">
        <v>543</v>
      </c>
      <c r="DR72" s="291">
        <v>0.66100000000000003</v>
      </c>
      <c r="DS72" s="291">
        <v>5.67E-2</v>
      </c>
      <c r="DT72" s="290">
        <v>11.64</v>
      </c>
      <c r="DU72" s="290" t="s">
        <v>509</v>
      </c>
      <c r="DV72" s="291">
        <v>2E-16</v>
      </c>
      <c r="DW72" s="81" t="s">
        <v>510</v>
      </c>
      <c r="DX72" s="212" t="s">
        <v>568</v>
      </c>
      <c r="DY72" s="297" t="s">
        <v>421</v>
      </c>
      <c r="DZ72" s="292" t="s">
        <v>434</v>
      </c>
      <c r="EA72" s="293">
        <f t="shared" si="29"/>
        <v>66.8</v>
      </c>
      <c r="EB72" s="212" t="s">
        <v>392</v>
      </c>
    </row>
    <row r="73" spans="120:132" thickTop="1" thickBot="1" x14ac:dyDescent="0.35">
      <c r="DP73" s="290" t="s">
        <v>506</v>
      </c>
      <c r="DQ73" s="290" t="s">
        <v>544</v>
      </c>
      <c r="DR73" s="291">
        <v>0.25700000000000001</v>
      </c>
      <c r="DS73" s="291">
        <v>1.1299999999999999E-2</v>
      </c>
      <c r="DT73" s="290">
        <v>22.71</v>
      </c>
      <c r="DU73" s="290" t="s">
        <v>509</v>
      </c>
      <c r="DV73" s="291">
        <v>2E-16</v>
      </c>
      <c r="DW73" s="81" t="s">
        <v>510</v>
      </c>
      <c r="DX73" s="212" t="s">
        <v>568</v>
      </c>
      <c r="DY73" s="297" t="s">
        <v>422</v>
      </c>
      <c r="DZ73" s="292" t="s">
        <v>434</v>
      </c>
      <c r="EA73" s="293">
        <f>1/DR104</f>
        <v>273.97260273972603</v>
      </c>
      <c r="EB73" s="212" t="s">
        <v>392</v>
      </c>
    </row>
    <row r="74" spans="120:132" thickTop="1" thickBot="1" x14ac:dyDescent="0.35">
      <c r="DP74" s="290" t="s">
        <v>506</v>
      </c>
      <c r="DQ74" s="290" t="s">
        <v>411</v>
      </c>
      <c r="DR74" s="291">
        <v>0.27100000000000002</v>
      </c>
      <c r="DS74" s="291">
        <v>3.7699999999999997E-2</v>
      </c>
      <c r="DT74" s="290">
        <v>7.18</v>
      </c>
      <c r="DU74" s="291">
        <v>7.6999999999999995E-13</v>
      </c>
      <c r="DV74" s="290" t="s">
        <v>510</v>
      </c>
      <c r="DZ74" s="292"/>
    </row>
    <row r="75" spans="120:132" thickTop="1" thickBot="1" x14ac:dyDescent="0.35">
      <c r="DP75" s="290" t="s">
        <v>506</v>
      </c>
      <c r="DQ75" s="290" t="s">
        <v>545</v>
      </c>
      <c r="DR75" s="291">
        <v>0.22900000000000001</v>
      </c>
      <c r="DS75" s="291">
        <v>6.6100000000000004E-3</v>
      </c>
      <c r="DT75" s="290">
        <v>34.57</v>
      </c>
      <c r="DU75" s="290" t="s">
        <v>509</v>
      </c>
      <c r="DV75" s="291">
        <v>2E-16</v>
      </c>
      <c r="DW75" s="81" t="s">
        <v>510</v>
      </c>
      <c r="DX75" s="212" t="s">
        <v>568</v>
      </c>
      <c r="DY75" s="297" t="s">
        <v>515</v>
      </c>
      <c r="DZ75" s="292" t="s">
        <v>434</v>
      </c>
      <c r="EA75" s="293">
        <f>DR115</f>
        <v>120000000</v>
      </c>
      <c r="EB75" s="212" t="s">
        <v>392</v>
      </c>
    </row>
    <row r="76" spans="120:132" thickTop="1" thickBot="1" x14ac:dyDescent="0.35">
      <c r="DP76" s="290" t="s">
        <v>506</v>
      </c>
      <c r="DQ76" s="290" t="s">
        <v>546</v>
      </c>
      <c r="DR76" s="291">
        <v>0.13400000000000001</v>
      </c>
      <c r="DS76" s="291">
        <v>1.1299999999999999E-2</v>
      </c>
      <c r="DT76" s="290">
        <v>11.84</v>
      </c>
      <c r="DU76" s="290" t="s">
        <v>509</v>
      </c>
      <c r="DV76" s="291">
        <v>2E-16</v>
      </c>
      <c r="DW76" s="81" t="s">
        <v>510</v>
      </c>
      <c r="DX76" s="212" t="s">
        <v>568</v>
      </c>
      <c r="DY76" s="297" t="s">
        <v>426</v>
      </c>
      <c r="DZ76" s="292" t="s">
        <v>434</v>
      </c>
      <c r="EA76" s="293">
        <f>DR116</f>
        <v>630000</v>
      </c>
      <c r="EB76" s="212" t="s">
        <v>392</v>
      </c>
    </row>
    <row r="77" spans="120:132" thickTop="1" thickBot="1" x14ac:dyDescent="0.35">
      <c r="DP77" s="290" t="s">
        <v>506</v>
      </c>
      <c r="DQ77" s="290" t="s">
        <v>547</v>
      </c>
      <c r="DR77" s="291">
        <v>0.111</v>
      </c>
      <c r="DS77" s="291">
        <v>0.11700000000000001</v>
      </c>
      <c r="DT77" s="290">
        <v>0.94</v>
      </c>
      <c r="DU77" s="290">
        <v>0.35</v>
      </c>
      <c r="DX77" s="212" t="s">
        <v>568</v>
      </c>
      <c r="DY77" s="297" t="s">
        <v>429</v>
      </c>
      <c r="DZ77" s="292" t="s">
        <v>434</v>
      </c>
      <c r="EA77" s="293">
        <f>DR123</f>
        <v>138</v>
      </c>
      <c r="EB77" s="212" t="s">
        <v>392</v>
      </c>
    </row>
    <row r="78" spans="120:132" thickTop="1" thickBot="1" x14ac:dyDescent="0.35">
      <c r="DP78" s="290" t="s">
        <v>506</v>
      </c>
      <c r="DQ78" s="290" t="s">
        <v>412</v>
      </c>
      <c r="DR78" s="291">
        <v>2.6099999999999999E-11</v>
      </c>
      <c r="DS78" s="291">
        <v>1.31E-8</v>
      </c>
      <c r="DT78" s="290">
        <v>0</v>
      </c>
      <c r="DU78" s="290">
        <v>1</v>
      </c>
      <c r="DX78" s="212" t="s">
        <v>568</v>
      </c>
      <c r="DY78" s="297" t="s">
        <v>430</v>
      </c>
      <c r="DZ78" s="292" t="s">
        <v>434</v>
      </c>
      <c r="EA78" s="293">
        <f t="shared" ref="EA78:EA79" si="30">DR124</f>
        <v>7610</v>
      </c>
      <c r="EB78" s="212" t="s">
        <v>392</v>
      </c>
    </row>
    <row r="79" spans="120:132" thickTop="1" thickBot="1" x14ac:dyDescent="0.35">
      <c r="DP79" s="290" t="s">
        <v>506</v>
      </c>
      <c r="DQ79" s="290" t="s">
        <v>548</v>
      </c>
      <c r="DR79" s="291">
        <v>3.2300000000000002E-10</v>
      </c>
      <c r="DS79" s="291">
        <v>1.36E-7</v>
      </c>
      <c r="DT79" s="290">
        <v>0</v>
      </c>
      <c r="DU79" s="290">
        <v>1</v>
      </c>
      <c r="DX79" s="212" t="s">
        <v>568</v>
      </c>
      <c r="DY79" s="297" t="s">
        <v>431</v>
      </c>
      <c r="DZ79" s="292" t="s">
        <v>434</v>
      </c>
      <c r="EA79" s="293">
        <f t="shared" si="30"/>
        <v>371</v>
      </c>
      <c r="EB79" s="212" t="s">
        <v>392</v>
      </c>
    </row>
    <row r="80" spans="120:132" thickTop="1" thickBot="1" x14ac:dyDescent="0.35">
      <c r="DP80" s="290" t="s">
        <v>506</v>
      </c>
      <c r="DQ80" s="290" t="s">
        <v>549</v>
      </c>
      <c r="DR80" s="291">
        <v>3.5200000000000002E-2</v>
      </c>
      <c r="DS80" s="291">
        <v>0.123</v>
      </c>
      <c r="DT80" s="290">
        <v>0.28999999999999998</v>
      </c>
      <c r="DU80" s="290">
        <v>0.78</v>
      </c>
    </row>
    <row r="81" spans="120:127" thickTop="1" thickBot="1" x14ac:dyDescent="0.35">
      <c r="DP81" s="290" t="s">
        <v>506</v>
      </c>
      <c r="DQ81" s="290" t="s">
        <v>550</v>
      </c>
      <c r="DR81" s="291">
        <v>0.627</v>
      </c>
      <c r="DS81" s="291">
        <v>3.4200000000000001E-2</v>
      </c>
      <c r="DT81" s="290">
        <v>18.37</v>
      </c>
      <c r="DU81" s="290" t="s">
        <v>509</v>
      </c>
      <c r="DV81" s="291">
        <v>2E-16</v>
      </c>
      <c r="DW81" s="81" t="s">
        <v>510</v>
      </c>
    </row>
    <row r="82" spans="120:127" thickTop="1" thickBot="1" x14ac:dyDescent="0.35">
      <c r="DP82" s="290" t="s">
        <v>506</v>
      </c>
      <c r="DQ82" s="290" t="s">
        <v>551</v>
      </c>
      <c r="DR82" s="291">
        <v>1.17</v>
      </c>
      <c r="DS82" s="291">
        <v>0.113</v>
      </c>
      <c r="DT82" s="290">
        <v>10.35</v>
      </c>
      <c r="DU82" s="290" t="s">
        <v>509</v>
      </c>
      <c r="DV82" s="291">
        <v>2E-16</v>
      </c>
      <c r="DW82" s="81" t="s">
        <v>510</v>
      </c>
    </row>
    <row r="83" spans="120:127" thickTop="1" thickBot="1" x14ac:dyDescent="0.35">
      <c r="DP83" s="290" t="s">
        <v>506</v>
      </c>
      <c r="DQ83" s="290" t="s">
        <v>552</v>
      </c>
      <c r="DR83" s="291">
        <v>0.49199999999999999</v>
      </c>
      <c r="DS83" s="291">
        <v>1.9599999999999999E-2</v>
      </c>
      <c r="DT83" s="290">
        <v>25.16</v>
      </c>
      <c r="DU83" s="290" t="s">
        <v>509</v>
      </c>
      <c r="DV83" s="291">
        <v>2E-16</v>
      </c>
      <c r="DW83" s="81" t="s">
        <v>510</v>
      </c>
    </row>
    <row r="84" spans="120:127" thickTop="1" thickBot="1" x14ac:dyDescent="0.35">
      <c r="DP84" s="290" t="s">
        <v>506</v>
      </c>
      <c r="DQ84" s="290" t="s">
        <v>553</v>
      </c>
      <c r="DR84" s="291">
        <v>0.26500000000000001</v>
      </c>
      <c r="DS84" s="291">
        <v>3.3099999999999997E-2</v>
      </c>
      <c r="DT84" s="290">
        <v>8.01</v>
      </c>
      <c r="DU84" s="291">
        <v>1.6E-15</v>
      </c>
      <c r="DV84" s="290" t="s">
        <v>510</v>
      </c>
    </row>
    <row r="85" spans="120:127" thickTop="1" thickBot="1" x14ac:dyDescent="0.35">
      <c r="DP85" s="290" t="s">
        <v>506</v>
      </c>
      <c r="DQ85" s="290" t="s">
        <v>298</v>
      </c>
      <c r="DR85" s="291">
        <v>992000000</v>
      </c>
      <c r="DS85" s="291">
        <v>45100000</v>
      </c>
      <c r="DT85" s="290">
        <v>22.02</v>
      </c>
      <c r="DU85" s="290" t="s">
        <v>509</v>
      </c>
      <c r="DV85" s="291">
        <v>2E-16</v>
      </c>
      <c r="DW85" s="81" t="s">
        <v>510</v>
      </c>
    </row>
    <row r="86" spans="120:127" thickTop="1" thickBot="1" x14ac:dyDescent="0.35">
      <c r="DP86" s="290" t="s">
        <v>506</v>
      </c>
      <c r="DQ86" s="290" t="s">
        <v>475</v>
      </c>
      <c r="DR86" s="291">
        <v>1190000</v>
      </c>
      <c r="DS86" s="291">
        <v>32000</v>
      </c>
      <c r="DT86" s="290">
        <v>37.159999999999997</v>
      </c>
      <c r="DU86" s="290" t="s">
        <v>509</v>
      </c>
      <c r="DV86" s="291">
        <v>2E-16</v>
      </c>
      <c r="DW86" s="81" t="s">
        <v>510</v>
      </c>
    </row>
    <row r="87" spans="120:127" thickTop="1" thickBot="1" x14ac:dyDescent="0.35">
      <c r="DP87" s="290" t="s">
        <v>506</v>
      </c>
      <c r="DQ87" s="290" t="s">
        <v>291</v>
      </c>
      <c r="DR87" s="291">
        <v>6550000</v>
      </c>
      <c r="DS87" s="291">
        <v>603000</v>
      </c>
      <c r="DT87" s="290">
        <v>10.85</v>
      </c>
      <c r="DU87" s="290" t="s">
        <v>509</v>
      </c>
      <c r="DV87" s="291">
        <v>2E-16</v>
      </c>
      <c r="DW87" s="81" t="s">
        <v>510</v>
      </c>
    </row>
    <row r="88" spans="120:127" thickTop="1" thickBot="1" x14ac:dyDescent="0.35">
      <c r="DP88" s="290" t="s">
        <v>506</v>
      </c>
      <c r="DQ88" s="290" t="s">
        <v>293</v>
      </c>
      <c r="DR88" s="291">
        <v>10100000</v>
      </c>
      <c r="DS88" s="291">
        <v>1450000</v>
      </c>
      <c r="DT88" s="290">
        <v>6.98</v>
      </c>
      <c r="DU88" s="291">
        <v>3.3000000000000001E-12</v>
      </c>
      <c r="DV88" s="290" t="s">
        <v>510</v>
      </c>
    </row>
    <row r="89" spans="120:127" thickTop="1" thickBot="1" x14ac:dyDescent="0.35">
      <c r="DP89" s="290" t="s">
        <v>506</v>
      </c>
      <c r="DQ89" s="290" t="s">
        <v>476</v>
      </c>
      <c r="DR89" s="291">
        <v>-5.48</v>
      </c>
      <c r="DS89" s="291">
        <v>0.106</v>
      </c>
      <c r="DT89" s="290">
        <v>-51.84</v>
      </c>
      <c r="DU89" s="290" t="s">
        <v>509</v>
      </c>
      <c r="DV89" s="291">
        <v>2E-16</v>
      </c>
      <c r="DW89" s="81" t="s">
        <v>510</v>
      </c>
    </row>
    <row r="90" spans="120:127" thickTop="1" thickBot="1" x14ac:dyDescent="0.35">
      <c r="DP90" s="290" t="s">
        <v>506</v>
      </c>
      <c r="DQ90" s="290" t="s">
        <v>477</v>
      </c>
      <c r="DR90" s="291">
        <v>-11.9</v>
      </c>
      <c r="DS90" s="291">
        <v>377</v>
      </c>
      <c r="DT90" s="290">
        <v>-0.03</v>
      </c>
      <c r="DU90" s="290">
        <v>0.97</v>
      </c>
    </row>
    <row r="91" spans="120:127" thickTop="1" thickBot="1" x14ac:dyDescent="0.35">
      <c r="DP91" s="290" t="s">
        <v>506</v>
      </c>
      <c r="DQ91" s="290" t="s">
        <v>478</v>
      </c>
      <c r="DR91" s="291">
        <v>-14.6</v>
      </c>
      <c r="DS91" s="291">
        <v>98.8</v>
      </c>
      <c r="DT91" s="290">
        <v>-0.15</v>
      </c>
      <c r="DU91" s="290">
        <v>0.88</v>
      </c>
    </row>
    <row r="92" spans="120:127" thickTop="1" thickBot="1" x14ac:dyDescent="0.35">
      <c r="DP92" s="290" t="s">
        <v>506</v>
      </c>
      <c r="DQ92" s="290" t="s">
        <v>479</v>
      </c>
      <c r="DR92" s="291">
        <v>-12.9</v>
      </c>
      <c r="DS92" s="291">
        <v>425</v>
      </c>
      <c r="DT92" s="290">
        <v>-0.03</v>
      </c>
      <c r="DU92" s="290">
        <v>0.98</v>
      </c>
    </row>
    <row r="93" spans="120:127" thickTop="1" thickBot="1" x14ac:dyDescent="0.35">
      <c r="DP93" s="290" t="s">
        <v>506</v>
      </c>
      <c r="DQ93" s="290" t="s">
        <v>481</v>
      </c>
      <c r="DR93" s="291">
        <v>0.19600000000000001</v>
      </c>
      <c r="DS93" s="291">
        <v>1.7600000000000001E-3</v>
      </c>
      <c r="DT93" s="290">
        <v>111.06</v>
      </c>
      <c r="DU93" s="290" t="s">
        <v>509</v>
      </c>
      <c r="DV93" s="291">
        <v>2E-16</v>
      </c>
      <c r="DW93" s="81" t="s">
        <v>510</v>
      </c>
    </row>
    <row r="94" spans="120:127" thickTop="1" thickBot="1" x14ac:dyDescent="0.35">
      <c r="DP94" s="290" t="s">
        <v>506</v>
      </c>
      <c r="DQ94" s="290" t="s">
        <v>482</v>
      </c>
      <c r="DR94" s="291">
        <v>4.8800000000000003E-2</v>
      </c>
      <c r="DS94" s="291">
        <v>3.5799999999999997E-4</v>
      </c>
      <c r="DT94" s="290">
        <v>136.54</v>
      </c>
      <c r="DU94" s="290" t="s">
        <v>509</v>
      </c>
      <c r="DV94" s="291">
        <v>2E-16</v>
      </c>
      <c r="DW94" s="81" t="s">
        <v>510</v>
      </c>
    </row>
    <row r="95" spans="120:127" thickTop="1" thickBot="1" x14ac:dyDescent="0.35">
      <c r="DP95" s="290" t="s">
        <v>506</v>
      </c>
      <c r="DQ95" s="290" t="s">
        <v>483</v>
      </c>
      <c r="DR95" s="291">
        <v>0.61299999999999999</v>
      </c>
      <c r="DS95" s="291">
        <v>1.0500000000000001E-2</v>
      </c>
      <c r="DT95" s="290">
        <v>58.19</v>
      </c>
      <c r="DU95" s="290" t="s">
        <v>509</v>
      </c>
      <c r="DV95" s="291">
        <v>2E-16</v>
      </c>
      <c r="DW95" s="81" t="s">
        <v>510</v>
      </c>
    </row>
    <row r="96" spans="120:127" thickTop="1" thickBot="1" x14ac:dyDescent="0.35">
      <c r="DP96" s="290" t="s">
        <v>506</v>
      </c>
      <c r="DQ96" s="290" t="s">
        <v>484</v>
      </c>
      <c r="DR96" s="291">
        <v>9.3799999999999994E-2</v>
      </c>
      <c r="DS96" s="291">
        <v>9.7599999999999998E-4</v>
      </c>
      <c r="DT96" s="290">
        <v>96.13</v>
      </c>
      <c r="DU96" s="290" t="s">
        <v>509</v>
      </c>
      <c r="DV96" s="291">
        <v>2E-16</v>
      </c>
      <c r="DW96" s="81" t="s">
        <v>510</v>
      </c>
    </row>
    <row r="97" spans="120:127" thickTop="1" thickBot="1" x14ac:dyDescent="0.35">
      <c r="DP97" s="290" t="s">
        <v>506</v>
      </c>
      <c r="DQ97" s="290" t="s">
        <v>486</v>
      </c>
      <c r="DR97" s="291">
        <v>199</v>
      </c>
      <c r="DS97" s="291">
        <v>5.37</v>
      </c>
      <c r="DT97" s="290">
        <v>37.119999999999997</v>
      </c>
      <c r="DU97" s="290" t="s">
        <v>509</v>
      </c>
      <c r="DV97" s="291">
        <v>2E-16</v>
      </c>
      <c r="DW97" s="81" t="s">
        <v>510</v>
      </c>
    </row>
    <row r="98" spans="120:127" thickTop="1" thickBot="1" x14ac:dyDescent="0.35">
      <c r="DP98" s="290" t="s">
        <v>506</v>
      </c>
      <c r="DQ98" s="290" t="s">
        <v>285</v>
      </c>
      <c r="DR98" s="291">
        <v>86.6</v>
      </c>
      <c r="DS98" s="291">
        <v>0.94699999999999995</v>
      </c>
      <c r="DT98" s="290">
        <v>91.45</v>
      </c>
      <c r="DU98" s="290" t="s">
        <v>509</v>
      </c>
      <c r="DV98" s="291">
        <v>2E-16</v>
      </c>
      <c r="DW98" s="81" t="s">
        <v>510</v>
      </c>
    </row>
    <row r="99" spans="120:127" thickTop="1" thickBot="1" x14ac:dyDescent="0.35">
      <c r="DP99" s="290" t="s">
        <v>506</v>
      </c>
      <c r="DQ99" s="290" t="s">
        <v>120</v>
      </c>
      <c r="DR99" s="291">
        <v>66.8</v>
      </c>
      <c r="DS99" s="291">
        <v>1.88</v>
      </c>
      <c r="DT99" s="290">
        <v>35.56</v>
      </c>
      <c r="DU99" s="290" t="s">
        <v>509</v>
      </c>
      <c r="DV99" s="291">
        <v>2E-16</v>
      </c>
      <c r="DW99" s="81" t="s">
        <v>510</v>
      </c>
    </row>
    <row r="100" spans="120:127" thickTop="1" thickBot="1" x14ac:dyDescent="0.35">
      <c r="DP100" s="290" t="s">
        <v>506</v>
      </c>
      <c r="DQ100" s="290" t="s">
        <v>488</v>
      </c>
      <c r="DR100" s="291">
        <v>-4.95</v>
      </c>
      <c r="DS100" s="291">
        <v>2.2599999999999999E-2</v>
      </c>
      <c r="DT100" s="290">
        <v>-219.17</v>
      </c>
      <c r="DU100" s="290" t="s">
        <v>509</v>
      </c>
      <c r="DV100" s="291">
        <v>2E-16</v>
      </c>
      <c r="DW100" s="81" t="s">
        <v>510</v>
      </c>
    </row>
    <row r="101" spans="120:127" thickTop="1" thickBot="1" x14ac:dyDescent="0.35">
      <c r="DP101" s="290" t="s">
        <v>506</v>
      </c>
      <c r="DQ101" s="290" t="s">
        <v>489</v>
      </c>
      <c r="DR101" s="291">
        <v>-4.87</v>
      </c>
      <c r="DS101" s="291">
        <v>2.8899999999999999E-2</v>
      </c>
      <c r="DT101" s="290">
        <v>-168.68</v>
      </c>
      <c r="DU101" s="290" t="s">
        <v>509</v>
      </c>
      <c r="DV101" s="291">
        <v>2E-16</v>
      </c>
      <c r="DW101" s="81" t="s">
        <v>510</v>
      </c>
    </row>
    <row r="102" spans="120:127" thickTop="1" thickBot="1" x14ac:dyDescent="0.35">
      <c r="DP102" s="290" t="s">
        <v>506</v>
      </c>
      <c r="DQ102" s="290" t="s">
        <v>490</v>
      </c>
      <c r="DR102" s="291">
        <v>-5.98</v>
      </c>
      <c r="DS102" s="291">
        <v>3.2099999999999997E-2</v>
      </c>
      <c r="DT102" s="290">
        <v>-185.94</v>
      </c>
      <c r="DU102" s="290" t="s">
        <v>509</v>
      </c>
      <c r="DV102" s="291">
        <v>2E-16</v>
      </c>
      <c r="DW102" s="81" t="s">
        <v>510</v>
      </c>
    </row>
    <row r="103" spans="120:127" thickTop="1" thickBot="1" x14ac:dyDescent="0.35">
      <c r="DP103" s="290" t="s">
        <v>506</v>
      </c>
      <c r="DQ103" s="290" t="s">
        <v>491</v>
      </c>
      <c r="DR103" s="291">
        <v>-5.59</v>
      </c>
      <c r="DS103" s="291">
        <v>3.0700000000000002E-2</v>
      </c>
      <c r="DT103" s="290">
        <v>-182.17</v>
      </c>
      <c r="DU103" s="290" t="s">
        <v>509</v>
      </c>
      <c r="DV103" s="291">
        <v>2E-16</v>
      </c>
      <c r="DW103" s="81" t="s">
        <v>510</v>
      </c>
    </row>
    <row r="104" spans="120:127" thickTop="1" thickBot="1" x14ac:dyDescent="0.35">
      <c r="DP104" s="290" t="s">
        <v>506</v>
      </c>
      <c r="DQ104" s="290" t="s">
        <v>493</v>
      </c>
      <c r="DR104" s="291">
        <v>3.65E-3</v>
      </c>
      <c r="DS104" s="291">
        <v>1.06E-4</v>
      </c>
      <c r="DT104" s="290">
        <v>34.35</v>
      </c>
      <c r="DU104" s="290" t="s">
        <v>509</v>
      </c>
      <c r="DV104" s="291">
        <v>2E-16</v>
      </c>
      <c r="DW104" s="81" t="s">
        <v>510</v>
      </c>
    </row>
    <row r="105" spans="120:127" thickTop="1" thickBot="1" x14ac:dyDescent="0.35">
      <c r="DP105" s="290" t="s">
        <v>506</v>
      </c>
      <c r="DQ105" s="290" t="s">
        <v>494</v>
      </c>
      <c r="DR105" s="291">
        <v>194</v>
      </c>
      <c r="DS105" s="291">
        <v>2.56</v>
      </c>
      <c r="DT105" s="290">
        <v>75.540000000000006</v>
      </c>
      <c r="DU105" s="290" t="s">
        <v>509</v>
      </c>
      <c r="DV105" s="291">
        <v>2E-16</v>
      </c>
      <c r="DW105" s="81" t="s">
        <v>510</v>
      </c>
    </row>
    <row r="106" spans="120:127" thickTop="1" thickBot="1" x14ac:dyDescent="0.35">
      <c r="DP106" s="290" t="s">
        <v>506</v>
      </c>
      <c r="DQ106" s="290" t="s">
        <v>495</v>
      </c>
      <c r="DR106" s="291">
        <v>308</v>
      </c>
      <c r="DS106" s="291">
        <v>664</v>
      </c>
      <c r="DT106" s="290">
        <v>0.46</v>
      </c>
      <c r="DU106" s="290">
        <v>0.64</v>
      </c>
    </row>
    <row r="107" spans="120:127" thickTop="1" thickBot="1" x14ac:dyDescent="0.35">
      <c r="DR107" s="291"/>
      <c r="DS107" s="291"/>
    </row>
    <row r="108" spans="120:127" thickTop="1" thickBot="1" x14ac:dyDescent="0.35">
      <c r="DP108" s="290" t="s">
        <v>565</v>
      </c>
    </row>
    <row r="109" spans="120:127" thickTop="1" thickBot="1" x14ac:dyDescent="0.35">
      <c r="DP109" s="290" t="s">
        <v>538</v>
      </c>
    </row>
    <row r="110" spans="120:127" thickTop="1" thickBot="1" x14ac:dyDescent="0.35">
      <c r="DP110" s="290" t="s">
        <v>539</v>
      </c>
      <c r="DW110" s="81" t="s">
        <v>510</v>
      </c>
    </row>
    <row r="111" spans="120:127" thickTop="1" thickBot="1" x14ac:dyDescent="0.35">
      <c r="DP111" s="290" t="s">
        <v>566</v>
      </c>
      <c r="DW111" s="81" t="s">
        <v>510</v>
      </c>
    </row>
    <row r="112" spans="120:127" thickTop="1" thickBot="1" x14ac:dyDescent="0.35">
      <c r="DP112" s="290" t="s">
        <v>506</v>
      </c>
      <c r="DQ112" s="290" t="s">
        <v>514</v>
      </c>
      <c r="DR112" s="291">
        <v>291</v>
      </c>
      <c r="DS112" s="291">
        <v>0.76600000000000001</v>
      </c>
      <c r="DT112" s="290">
        <v>379.48</v>
      </c>
      <c r="DU112" s="290" t="s">
        <v>509</v>
      </c>
      <c r="DV112" s="291">
        <v>2E-16</v>
      </c>
      <c r="DW112" s="81" t="s">
        <v>510</v>
      </c>
    </row>
    <row r="113" spans="120:134" thickTop="1" thickBot="1" x14ac:dyDescent="0.35">
      <c r="DP113" s="290" t="s">
        <v>506</v>
      </c>
      <c r="DQ113" s="290" t="s">
        <v>423</v>
      </c>
      <c r="DR113" s="291">
        <v>0.14299999999999999</v>
      </c>
      <c r="DS113" s="291">
        <v>7.2499999999999995E-4</v>
      </c>
      <c r="DT113" s="290">
        <v>197.29</v>
      </c>
      <c r="DU113" s="290" t="s">
        <v>509</v>
      </c>
      <c r="DV113" s="291">
        <v>2E-16</v>
      </c>
    </row>
    <row r="114" spans="120:134" thickTop="1" thickBot="1" x14ac:dyDescent="0.35">
      <c r="DP114" s="290" t="s">
        <v>506</v>
      </c>
      <c r="DQ114" s="290" t="s">
        <v>424</v>
      </c>
      <c r="DR114" s="291">
        <v>0.72299999999999998</v>
      </c>
      <c r="DS114" s="291">
        <v>2.46E-2</v>
      </c>
      <c r="DT114" s="290">
        <v>29.4</v>
      </c>
      <c r="DU114" s="290" t="s">
        <v>509</v>
      </c>
      <c r="DV114" s="291">
        <v>2E-16</v>
      </c>
      <c r="DW114" s="81" t="s">
        <v>510</v>
      </c>
    </row>
    <row r="115" spans="120:134" thickTop="1" thickBot="1" x14ac:dyDescent="0.35">
      <c r="DP115" s="290" t="s">
        <v>506</v>
      </c>
      <c r="DQ115" s="290" t="s">
        <v>515</v>
      </c>
      <c r="DR115" s="291">
        <v>120000000</v>
      </c>
      <c r="DS115" s="291">
        <v>15700000</v>
      </c>
      <c r="DT115" s="290">
        <v>7.65</v>
      </c>
      <c r="DU115" s="291">
        <v>2.8000000000000001E-14</v>
      </c>
      <c r="DV115" s="290" t="s">
        <v>510</v>
      </c>
    </row>
    <row r="116" spans="120:134" thickTop="1" thickBot="1" x14ac:dyDescent="0.35">
      <c r="DP116" s="290" t="s">
        <v>506</v>
      </c>
      <c r="DQ116" s="290" t="s">
        <v>426</v>
      </c>
      <c r="DR116" s="291">
        <v>630000</v>
      </c>
      <c r="DS116" s="291">
        <v>33500</v>
      </c>
      <c r="DT116" s="290">
        <v>18.79</v>
      </c>
      <c r="DU116" s="290" t="s">
        <v>509</v>
      </c>
      <c r="DV116" s="291">
        <v>2E-16</v>
      </c>
    </row>
    <row r="117" spans="120:134" thickTop="1" thickBot="1" x14ac:dyDescent="0.35">
      <c r="DP117" s="290" t="s">
        <v>506</v>
      </c>
      <c r="DQ117" s="290" t="s">
        <v>480</v>
      </c>
      <c r="DR117" s="291">
        <v>-3.69</v>
      </c>
      <c r="DS117" s="291">
        <v>1.17</v>
      </c>
      <c r="DT117" s="290">
        <v>-3.14</v>
      </c>
      <c r="DU117" s="290">
        <v>1.6999999999999999E-3</v>
      </c>
      <c r="DV117" s="290" t="s">
        <v>516</v>
      </c>
      <c r="DW117" s="81" t="s">
        <v>510</v>
      </c>
    </row>
    <row r="118" spans="120:134" thickTop="1" thickBot="1" x14ac:dyDescent="0.35">
      <c r="DP118" s="290" t="s">
        <v>506</v>
      </c>
      <c r="DQ118" s="290" t="s">
        <v>517</v>
      </c>
      <c r="DR118" s="291">
        <v>-0.99099999999999999</v>
      </c>
      <c r="DS118" s="291">
        <v>0.94399999999999995</v>
      </c>
      <c r="DT118" s="290">
        <v>-1.05</v>
      </c>
      <c r="DU118" s="290">
        <v>0.29389999999999999</v>
      </c>
      <c r="DW118" s="81" t="s">
        <v>510</v>
      </c>
    </row>
    <row r="119" spans="120:134" thickTop="1" thickBot="1" x14ac:dyDescent="0.35">
      <c r="DP119" s="290" t="s">
        <v>506</v>
      </c>
      <c r="DQ119" s="290" t="s">
        <v>518</v>
      </c>
      <c r="DR119" s="291">
        <v>5.6500000000000002E-2</v>
      </c>
      <c r="DS119" s="291">
        <v>4.6299999999999998E-4</v>
      </c>
      <c r="DT119" s="290">
        <v>122.19</v>
      </c>
      <c r="DU119" s="290" t="s">
        <v>509</v>
      </c>
      <c r="DV119" s="291">
        <v>2E-16</v>
      </c>
      <c r="DW119" s="81" t="s">
        <v>510</v>
      </c>
    </row>
    <row r="120" spans="120:134" thickTop="1" thickBot="1" x14ac:dyDescent="0.35">
      <c r="DP120" s="290" t="s">
        <v>506</v>
      </c>
      <c r="DQ120" s="290" t="s">
        <v>519</v>
      </c>
      <c r="DR120" s="291">
        <v>1.15E-3</v>
      </c>
      <c r="DS120" s="291">
        <v>8.8200000000000003E-5</v>
      </c>
      <c r="DT120" s="290">
        <v>13.04</v>
      </c>
      <c r="DU120" s="290" t="s">
        <v>509</v>
      </c>
      <c r="DV120" s="291">
        <v>2E-16</v>
      </c>
      <c r="DW120" s="81" t="s">
        <v>510</v>
      </c>
    </row>
    <row r="121" spans="120:134" thickTop="1" thickBot="1" x14ac:dyDescent="0.35">
      <c r="DP121" s="290" t="s">
        <v>506</v>
      </c>
      <c r="DQ121" s="290" t="s">
        <v>492</v>
      </c>
      <c r="DR121" s="291">
        <v>-2.19</v>
      </c>
      <c r="DS121" s="291">
        <v>2.1600000000000001E-2</v>
      </c>
      <c r="DT121" s="290">
        <v>-101.52</v>
      </c>
      <c r="DU121" s="290" t="s">
        <v>509</v>
      </c>
      <c r="DV121" s="291">
        <v>2E-16</v>
      </c>
      <c r="DW121" s="81" t="s">
        <v>510</v>
      </c>
    </row>
    <row r="122" spans="120:134" thickTop="1" thickBot="1" x14ac:dyDescent="0.35">
      <c r="DP122" s="290" t="s">
        <v>506</v>
      </c>
      <c r="DQ122" s="290" t="s">
        <v>520</v>
      </c>
      <c r="DR122" s="291">
        <v>-5.72</v>
      </c>
      <c r="DS122" s="291">
        <v>2.24E-2</v>
      </c>
      <c r="DT122" s="290">
        <v>-255.17</v>
      </c>
      <c r="DU122" s="290" t="s">
        <v>509</v>
      </c>
      <c r="DV122" s="291">
        <v>2E-16</v>
      </c>
      <c r="DW122" s="81" t="s">
        <v>510</v>
      </c>
    </row>
    <row r="123" spans="120:134" thickTop="1" thickBot="1" x14ac:dyDescent="0.35">
      <c r="DP123" s="290" t="s">
        <v>506</v>
      </c>
      <c r="DQ123" s="290" t="s">
        <v>429</v>
      </c>
      <c r="DR123" s="291">
        <v>138</v>
      </c>
      <c r="DS123" s="291">
        <v>1.2</v>
      </c>
      <c r="DT123" s="290">
        <v>115.34</v>
      </c>
      <c r="DU123" s="290" t="s">
        <v>509</v>
      </c>
      <c r="DV123" s="291">
        <v>2E-16</v>
      </c>
      <c r="DW123" s="81" t="s">
        <v>510</v>
      </c>
    </row>
    <row r="124" spans="120:134" thickTop="1" thickBot="1" x14ac:dyDescent="0.35">
      <c r="DP124" s="290" t="s">
        <v>506</v>
      </c>
      <c r="DQ124" s="290" t="s">
        <v>430</v>
      </c>
      <c r="DR124" s="291">
        <v>7610</v>
      </c>
      <c r="DS124" s="291">
        <v>117</v>
      </c>
      <c r="DT124" s="290">
        <v>64.83</v>
      </c>
      <c r="DU124" s="290" t="s">
        <v>509</v>
      </c>
      <c r="DV124" s="291">
        <v>2E-16</v>
      </c>
    </row>
    <row r="125" spans="120:134" thickTop="1" thickBot="1" x14ac:dyDescent="0.35">
      <c r="DP125" s="290" t="s">
        <v>506</v>
      </c>
      <c r="DQ125" s="290" t="s">
        <v>431</v>
      </c>
      <c r="DR125" s="291">
        <v>371</v>
      </c>
      <c r="DS125" s="291">
        <v>5.67</v>
      </c>
      <c r="DT125" s="290">
        <v>65.489999999999995</v>
      </c>
      <c r="DU125" s="290" t="s">
        <v>509</v>
      </c>
      <c r="DV125" s="291">
        <v>2E-16</v>
      </c>
      <c r="DW125" s="81">
        <v>0.01</v>
      </c>
      <c r="EC125" s="81" t="s">
        <v>564</v>
      </c>
      <c r="ED125" s="81">
        <v>1</v>
      </c>
    </row>
    <row r="126" spans="120:134" thickTop="1" thickBot="1" x14ac:dyDescent="0.35">
      <c r="DP126" s="290" t="s">
        <v>506</v>
      </c>
      <c r="DQ126" s="290" t="s">
        <v>559</v>
      </c>
    </row>
    <row r="127" spans="120:134" thickTop="1" thickBot="1" x14ac:dyDescent="0.35">
      <c r="DP127" s="290" t="s">
        <v>506</v>
      </c>
      <c r="DQ127" s="290" t="s">
        <v>560</v>
      </c>
      <c r="DR127" s="290" t="s">
        <v>561</v>
      </c>
      <c r="DS127" s="290">
        <v>0</v>
      </c>
      <c r="DT127" s="290" t="s">
        <v>562</v>
      </c>
      <c r="DU127" s="290">
        <v>1E-3</v>
      </c>
      <c r="DV127" s="290" t="s">
        <v>563</v>
      </c>
    </row>
  </sheetData>
  <mergeCells count="7">
    <mergeCell ref="E36:F36"/>
    <mergeCell ref="A1:G1"/>
    <mergeCell ref="A3:H3"/>
    <mergeCell ref="J3:T3"/>
    <mergeCell ref="V3:AG3"/>
    <mergeCell ref="K4:O4"/>
    <mergeCell ref="E33:F3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127"/>
  <sheetViews>
    <sheetView topLeftCell="A15" zoomScale="55" zoomScaleNormal="55" workbookViewId="0">
      <selection activeCell="A57" sqref="A57:E67"/>
    </sheetView>
  </sheetViews>
  <sheetFormatPr defaultColWidth="9.109375" defaultRowHeight="15.6" thickTop="1" thickBottom="1" x14ac:dyDescent="0.35"/>
  <cols>
    <col min="1" max="5" width="9.109375" style="81"/>
    <col min="6" max="6" width="8.33203125" style="81" bestFit="1" customWidth="1"/>
    <col min="7" max="7" width="6.88671875" style="81" bestFit="1" customWidth="1"/>
    <col min="8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3"/>
    <col min="19" max="19" width="11.33203125" style="81" customWidth="1"/>
    <col min="20" max="21" width="9.109375" style="81"/>
    <col min="22" max="22" width="9.109375" style="1"/>
    <col min="23" max="35" width="9.109375" style="81"/>
    <col min="36" max="37" width="9.109375" style="173"/>
    <col min="38" max="38" width="9.109375" style="154"/>
    <col min="39" max="39" width="10.33203125" style="154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99"/>
    <col min="52" max="52" width="16.109375" style="206" customWidth="1"/>
    <col min="53" max="53" width="9.109375" style="199"/>
    <col min="54" max="65" width="9.109375" style="81" customWidth="1"/>
    <col min="66" max="67" width="9.109375" style="173"/>
    <col min="68" max="68" width="9.109375" style="154"/>
    <col min="69" max="69" width="10.33203125" style="154" bestFit="1" customWidth="1"/>
    <col min="70" max="71" width="9.109375" style="81"/>
    <col min="72" max="72" width="12.6640625" style="81" bestFit="1" customWidth="1"/>
    <col min="73" max="74" width="12.6640625" style="81" customWidth="1"/>
    <col min="75" max="77" width="9.109375" style="81"/>
    <col min="78" max="78" width="10.44140625" style="210" bestFit="1" customWidth="1"/>
    <col min="79" max="79" width="10.44140625" style="210" customWidth="1"/>
    <col min="80" max="80" width="9.109375" style="81"/>
    <col min="81" max="81" width="10.5546875" style="81" bestFit="1" customWidth="1"/>
    <col min="82" max="86" width="9.109375" style="81"/>
    <col min="87" max="87" width="11" style="81" customWidth="1"/>
    <col min="88" max="92" width="9.109375" style="81"/>
    <col min="93" max="93" width="19.44140625" style="81" bestFit="1" customWidth="1"/>
    <col min="94" max="94" width="12" style="81" customWidth="1"/>
    <col min="95" max="95" width="11" style="81" customWidth="1"/>
    <col min="96" max="99" width="9.109375" style="81"/>
    <col min="100" max="100" width="9.109375" style="212"/>
    <col min="101" max="101" width="9.109375" style="81"/>
    <col min="102" max="102" width="19.44140625" style="81" bestFit="1" customWidth="1"/>
    <col min="103" max="113" width="9.109375" style="81"/>
    <col min="114" max="114" width="9.6640625" style="81" bestFit="1" customWidth="1"/>
    <col min="115" max="116" width="9.109375" style="81"/>
    <col min="117" max="119" width="9.88671875" style="81" bestFit="1" customWidth="1"/>
    <col min="120" max="120" width="9.109375" style="81"/>
    <col min="121" max="127" width="9.109375" style="290"/>
    <col min="128" max="128" width="9.109375" style="81"/>
    <col min="129" max="129" width="15.5546875" style="212" bestFit="1" customWidth="1"/>
    <col min="130" max="133" width="9.109375" style="212"/>
    <col min="134" max="16384" width="9.109375" style="81"/>
  </cols>
  <sheetData>
    <row r="1" spans="1:139" ht="20.25" customHeight="1" thickTop="1" thickBot="1" x14ac:dyDescent="0.45">
      <c r="A1" s="315" t="s">
        <v>0</v>
      </c>
      <c r="B1" s="315"/>
      <c r="C1" s="315"/>
      <c r="D1" s="315"/>
      <c r="E1" s="315"/>
      <c r="F1" s="315"/>
      <c r="G1" s="315"/>
      <c r="AO1" s="191" t="s">
        <v>384</v>
      </c>
      <c r="BD1" s="81" t="s">
        <v>435</v>
      </c>
      <c r="BE1" s="191"/>
      <c r="BF1" s="191" t="s">
        <v>436</v>
      </c>
      <c r="BS1" s="191" t="s">
        <v>384</v>
      </c>
      <c r="EE1" s="160"/>
      <c r="EF1" s="160"/>
      <c r="EG1" s="160"/>
      <c r="EH1" s="160"/>
      <c r="EI1" s="160"/>
    </row>
    <row r="2" spans="1:139" thickTop="1" thickBot="1" x14ac:dyDescent="0.35">
      <c r="AO2" s="81" t="s">
        <v>385</v>
      </c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  <c r="EE2" s="160"/>
      <c r="EF2" s="160"/>
      <c r="EG2" s="160"/>
      <c r="EH2" s="160"/>
      <c r="EI2" s="160"/>
    </row>
    <row r="3" spans="1:139" thickTop="1" thickBot="1" x14ac:dyDescent="0.35">
      <c r="A3" s="321" t="s">
        <v>1</v>
      </c>
      <c r="B3" s="322"/>
      <c r="C3" s="322"/>
      <c r="D3" s="322"/>
      <c r="E3" s="322"/>
      <c r="F3" s="322"/>
      <c r="G3" s="322"/>
      <c r="H3" s="323"/>
      <c r="I3" s="305"/>
      <c r="K3" s="312" t="s">
        <v>2</v>
      </c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4"/>
      <c r="W3" s="312" t="s">
        <v>3</v>
      </c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E3" s="208"/>
      <c r="BF3" s="208" t="s">
        <v>437</v>
      </c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0.21369000387775008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610</v>
      </c>
      <c r="EF3" s="160"/>
      <c r="EG3" s="160"/>
      <c r="EH3" s="160"/>
      <c r="EI3" s="160"/>
    </row>
    <row r="4" spans="1:139" ht="15.75" customHeight="1" thickTop="1" thickBot="1" x14ac:dyDescent="0.35">
      <c r="A4" s="214" t="s">
        <v>6</v>
      </c>
      <c r="B4" s="215">
        <f>'Tabula data'!B5</f>
        <v>710.5</v>
      </c>
      <c r="C4" s="215" t="s">
        <v>7</v>
      </c>
      <c r="D4" s="214" t="s">
        <v>8</v>
      </c>
      <c r="E4" s="215"/>
      <c r="F4" s="215"/>
      <c r="G4" s="216">
        <f>SUM(H6:H13)</f>
        <v>45.4</v>
      </c>
      <c r="H4" s="217" t="s">
        <v>9</v>
      </c>
      <c r="I4" s="225"/>
      <c r="L4" s="324" t="s">
        <v>2</v>
      </c>
      <c r="M4" s="325"/>
      <c r="N4" s="325"/>
      <c r="O4" s="325"/>
      <c r="P4" s="326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SUM(O6:O9)/SUM($O$6:$O$14,$O$26,2*$O$27)</f>
        <v>0.21369000387775008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F4" s="81" t="s">
        <v>281</v>
      </c>
      <c r="BG4" s="81">
        <f>1/(1/AP19+1/AP23)</f>
        <v>103.29093828075732</v>
      </c>
      <c r="BJ4" s="81" t="s">
        <v>439</v>
      </c>
      <c r="BK4" s="81">
        <f>BG4</f>
        <v>103.29093828075732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s="81" t="s">
        <v>498</v>
      </c>
      <c r="CN4" s="81" t="s">
        <v>497</v>
      </c>
      <c r="CO4" s="81" t="s">
        <v>507</v>
      </c>
      <c r="DL4" s="81" t="s">
        <v>393</v>
      </c>
      <c r="DM4" s="286">
        <f t="shared" ref="DM4:DM49" si="0">AP5</f>
        <v>0.42738000775550017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  <c r="EE4" s="160"/>
      <c r="EF4" s="160"/>
      <c r="EG4" s="160"/>
      <c r="EH4" s="160"/>
      <c r="EI4" s="160"/>
    </row>
    <row r="5" spans="1:139" ht="15" customHeight="1" thickTop="1" thickBot="1" x14ac:dyDescent="0.35">
      <c r="A5" s="218"/>
      <c r="B5" s="219"/>
      <c r="C5" s="219"/>
      <c r="D5" s="220"/>
      <c r="E5" s="221"/>
      <c r="F5" s="221"/>
      <c r="G5" s="221"/>
      <c r="H5" s="222"/>
      <c r="I5" s="221"/>
      <c r="K5" s="81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0.27062537995411134</v>
      </c>
      <c r="AB5" s="261" t="s">
        <v>5</v>
      </c>
      <c r="AC5" s="261"/>
      <c r="AD5" s="261" t="s">
        <v>22</v>
      </c>
      <c r="AE5" s="264">
        <f>SUM(AE7:AE10)</f>
        <v>66192</v>
      </c>
      <c r="AF5" s="14" t="s">
        <v>23</v>
      </c>
      <c r="AG5" s="14">
        <f>SUM(AE9:AE10)</f>
        <v>30492</v>
      </c>
      <c r="AH5" s="14"/>
      <c r="AM5" s="154" t="s">
        <v>389</v>
      </c>
      <c r="AN5" s="81" t="s">
        <v>390</v>
      </c>
      <c r="AO5" s="81" t="s">
        <v>393</v>
      </c>
      <c r="AP5" s="81">
        <f>SUM(2*O27)/SUM($O$6:$O$14,$O$26,2*$O$27)</f>
        <v>0.42738000775550017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F5" s="81" t="s">
        <v>291</v>
      </c>
      <c r="BG5" s="204">
        <f>AP10</f>
        <v>23146317.810000002</v>
      </c>
      <c r="BJ5" s="81" t="s">
        <v>440</v>
      </c>
      <c r="BK5" s="81">
        <f>BG24</f>
        <v>65.435012639223629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N5" s="81" t="s">
        <v>499</v>
      </c>
      <c r="DL5" s="81" t="s">
        <v>394</v>
      </c>
      <c r="DM5" s="286">
        <f t="shared" si="0"/>
        <v>3.9309377042853776E-2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Y5" s="212" t="s">
        <v>568</v>
      </c>
      <c r="DZ5" s="292" t="s">
        <v>569</v>
      </c>
      <c r="EA5" s="292" t="s">
        <v>434</v>
      </c>
      <c r="EB5" s="293">
        <f>DS12</f>
        <v>1.38</v>
      </c>
      <c r="EC5" s="212" t="s">
        <v>392</v>
      </c>
      <c r="EE5" s="160" t="s">
        <v>568</v>
      </c>
      <c r="EF5" s="306" t="s">
        <v>569</v>
      </c>
      <c r="EG5" s="306" t="s">
        <v>434</v>
      </c>
      <c r="EH5" s="160">
        <f>$O$11*$Z$37*$AP$4</f>
        <v>0.78037452516115546</v>
      </c>
      <c r="EI5" s="160" t="s">
        <v>392</v>
      </c>
    </row>
    <row r="6" spans="1:139" ht="15" customHeight="1" thickTop="1" thickBot="1" x14ac:dyDescent="0.35">
      <c r="A6" s="223" t="s">
        <v>34</v>
      </c>
      <c r="B6" s="224">
        <f>'Tabula data'!B4</f>
        <v>258.39999999999998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0.1526431718061674</v>
      </c>
      <c r="G6" s="221"/>
      <c r="H6" s="228">
        <f>'Tabula data'!B16*'Tabula RefULG 1'!C45</f>
        <v>6.93</v>
      </c>
      <c r="I6" s="240"/>
      <c r="K6" s="81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54.722250000000003</v>
      </c>
      <c r="P6" s="249" t="s">
        <v>26</v>
      </c>
      <c r="Q6" s="30">
        <f t="shared" ref="Q6:Q28" si="6">VLOOKUP(N6,$X$5:$AA$391,4,0)</f>
        <v>0.59788861556532236</v>
      </c>
      <c r="R6" s="30">
        <f t="shared" ref="R6:R28" si="7">Q6*O6</f>
        <v>32.717810293119463</v>
      </c>
      <c r="S6" s="30">
        <f t="shared" ref="S6:S14" si="8">VLOOKUP(N6,$X$5:$AE$391,8,0)*O6</f>
        <v>13840225.608825002</v>
      </c>
      <c r="T6" s="30">
        <f t="shared" ref="T6:T14" si="9">S6/O6</f>
        <v>252917.7</v>
      </c>
      <c r="U6" s="30">
        <f t="shared" ref="U6:U14" si="10">VLOOKUP(N6,$X$5:$AG$391,10,0)*O6</f>
        <v>7331687.0550000006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SUM(O10:O13)/SUM($O$6:$O$14,$O$26,2*$O$27)</f>
        <v>3.9309377042853776E-2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F6" s="81" t="s">
        <v>282</v>
      </c>
      <c r="BG6" s="3">
        <f>AP22</f>
        <v>134.38800526315791</v>
      </c>
      <c r="BJ6" s="81" t="s">
        <v>441</v>
      </c>
      <c r="BK6" s="3">
        <f>BG6</f>
        <v>134.38800526315791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s="81" t="s">
        <v>501</v>
      </c>
      <c r="CJ6" s="81" t="s">
        <v>502</v>
      </c>
      <c r="CK6" s="81" t="s">
        <v>503</v>
      </c>
      <c r="CL6" s="81" t="s">
        <v>504</v>
      </c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V6" s="212" t="s">
        <v>506</v>
      </c>
      <c r="CW6" s="81" t="s">
        <v>497</v>
      </c>
      <c r="CX6" s="81" t="s">
        <v>521</v>
      </c>
      <c r="DL6" s="81" t="s">
        <v>395</v>
      </c>
      <c r="DM6" s="286">
        <f t="shared" si="0"/>
        <v>0.17168475561825378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Y6" s="212" t="s">
        <v>568</v>
      </c>
      <c r="DZ6" s="292" t="s">
        <v>570</v>
      </c>
      <c r="EA6" s="292" t="s">
        <v>434</v>
      </c>
      <c r="EB6" s="293">
        <f t="shared" ref="EB6:EB24" si="11">DS13</f>
        <v>1.28</v>
      </c>
      <c r="EC6" s="212" t="s">
        <v>392</v>
      </c>
      <c r="EE6" s="160" t="s">
        <v>568</v>
      </c>
      <c r="EF6" s="306" t="s">
        <v>570</v>
      </c>
      <c r="EG6" s="306" t="s">
        <v>434</v>
      </c>
      <c r="EH6" s="160">
        <f>$O$10*$Z$37*$AP$4</f>
        <v>0.69600971163021974</v>
      </c>
      <c r="EI6" s="160" t="s">
        <v>392</v>
      </c>
    </row>
    <row r="7" spans="1:139" ht="15" customHeight="1" thickTop="1" thickBot="1" x14ac:dyDescent="0.35">
      <c r="A7" s="226" t="s">
        <v>42</v>
      </c>
      <c r="B7" s="229">
        <f>'Tabula data'!B14</f>
        <v>138.80000000000001</v>
      </c>
      <c r="C7" s="230" t="s">
        <v>9</v>
      </c>
      <c r="D7" s="226" t="s">
        <v>43</v>
      </c>
      <c r="E7" s="221" t="s">
        <v>36</v>
      </c>
      <c r="F7" s="227">
        <f t="shared" si="5"/>
        <v>0.17114537444933919</v>
      </c>
      <c r="G7" s="221"/>
      <c r="H7" s="228">
        <f>'Tabula data'!B17*'Tabula RefULG 1'!C45</f>
        <v>7.77</v>
      </c>
      <c r="I7" s="240"/>
      <c r="K7" s="81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31.657499999999995</v>
      </c>
      <c r="P7" s="253" t="s">
        <v>39</v>
      </c>
      <c r="Q7" s="30">
        <f t="shared" si="6"/>
        <v>0.59788861556532236</v>
      </c>
      <c r="R7" s="30">
        <f t="shared" si="7"/>
        <v>18.927658847259188</v>
      </c>
      <c r="S7" s="30">
        <f t="shared" si="8"/>
        <v>8006742.087749999</v>
      </c>
      <c r="T7" s="30">
        <f t="shared" si="9"/>
        <v>252917.7</v>
      </c>
      <c r="U7" s="30">
        <f t="shared" si="10"/>
        <v>4241471.8499999996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SUM(O14)/SUM($O$6:$O$14,$O$26,2*$O$27)</f>
        <v>0.17168475561825378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F7" s="81" t="s">
        <v>122</v>
      </c>
      <c r="BG7" s="204">
        <f>AP9</f>
        <v>2008375.4092879263</v>
      </c>
      <c r="BJ7" s="81" t="s">
        <v>442</v>
      </c>
      <c r="BK7" s="3">
        <f>BG25</f>
        <v>53.588194736842112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 s="81">
        <v>2836.8</v>
      </c>
      <c r="CL7" s="81" t="s">
        <v>505</v>
      </c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293</v>
      </c>
      <c r="DT7" s="291">
        <v>3.4799999999999998E-2</v>
      </c>
      <c r="DU7" s="290">
        <v>8425.66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1"/>
        <v>1.54</v>
      </c>
      <c r="EC7" s="212" t="s">
        <v>392</v>
      </c>
      <c r="EE7" s="160" t="s">
        <v>568</v>
      </c>
      <c r="EF7" s="307" t="s">
        <v>571</v>
      </c>
      <c r="EG7" s="306" t="s">
        <v>434</v>
      </c>
      <c r="EH7" s="160">
        <f>$O$12*$Z$37*$AP$4</f>
        <v>0.9139521465851369</v>
      </c>
      <c r="EI7" s="160" t="s">
        <v>392</v>
      </c>
    </row>
    <row r="8" spans="1:139" ht="15" customHeight="1" thickTop="1" thickBot="1" x14ac:dyDescent="0.35">
      <c r="A8" s="226" t="s">
        <v>47</v>
      </c>
      <c r="B8" s="229">
        <f>B6-B7</f>
        <v>119.59999999999997</v>
      </c>
      <c r="C8" s="221"/>
      <c r="D8" s="226" t="s">
        <v>48</v>
      </c>
      <c r="E8" s="221" t="s">
        <v>36</v>
      </c>
      <c r="F8" s="227">
        <f t="shared" si="5"/>
        <v>0.20044052863436124</v>
      </c>
      <c r="G8" s="221"/>
      <c r="H8" s="228">
        <f>'Tabula data'!B18*C45</f>
        <v>9.1</v>
      </c>
      <c r="I8" s="240"/>
      <c r="K8" s="81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54.722250000000003</v>
      </c>
      <c r="P8" s="253" t="s">
        <v>45</v>
      </c>
      <c r="Q8" s="30">
        <f t="shared" si="6"/>
        <v>0.59788861556532236</v>
      </c>
      <c r="R8" s="30">
        <f t="shared" si="7"/>
        <v>32.717810293119463</v>
      </c>
      <c r="S8" s="30">
        <f t="shared" si="8"/>
        <v>13840225.608825002</v>
      </c>
      <c r="T8" s="30">
        <f t="shared" si="9"/>
        <v>252917.7</v>
      </c>
      <c r="U8" s="30">
        <f t="shared" si="10"/>
        <v>7331687.0550000006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 s="81">
        <v>2780.29</v>
      </c>
      <c r="CL8" s="81" t="s">
        <v>505</v>
      </c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2008375.4092879263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292</v>
      </c>
      <c r="DT8" s="291">
        <v>2.93E-2</v>
      </c>
      <c r="DU8" s="290">
        <v>9965.1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1"/>
        <v>1.08</v>
      </c>
      <c r="EC8" s="212" t="s">
        <v>392</v>
      </c>
      <c r="EE8" s="160" t="s">
        <v>568</v>
      </c>
      <c r="EF8" s="308" t="s">
        <v>572</v>
      </c>
      <c r="EG8" s="306" t="s">
        <v>434</v>
      </c>
      <c r="EH8" s="160">
        <f>$O$13*$Z$37*$AP$4</f>
        <v>0.80146572854388931</v>
      </c>
      <c r="EI8" s="160" t="s">
        <v>392</v>
      </c>
    </row>
    <row r="9" spans="1:139" ht="15" customHeight="1" thickTop="1" thickBot="1" x14ac:dyDescent="0.35">
      <c r="A9" s="220"/>
      <c r="B9" s="221"/>
      <c r="C9" s="221"/>
      <c r="D9" s="226" t="s">
        <v>52</v>
      </c>
      <c r="E9" s="231" t="s">
        <v>36</v>
      </c>
      <c r="F9" s="227">
        <f t="shared" si="5"/>
        <v>0.17577092511013215</v>
      </c>
      <c r="G9" s="221"/>
      <c r="H9" s="228">
        <f>'Tabula data'!B19*'Tabula RefULG 1'!C45</f>
        <v>7.9799999999999995</v>
      </c>
      <c r="I9" s="240"/>
      <c r="K9" s="81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31.657499999999995</v>
      </c>
      <c r="P9" s="253" t="s">
        <v>50</v>
      </c>
      <c r="Q9" s="30">
        <f t="shared" si="6"/>
        <v>0.59788861556532236</v>
      </c>
      <c r="R9" s="30">
        <f t="shared" si="7"/>
        <v>18.927658847259188</v>
      </c>
      <c r="S9" s="30">
        <f t="shared" si="8"/>
        <v>8006742.087749999</v>
      </c>
      <c r="T9" s="30">
        <f t="shared" si="9"/>
        <v>252917.7</v>
      </c>
      <c r="U9" s="30">
        <f t="shared" si="10"/>
        <v>4241471.8499999996</v>
      </c>
      <c r="V9" s="31"/>
      <c r="W9" s="3"/>
      <c r="X9" s="220"/>
      <c r="Y9" s="231" t="s">
        <v>267</v>
      </c>
      <c r="Z9" s="303">
        <v>0.12</v>
      </c>
      <c r="AA9" s="221">
        <v>3.5999999999999997E-2</v>
      </c>
      <c r="AB9" s="221">
        <v>80</v>
      </c>
      <c r="AC9" s="221">
        <v>1470</v>
      </c>
      <c r="AD9" s="268">
        <f>Z9/AA9</f>
        <v>3.3333333333333335</v>
      </c>
      <c r="AE9" s="222">
        <f>Z9*AB9*AC9</f>
        <v>14112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2008375.4092879263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F9" s="81" t="s">
        <v>285</v>
      </c>
      <c r="BG9" s="81">
        <f>AP21</f>
        <v>599.93652733118972</v>
      </c>
      <c r="BJ9" s="81" t="s">
        <v>443</v>
      </c>
      <c r="BK9" s="204">
        <f>BG5</f>
        <v>23146317.810000002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 s="81">
        <v>5435.78</v>
      </c>
      <c r="CL9" s="81" t="s">
        <v>505</v>
      </c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23146317.810000002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295</v>
      </c>
      <c r="DT9" s="291">
        <v>2.8400000000000002E-2</v>
      </c>
      <c r="DU9" s="290">
        <v>10385.49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1"/>
        <v>2.57</v>
      </c>
      <c r="EC9" s="212" t="s">
        <v>392</v>
      </c>
      <c r="EE9" s="160" t="s">
        <v>568</v>
      </c>
      <c r="EF9" s="308" t="s">
        <v>573</v>
      </c>
      <c r="EG9" s="306" t="s">
        <v>434</v>
      </c>
      <c r="EH9" s="160">
        <f>$O$11*$Z$37*$AP$5</f>
        <v>1.5607490503223109</v>
      </c>
      <c r="EI9" s="160" t="s">
        <v>392</v>
      </c>
    </row>
    <row r="10" spans="1:139" ht="15" customHeight="1" thickTop="1" thickBot="1" x14ac:dyDescent="0.35">
      <c r="A10" s="220"/>
      <c r="B10" s="221"/>
      <c r="C10" s="221"/>
      <c r="D10" s="226" t="s">
        <v>35</v>
      </c>
      <c r="E10" s="231" t="s">
        <v>56</v>
      </c>
      <c r="F10" s="227">
        <f t="shared" si="5"/>
        <v>6.5418502202643183E-2</v>
      </c>
      <c r="G10" s="221"/>
      <c r="H10" s="232">
        <f>'Tabula data'!B16*(1-C45)</f>
        <v>2.9700000000000006</v>
      </c>
      <c r="I10" s="238"/>
      <c r="K10" s="81" t="s">
        <v>53</v>
      </c>
      <c r="L10" s="250">
        <v>0</v>
      </c>
      <c r="M10" s="251">
        <v>1</v>
      </c>
      <c r="N10" s="251" t="s">
        <v>54</v>
      </c>
      <c r="O10" s="252">
        <f>H6</f>
        <v>6.93</v>
      </c>
      <c r="P10" s="253" t="s">
        <v>26</v>
      </c>
      <c r="Q10" s="30">
        <f t="shared" si="6"/>
        <v>2</v>
      </c>
      <c r="R10" s="30">
        <f t="shared" si="7"/>
        <v>13.86</v>
      </c>
      <c r="S10" s="30">
        <f t="shared" si="8"/>
        <v>0</v>
      </c>
      <c r="T10" s="30">
        <f t="shared" si="9"/>
        <v>0</v>
      </c>
      <c r="U10" s="30">
        <f t="shared" si="10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23146317.810000002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F10" s="81" t="s">
        <v>293</v>
      </c>
      <c r="BG10" s="204">
        <f>AP11</f>
        <v>34102725.300000004</v>
      </c>
      <c r="BJ10" s="81" t="s">
        <v>444</v>
      </c>
      <c r="BK10" s="204">
        <f>BG26</f>
        <v>14285844.090000004</v>
      </c>
      <c r="BQ10" s="154" t="s">
        <v>389</v>
      </c>
      <c r="BR10" s="81" t="s">
        <v>390</v>
      </c>
      <c r="BS10" s="81" t="s">
        <v>397</v>
      </c>
      <c r="BT10" s="204">
        <f t="shared" ref="BT10:BT12" si="12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 s="81">
        <v>2606.75</v>
      </c>
      <c r="CL10" s="81" t="s">
        <v>505</v>
      </c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s="81" t="s">
        <v>389</v>
      </c>
      <c r="DG10" s="81" t="s">
        <v>390</v>
      </c>
      <c r="DH10" s="81" t="str">
        <f>CW17</f>
        <v>abs1D</v>
      </c>
      <c r="DI10" s="81" t="s">
        <v>434</v>
      </c>
      <c r="DJ10" s="204">
        <f>CX17</f>
        <v>0.17</v>
      </c>
      <c r="DK10" s="81" t="s">
        <v>392</v>
      </c>
      <c r="DL10" s="81" t="s">
        <v>398</v>
      </c>
      <c r="DM10" s="288">
        <f t="shared" si="0"/>
        <v>34102725.300000004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292</v>
      </c>
      <c r="DT10" s="291">
        <v>4.8300000000000003E-2</v>
      </c>
      <c r="DU10" s="290">
        <v>6057.15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1"/>
        <v>2.99</v>
      </c>
      <c r="EC10" s="212" t="s">
        <v>392</v>
      </c>
      <c r="EE10" s="160" t="s">
        <v>568</v>
      </c>
      <c r="EF10" s="308" t="s">
        <v>574</v>
      </c>
      <c r="EG10" s="306" t="s">
        <v>434</v>
      </c>
      <c r="EH10" s="160">
        <f>$O$10*$Z$37*$AP$5</f>
        <v>1.3920194232604395</v>
      </c>
      <c r="EI10" s="160" t="s">
        <v>392</v>
      </c>
    </row>
    <row r="11" spans="1:139" ht="15" customHeight="1" thickTop="1" thickBot="1" x14ac:dyDescent="0.35">
      <c r="A11" s="220"/>
      <c r="B11" s="221"/>
      <c r="C11" s="221"/>
      <c r="D11" s="226" t="s">
        <v>43</v>
      </c>
      <c r="E11" s="231" t="s">
        <v>56</v>
      </c>
      <c r="F11" s="227">
        <f t="shared" si="5"/>
        <v>7.3348017621145387E-2</v>
      </c>
      <c r="G11" s="221"/>
      <c r="H11" s="232">
        <f>'Tabula data'!B17*(1-'Tabula RefULG 1'!C45)</f>
        <v>3.3300000000000005</v>
      </c>
      <c r="I11" s="238"/>
      <c r="K11" s="81" t="s">
        <v>57</v>
      </c>
      <c r="L11" s="250">
        <v>0</v>
      </c>
      <c r="M11" s="251">
        <v>1</v>
      </c>
      <c r="N11" s="251" t="s">
        <v>54</v>
      </c>
      <c r="O11" s="252">
        <f>H7</f>
        <v>7.77</v>
      </c>
      <c r="P11" s="253" t="s">
        <v>39</v>
      </c>
      <c r="Q11" s="30">
        <f t="shared" si="6"/>
        <v>2</v>
      </c>
      <c r="R11" s="30">
        <f t="shared" si="7"/>
        <v>15.54</v>
      </c>
      <c r="S11" s="30">
        <f t="shared" si="8"/>
        <v>0</v>
      </c>
      <c r="T11" s="30">
        <f t="shared" si="9"/>
        <v>0</v>
      </c>
      <c r="U11" s="30">
        <f t="shared" si="10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</f>
        <v>34102725.300000004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F11" s="81" t="s">
        <v>297</v>
      </c>
      <c r="BG11" s="81">
        <f>1/(1/AP48+1/AP49+1/AP50)</f>
        <v>174.01385681293297</v>
      </c>
      <c r="BJ11" s="81" t="s">
        <v>445</v>
      </c>
      <c r="BK11" s="204">
        <f>BG10</f>
        <v>34102725.300000004</v>
      </c>
      <c r="BQ11" s="154" t="s">
        <v>389</v>
      </c>
      <c r="BR11" s="81" t="s">
        <v>390</v>
      </c>
      <c r="BS11" s="81" t="s">
        <v>398</v>
      </c>
      <c r="BT11" s="204">
        <f t="shared" si="12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 s="81">
        <v>4411.26</v>
      </c>
      <c r="CL11" s="81" t="s">
        <v>505</v>
      </c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3">CW18</f>
        <v>abs1N</v>
      </c>
      <c r="DI11" s="81" t="s">
        <v>434</v>
      </c>
      <c r="DJ11" s="204">
        <f t="shared" ref="DJ11:DJ56" si="14">CX18</f>
        <v>0.45</v>
      </c>
      <c r="DK11" s="81" t="s">
        <v>392</v>
      </c>
      <c r="DL11" s="81" t="s">
        <v>399</v>
      </c>
      <c r="DM11" s="288">
        <f t="shared" si="0"/>
        <v>15401248.000000002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293</v>
      </c>
      <c r="DT11" s="291">
        <v>2.5499999999999998E-2</v>
      </c>
      <c r="DU11" s="290">
        <v>11478.65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1"/>
        <v>2.76</v>
      </c>
      <c r="EC11" s="212" t="s">
        <v>392</v>
      </c>
      <c r="EE11" s="160" t="s">
        <v>568</v>
      </c>
      <c r="EF11" s="308" t="s">
        <v>575</v>
      </c>
      <c r="EG11" s="306" t="s">
        <v>434</v>
      </c>
      <c r="EH11" s="160">
        <f>$O$12*$Z$37*$AP$5</f>
        <v>1.8279042931702738</v>
      </c>
      <c r="EI11" s="160" t="s">
        <v>392</v>
      </c>
    </row>
    <row r="12" spans="1:139" ht="15" customHeight="1" thickTop="1" thickBot="1" x14ac:dyDescent="0.35">
      <c r="A12" s="220"/>
      <c r="B12" s="221"/>
      <c r="C12" s="221"/>
      <c r="D12" s="226" t="s">
        <v>48</v>
      </c>
      <c r="E12" s="231" t="s">
        <v>56</v>
      </c>
      <c r="F12" s="227">
        <f t="shared" si="5"/>
        <v>8.5903083700440544E-2</v>
      </c>
      <c r="G12" s="221"/>
      <c r="H12" s="232">
        <f>'Tabula data'!B18*(1-'Tabula RefULG 1'!C45)</f>
        <v>3.9000000000000004</v>
      </c>
      <c r="I12" s="238"/>
      <c r="K12" s="81" t="s">
        <v>59</v>
      </c>
      <c r="L12" s="250">
        <v>0</v>
      </c>
      <c r="M12" s="251">
        <v>1</v>
      </c>
      <c r="N12" s="251" t="s">
        <v>54</v>
      </c>
      <c r="O12" s="252">
        <f>H8</f>
        <v>9.1</v>
      </c>
      <c r="P12" s="253" t="s">
        <v>45</v>
      </c>
      <c r="Q12" s="30">
        <f t="shared" si="6"/>
        <v>2</v>
      </c>
      <c r="R12" s="30">
        <f t="shared" si="7"/>
        <v>18.2</v>
      </c>
      <c r="S12" s="30">
        <f t="shared" si="8"/>
        <v>0</v>
      </c>
      <c r="T12" s="30">
        <f t="shared" si="9"/>
        <v>0</v>
      </c>
      <c r="U12" s="30">
        <f t="shared" si="10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15401248.000000002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F12" s="81" t="s">
        <v>298</v>
      </c>
      <c r="BG12" s="81">
        <f>AP44+AP45</f>
        <v>55678583.999999985</v>
      </c>
      <c r="BJ12" s="81" t="s">
        <v>446</v>
      </c>
      <c r="BK12" s="204">
        <f>BG26</f>
        <v>14285844.090000004</v>
      </c>
      <c r="BQ12" s="154" t="s">
        <v>389</v>
      </c>
      <c r="BR12" s="81" t="s">
        <v>390</v>
      </c>
      <c r="BS12" s="81" t="s">
        <v>399</v>
      </c>
      <c r="BT12" s="204">
        <f t="shared" si="12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 s="81">
        <v>184.38</v>
      </c>
      <c r="CL12" s="81" t="s">
        <v>505</v>
      </c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3"/>
        <v>abs2D</v>
      </c>
      <c r="DI12" s="81" t="s">
        <v>434</v>
      </c>
      <c r="DJ12" s="204">
        <f t="shared" si="14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1.38</v>
      </c>
      <c r="DT12" s="291">
        <v>5.3600000000000002E-2</v>
      </c>
      <c r="DU12" s="290">
        <v>25.67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1"/>
        <v>2.61</v>
      </c>
      <c r="EC12" s="212" t="s">
        <v>392</v>
      </c>
      <c r="EE12" s="160" t="s">
        <v>568</v>
      </c>
      <c r="EF12" s="307" t="s">
        <v>576</v>
      </c>
      <c r="EG12" s="306" t="s">
        <v>434</v>
      </c>
      <c r="EH12" s="160">
        <f>$O$13*$Z$37*$AP$5</f>
        <v>1.6029314570877786</v>
      </c>
      <c r="EI12" s="160" t="s">
        <v>392</v>
      </c>
    </row>
    <row r="13" spans="1:139" ht="15" customHeight="1" thickTop="1" thickBot="1" x14ac:dyDescent="0.35">
      <c r="A13" s="220"/>
      <c r="B13" s="221"/>
      <c r="C13" s="221"/>
      <c r="D13" s="226" t="s">
        <v>52</v>
      </c>
      <c r="E13" s="231" t="s">
        <v>56</v>
      </c>
      <c r="F13" s="227">
        <f t="shared" si="5"/>
        <v>7.5330396475770944E-2</v>
      </c>
      <c r="G13" s="221"/>
      <c r="H13" s="232">
        <f>'Tabula data'!B19*(1-'Tabula RefULG 1'!C45)</f>
        <v>3.4200000000000008</v>
      </c>
      <c r="I13" s="238"/>
      <c r="K13" s="81" t="s">
        <v>60</v>
      </c>
      <c r="L13" s="250">
        <v>0</v>
      </c>
      <c r="M13" s="251">
        <v>1</v>
      </c>
      <c r="N13" s="251" t="s">
        <v>54</v>
      </c>
      <c r="O13" s="252">
        <f>H9</f>
        <v>7.9799999999999995</v>
      </c>
      <c r="P13" s="253" t="s">
        <v>50</v>
      </c>
      <c r="Q13" s="30">
        <f t="shared" si="6"/>
        <v>2</v>
      </c>
      <c r="R13" s="30">
        <f t="shared" si="7"/>
        <v>15.959999999999999</v>
      </c>
      <c r="S13" s="30">
        <f t="shared" si="8"/>
        <v>0</v>
      </c>
      <c r="T13" s="30">
        <f t="shared" si="9"/>
        <v>0</v>
      </c>
      <c r="U13" s="30">
        <f t="shared" si="10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0.59788861556532236</v>
      </c>
      <c r="AB13" s="261" t="s">
        <v>5</v>
      </c>
      <c r="AC13" s="261"/>
      <c r="AD13" s="261" t="s">
        <v>22</v>
      </c>
      <c r="AE13" s="264">
        <f>SUM(AE15:AE20)</f>
        <v>252917.7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 s="81">
        <v>338.41</v>
      </c>
      <c r="CL13" s="81" t="s">
        <v>505</v>
      </c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3"/>
        <v>abs2N</v>
      </c>
      <c r="DI13" s="81" t="s">
        <v>434</v>
      </c>
      <c r="DJ13" s="204">
        <f t="shared" si="14"/>
        <v>0.15</v>
      </c>
      <c r="DK13" s="81" t="s">
        <v>392</v>
      </c>
      <c r="DL13" s="81" t="s">
        <v>400</v>
      </c>
      <c r="DM13" s="286">
        <f t="shared" si="0"/>
        <v>4.2738000775550018E-2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1.28</v>
      </c>
      <c r="DT13" s="291">
        <v>0.13800000000000001</v>
      </c>
      <c r="DU13" s="290">
        <v>9.31</v>
      </c>
      <c r="DV13" s="291" t="s">
        <v>509</v>
      </c>
      <c r="DW13" s="291">
        <v>2E-16</v>
      </c>
      <c r="DX13" s="81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1"/>
        <v>0.67800000000000005</v>
      </c>
      <c r="EC13" s="212" t="s">
        <v>392</v>
      </c>
      <c r="EE13" s="160" t="s">
        <v>568</v>
      </c>
      <c r="EF13" s="309" t="s">
        <v>577</v>
      </c>
      <c r="EG13" s="306" t="s">
        <v>434</v>
      </c>
      <c r="EH13" s="160">
        <f>$O$11*$Z$37*$AP$6</f>
        <v>0.14355391402279769</v>
      </c>
      <c r="EI13" s="160" t="s">
        <v>392</v>
      </c>
    </row>
    <row r="14" spans="1:139" ht="15" customHeight="1" thickTop="1" thickBot="1" x14ac:dyDescent="0.35">
      <c r="A14" s="220"/>
      <c r="B14" s="221"/>
      <c r="C14" s="221"/>
      <c r="D14" s="233" t="s">
        <v>65</v>
      </c>
      <c r="E14" s="234"/>
      <c r="F14" s="234"/>
      <c r="G14" s="234"/>
      <c r="H14" s="235"/>
      <c r="I14" s="225"/>
      <c r="K14" s="81" t="s">
        <v>61</v>
      </c>
      <c r="L14" s="250" t="s">
        <v>62</v>
      </c>
      <c r="M14" s="251">
        <v>1</v>
      </c>
      <c r="N14" s="251" t="s">
        <v>63</v>
      </c>
      <c r="O14" s="252">
        <f>B7</f>
        <v>138.80000000000001</v>
      </c>
      <c r="P14" s="253"/>
      <c r="Q14" s="30">
        <f t="shared" si="6"/>
        <v>0.66596194503171247</v>
      </c>
      <c r="R14" s="30">
        <f t="shared" si="7"/>
        <v>92.435517970401705</v>
      </c>
      <c r="S14" s="30">
        <f t="shared" si="8"/>
        <v>64582085.440000005</v>
      </c>
      <c r="T14" s="30">
        <f t="shared" si="9"/>
        <v>465288.8</v>
      </c>
      <c r="U14" s="30">
        <f t="shared" si="10"/>
        <v>15401248.000000002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AP4*0.2</f>
        <v>4.2738000775550018E-2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F14" s="81" t="s">
        <v>286</v>
      </c>
      <c r="BG14" s="81">
        <f>1/(1/AP20+1/AP24)</f>
        <v>54.044499381953031</v>
      </c>
      <c r="BJ14" s="81" t="s">
        <v>447</v>
      </c>
      <c r="BK14" s="81">
        <f>BG9</f>
        <v>599.93652733118972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 s="81">
        <v>11.07</v>
      </c>
      <c r="CL14" s="81" t="s">
        <v>505</v>
      </c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3"/>
        <v>abs3D</v>
      </c>
      <c r="DI14" s="81" t="s">
        <v>434</v>
      </c>
      <c r="DJ14" s="204">
        <f t="shared" si="14"/>
        <v>0.14000000000000001</v>
      </c>
      <c r="DK14" s="81" t="s">
        <v>392</v>
      </c>
      <c r="DL14" s="81" t="s">
        <v>401</v>
      </c>
      <c r="DM14" s="286">
        <f t="shared" si="0"/>
        <v>8.5476001551100037E-2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1.54</v>
      </c>
      <c r="DT14" s="291">
        <v>2.47E-2</v>
      </c>
      <c r="DU14" s="290">
        <v>62.39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1"/>
        <v>2.1800000000000002</v>
      </c>
      <c r="EC14" s="212" t="s">
        <v>392</v>
      </c>
      <c r="EE14" s="160" t="s">
        <v>568</v>
      </c>
      <c r="EF14" s="309" t="s">
        <v>578</v>
      </c>
      <c r="EG14" s="306" t="s">
        <v>434</v>
      </c>
      <c r="EH14" s="160">
        <f>$O$10*$Z$37*$AP$6</f>
        <v>0.12803457196627901</v>
      </c>
      <c r="EI14" s="160" t="s">
        <v>392</v>
      </c>
    </row>
    <row r="15" spans="1:139" ht="15" customHeight="1" thickTop="1" thickBot="1" x14ac:dyDescent="0.35">
      <c r="A15" s="220"/>
      <c r="B15" s="221"/>
      <c r="C15" s="221"/>
      <c r="D15" s="236"/>
      <c r="E15" s="221"/>
      <c r="F15" s="221"/>
      <c r="G15" s="221"/>
      <c r="H15" s="222"/>
      <c r="I15" s="221"/>
      <c r="K15" s="81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6"/>
        <v>0.27062537995411134</v>
      </c>
      <c r="R15" s="30">
        <f t="shared" si="7"/>
        <v>0</v>
      </c>
      <c r="S15" s="30">
        <v>0</v>
      </c>
      <c r="T15" s="30">
        <f>S15/O25</f>
        <v>0</v>
      </c>
      <c r="U15" s="30">
        <f>VLOOKUP(N15,$X$5:$AG$391,10,0)*O25</f>
        <v>4927507.2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AP5*0.2</f>
        <v>8.5476001551100037E-2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F15" s="81" t="s">
        <v>294</v>
      </c>
      <c r="BG15" s="204">
        <f>AP12</f>
        <v>15401248.000000002</v>
      </c>
      <c r="BJ15" s="81" t="s">
        <v>448</v>
      </c>
      <c r="BK15" s="81">
        <f>AP38</f>
        <v>98.069903536977506</v>
      </c>
      <c r="BQ15" s="154" t="s">
        <v>389</v>
      </c>
      <c r="BR15" s="81" t="s">
        <v>390</v>
      </c>
      <c r="BS15" s="81" t="s">
        <v>401</v>
      </c>
      <c r="BT15" s="204">
        <f t="shared" ref="BT15:BT17" si="15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 s="81">
        <v>322.19</v>
      </c>
      <c r="CL15" s="81" t="s">
        <v>505</v>
      </c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3"/>
        <v>abs3N</v>
      </c>
      <c r="DI15" s="81" t="s">
        <v>434</v>
      </c>
      <c r="DJ15" s="204">
        <f t="shared" si="14"/>
        <v>0.11</v>
      </c>
      <c r="DK15" s="81" t="s">
        <v>392</v>
      </c>
      <c r="DL15" s="81" t="s">
        <v>402</v>
      </c>
      <c r="DM15" s="286">
        <f t="shared" si="0"/>
        <v>0.8078618754085708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1.08</v>
      </c>
      <c r="DT15" s="291">
        <v>2.8799999999999999E-2</v>
      </c>
      <c r="DU15" s="290">
        <v>37.61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1"/>
        <v>0.79</v>
      </c>
      <c r="EC15" s="212" t="s">
        <v>392</v>
      </c>
      <c r="EE15" s="160" t="s">
        <v>568</v>
      </c>
      <c r="EF15" s="309" t="s">
        <v>579</v>
      </c>
      <c r="EG15" s="306" t="s">
        <v>434</v>
      </c>
      <c r="EH15" s="160">
        <f>$O$12*$Z$37*$AP$6</f>
        <v>0.16812620561228556</v>
      </c>
      <c r="EI15" s="160" t="s">
        <v>392</v>
      </c>
    </row>
    <row r="16" spans="1:139" ht="15" customHeight="1" thickTop="1" thickBot="1" x14ac:dyDescent="0.35">
      <c r="A16" s="237"/>
      <c r="B16" s="219"/>
      <c r="C16" s="219"/>
      <c r="D16" s="226" t="s">
        <v>69</v>
      </c>
      <c r="E16" s="221"/>
      <c r="F16" s="238">
        <f>B4/B26</f>
        <v>1.2730693424117541</v>
      </c>
      <c r="G16" s="231" t="s">
        <v>70</v>
      </c>
      <c r="H16" s="222"/>
      <c r="I16" s="221"/>
      <c r="K16" s="81" t="s">
        <v>67</v>
      </c>
      <c r="L16" s="250">
        <v>0</v>
      </c>
      <c r="M16" s="251">
        <v>1</v>
      </c>
      <c r="N16" s="251" t="s">
        <v>68</v>
      </c>
      <c r="O16" s="252">
        <f>'Tabula data'!B15</f>
        <v>11.5</v>
      </c>
      <c r="P16" s="253"/>
      <c r="Q16" s="30">
        <f t="shared" si="6"/>
        <v>3.5</v>
      </c>
      <c r="R16" s="30">
        <f t="shared" si="7"/>
        <v>40.25</v>
      </c>
      <c r="S16" s="30">
        <f t="shared" ref="S16:S28" si="16">VLOOKUP(N16,$X$5:$AE$391,8,0)*O16</f>
        <v>419980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3"/>
      <c r="X16" s="220"/>
      <c r="Y16" s="221" t="s">
        <v>46</v>
      </c>
      <c r="Z16" s="221">
        <v>0.03</v>
      </c>
      <c r="AA16" s="221"/>
      <c r="AB16" s="221"/>
      <c r="AC16" s="221"/>
      <c r="AD16" s="268">
        <v>0.18</v>
      </c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AP6*0.2+0.8</f>
        <v>0.8078618754085708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Q16" s="154" t="s">
        <v>389</v>
      </c>
      <c r="BR16" s="81" t="s">
        <v>390</v>
      </c>
      <c r="BS16" s="81" t="s">
        <v>402</v>
      </c>
      <c r="BT16" s="204">
        <f t="shared" si="15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 s="81">
        <v>221.71</v>
      </c>
      <c r="CL16" s="81" t="s">
        <v>505</v>
      </c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J16" s="204"/>
      <c r="DL16" s="81" t="s">
        <v>403</v>
      </c>
      <c r="DM16" s="286">
        <f t="shared" si="0"/>
        <v>3.4336951123650754E-2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2.57</v>
      </c>
      <c r="DT16" s="291">
        <v>7.9299999999999995E-2</v>
      </c>
      <c r="DU16" s="290">
        <v>32.380000000000003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1"/>
        <v>0.88700000000000001</v>
      </c>
      <c r="EC16" s="212" t="s">
        <v>392</v>
      </c>
      <c r="EE16" s="160" t="s">
        <v>568</v>
      </c>
      <c r="EF16" s="309" t="s">
        <v>580</v>
      </c>
      <c r="EG16" s="306" t="s">
        <v>434</v>
      </c>
      <c r="EH16" s="160">
        <f>$O$13*$Z$37*$AP$6</f>
        <v>0.14743374953692734</v>
      </c>
      <c r="EI16" s="160" t="s">
        <v>392</v>
      </c>
    </row>
    <row r="17" spans="1:139" ht="15" customHeight="1" thickTop="1" thickBot="1" x14ac:dyDescent="0.35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2.1598297213622293</v>
      </c>
      <c r="G17" s="231"/>
      <c r="H17" s="222"/>
      <c r="I17" s="221"/>
      <c r="K17" s="81" t="s">
        <v>71</v>
      </c>
      <c r="L17" s="250">
        <v>0</v>
      </c>
      <c r="M17" s="251">
        <v>2</v>
      </c>
      <c r="N17" s="251" t="s">
        <v>25</v>
      </c>
      <c r="O17" s="252">
        <f>'Tabula data'!B10*'Tabula RefULG 1'!C42/2*(1-'Tabula RefULG 1'!C43)</f>
        <v>0.55275000000000052</v>
      </c>
      <c r="P17" s="253" t="s">
        <v>26</v>
      </c>
      <c r="Q17" s="30">
        <f t="shared" si="6"/>
        <v>0.59788861556532236</v>
      </c>
      <c r="R17" s="30">
        <f t="shared" si="7"/>
        <v>0.33048293225373226</v>
      </c>
      <c r="S17" s="30">
        <f t="shared" si="16"/>
        <v>139800.25867500014</v>
      </c>
      <c r="T17" s="30">
        <f t="shared" si="17"/>
        <v>252917.7</v>
      </c>
      <c r="U17" s="30">
        <f t="shared" si="18"/>
        <v>74057.445000000065</v>
      </c>
      <c r="V17" s="31"/>
      <c r="W17" s="3"/>
      <c r="X17" s="220"/>
      <c r="Y17" s="221" t="s">
        <v>269</v>
      </c>
      <c r="Z17" s="221">
        <v>3.5000000000000003E-2</v>
      </c>
      <c r="AA17" s="221">
        <v>3.5999999999999997E-2</v>
      </c>
      <c r="AB17" s="221">
        <v>26</v>
      </c>
      <c r="AC17" s="221">
        <v>1470</v>
      </c>
      <c r="AD17" s="268">
        <f>Z17/AA17</f>
        <v>0.97222222222222243</v>
      </c>
      <c r="AE17" s="222">
        <f>Z17*AB17*AC17</f>
        <v>1337.7000000000003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AP7*0.2</f>
        <v>3.4336951123650754E-2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F17" s="81" t="s">
        <v>295</v>
      </c>
      <c r="BG17" s="204">
        <f>SUM(BG12+BG5+BG10)</f>
        <v>112927627.10999998</v>
      </c>
      <c r="BJ17" s="81" t="s">
        <v>297</v>
      </c>
      <c r="BK17" s="81">
        <f>BG11</f>
        <v>174.01385681293297</v>
      </c>
      <c r="BQ17" s="154" t="s">
        <v>389</v>
      </c>
      <c r="BR17" s="81" t="s">
        <v>390</v>
      </c>
      <c r="BS17" s="81" t="s">
        <v>403</v>
      </c>
      <c r="BT17" s="204">
        <f t="shared" si="15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 s="81">
        <v>44.3</v>
      </c>
      <c r="CL17" s="81" t="s">
        <v>505</v>
      </c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3"/>
        <v>abs5D</v>
      </c>
      <c r="DI17" s="81" t="s">
        <v>434</v>
      </c>
      <c r="DJ17" s="204">
        <f t="shared" si="14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2.99</v>
      </c>
      <c r="DT17" s="291">
        <v>0.19900000000000001</v>
      </c>
      <c r="DU17" s="290">
        <v>15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1"/>
        <v>1.26</v>
      </c>
      <c r="EC17" s="212" t="s">
        <v>392</v>
      </c>
      <c r="EE17" s="160" t="s">
        <v>568</v>
      </c>
      <c r="EF17" s="309" t="s">
        <v>581</v>
      </c>
      <c r="EG17" s="306" t="s">
        <v>434</v>
      </c>
      <c r="EH17" s="160">
        <f>$O$11*$Z$37*$AP$7</f>
        <v>0.62697555904230085</v>
      </c>
      <c r="EI17" s="160" t="s">
        <v>392</v>
      </c>
    </row>
    <row r="18" spans="1:139" ht="15" customHeight="1" thickTop="1" thickBot="1" x14ac:dyDescent="0.35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2.1598297213622293</v>
      </c>
      <c r="G18" s="231"/>
      <c r="H18" s="222"/>
      <c r="I18" s="221"/>
      <c r="K18" s="81" t="s">
        <v>75</v>
      </c>
      <c r="L18" s="250">
        <v>0</v>
      </c>
      <c r="M18" s="251">
        <v>2</v>
      </c>
      <c r="N18" s="251" t="s">
        <v>25</v>
      </c>
      <c r="O18" s="252">
        <f>'Tabula data'!B10*(1-'Tabula RefULG 1'!C42)/2*(1-'Tabula RefULG 1'!C44)</f>
        <v>13.567500000000001</v>
      </c>
      <c r="P18" s="253" t="s">
        <v>39</v>
      </c>
      <c r="Q18" s="30">
        <f t="shared" si="6"/>
        <v>0.59788861556532236</v>
      </c>
      <c r="R18" s="30">
        <f t="shared" si="7"/>
        <v>8.1118537916825115</v>
      </c>
      <c r="S18" s="30">
        <f t="shared" si="16"/>
        <v>3431460.8947500004</v>
      </c>
      <c r="T18" s="30">
        <f t="shared" si="17"/>
        <v>252917.7</v>
      </c>
      <c r="U18" s="30">
        <f t="shared" si="18"/>
        <v>1817773.6500000001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F18" s="81" t="s">
        <v>449</v>
      </c>
      <c r="BG18" s="204">
        <f>BG17+BG7</f>
        <v>114936002.51928791</v>
      </c>
      <c r="BJ18" s="81" t="s">
        <v>298</v>
      </c>
      <c r="BK18" s="81">
        <f>BG12</f>
        <v>55678583.999999985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 s="81">
        <v>48.77</v>
      </c>
      <c r="CL18" s="81" t="s">
        <v>505</v>
      </c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3"/>
        <v>abs5N</v>
      </c>
      <c r="DI18" s="81" t="s">
        <v>434</v>
      </c>
      <c r="DJ18" s="204">
        <f t="shared" si="14"/>
        <v>0.34</v>
      </c>
      <c r="DK18" s="81" t="s">
        <v>392</v>
      </c>
      <c r="DL18" s="81" t="s">
        <v>404</v>
      </c>
      <c r="DM18" s="289">
        <f t="shared" si="0"/>
        <v>502.91175202156336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2.76</v>
      </c>
      <c r="DT18" s="291">
        <v>3.6799999999999999E-2</v>
      </c>
      <c r="DU18" s="290">
        <v>74.95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1"/>
        <v>0.91600000000000004</v>
      </c>
      <c r="EC18" s="212" t="s">
        <v>392</v>
      </c>
      <c r="EE18" s="160" t="s">
        <v>568</v>
      </c>
      <c r="EF18" s="309" t="s">
        <v>582</v>
      </c>
      <c r="EG18" s="306" t="s">
        <v>434</v>
      </c>
      <c r="EH18" s="160">
        <f>$O$10*$Z$37*$AP$7</f>
        <v>0.55919441752421439</v>
      </c>
      <c r="EI18" s="160" t="s">
        <v>392</v>
      </c>
    </row>
    <row r="19" spans="1:139" ht="15" customHeight="1" thickTop="1" thickBot="1" x14ac:dyDescent="0.35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I19" s="231"/>
      <c r="K19" s="81" t="s">
        <v>79</v>
      </c>
      <c r="L19" s="250">
        <v>0</v>
      </c>
      <c r="M19" s="251">
        <v>2</v>
      </c>
      <c r="N19" s="251" t="s">
        <v>25</v>
      </c>
      <c r="O19" s="252">
        <f>'Tabula data'!B10*'Tabula RefULG 1'!C42/2*(1-'Tabula RefULG 1'!C43)</f>
        <v>0.55275000000000052</v>
      </c>
      <c r="P19" s="253" t="s">
        <v>45</v>
      </c>
      <c r="Q19" s="30">
        <f t="shared" si="6"/>
        <v>0.59788861556532236</v>
      </c>
      <c r="R19" s="30">
        <f t="shared" si="7"/>
        <v>0.33048293225373226</v>
      </c>
      <c r="S19" s="30">
        <f t="shared" si="16"/>
        <v>139800.25867500014</v>
      </c>
      <c r="T19" s="30">
        <f t="shared" si="17"/>
        <v>252917.7</v>
      </c>
      <c r="U19" s="30">
        <f t="shared" si="18"/>
        <v>74057.445000000065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SUM(O6:O9)*(1/(SUM(AD18:AD19)+1/8))</f>
        <v>502.91175202156336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F19" s="81" t="s">
        <v>450</v>
      </c>
      <c r="BG19" s="3">
        <f>BG4+BG6</f>
        <v>237.67894354391524</v>
      </c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437.39511721366375</v>
      </c>
      <c r="BU19" s="81" t="s">
        <v>392</v>
      </c>
      <c r="BV19" s="204">
        <v>654</v>
      </c>
      <c r="BX19" s="81" t="s">
        <v>459</v>
      </c>
      <c r="BY19" s="81">
        <f>AVERAGE(SUM(O6:O9),2*O27)*(1/(1/8+SUM(AD18:AD19)/2+SUM(AD23:AD25)/4))</f>
        <v>820.73428152492681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 s="81">
        <v>71.56</v>
      </c>
      <c r="CL19" s="81" t="s">
        <v>505</v>
      </c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3"/>
        <v>CfiD</v>
      </c>
      <c r="DI19" s="81" t="s">
        <v>434</v>
      </c>
      <c r="DJ19" s="204">
        <f t="shared" si="14"/>
        <v>31500000</v>
      </c>
      <c r="DK19" s="81" t="s">
        <v>392</v>
      </c>
      <c r="DL19" s="81" t="s">
        <v>405</v>
      </c>
      <c r="DM19" s="289">
        <f t="shared" si="0"/>
        <v>441.63636363636368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2.61</v>
      </c>
      <c r="DT19" s="291">
        <v>4.3299999999999998E-2</v>
      </c>
      <c r="DU19" s="290">
        <v>60.28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1"/>
        <v>1.26</v>
      </c>
      <c r="EC19" s="212" t="s">
        <v>392</v>
      </c>
      <c r="EE19" s="160" t="s">
        <v>568</v>
      </c>
      <c r="EF19" s="307" t="s">
        <v>583</v>
      </c>
      <c r="EG19" s="306" t="s">
        <v>434</v>
      </c>
      <c r="EH19" s="160">
        <f>$O$12*$Z$37*$AP$7</f>
        <v>0.73429569977927123</v>
      </c>
      <c r="EI19" s="160" t="s">
        <v>392</v>
      </c>
    </row>
    <row r="20" spans="1:139" ht="15" customHeight="1" thickTop="1" thickBot="1" x14ac:dyDescent="0.35">
      <c r="A20" s="220"/>
      <c r="B20" s="221"/>
      <c r="C20" s="221"/>
      <c r="D20" s="226" t="s">
        <v>83</v>
      </c>
      <c r="E20" s="231"/>
      <c r="F20" s="239">
        <f>G4/B23</f>
        <v>0.17569659442724458</v>
      </c>
      <c r="G20" s="231"/>
      <c r="H20" s="222"/>
      <c r="I20" s="221"/>
      <c r="K20" s="81" t="s">
        <v>82</v>
      </c>
      <c r="L20" s="250">
        <v>0</v>
      </c>
      <c r="M20" s="251">
        <v>2</v>
      </c>
      <c r="N20" s="251" t="s">
        <v>25</v>
      </c>
      <c r="O20" s="252">
        <f>'Tabula data'!B10*(1-'Tabula RefULG 1'!C42)/2*(1-'Tabula RefULG 1'!C44)</f>
        <v>13.567500000000001</v>
      </c>
      <c r="P20" s="253" t="s">
        <v>50</v>
      </c>
      <c r="Q20" s="30">
        <f t="shared" si="6"/>
        <v>0.59788861556532236</v>
      </c>
      <c r="R20" s="30">
        <f t="shared" si="7"/>
        <v>8.1118537916825115</v>
      </c>
      <c r="S20" s="30">
        <f t="shared" si="16"/>
        <v>3431460.8947500004</v>
      </c>
      <c r="T20" s="30">
        <f t="shared" si="17"/>
        <v>252917.7</v>
      </c>
      <c r="U20" s="30">
        <f t="shared" si="18"/>
        <v>1817773.6500000001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SUM(O14)*1/(SUM(AD42:AD43)+1/6)</f>
        <v>441.63636363636368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J20" s="81" t="s">
        <v>451</v>
      </c>
      <c r="BK20" s="204">
        <f>BG7</f>
        <v>2008375.4092879263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386.06622516556297</v>
      </c>
      <c r="BU20" s="81" t="s">
        <v>392</v>
      </c>
      <c r="BV20" s="204">
        <v>701</v>
      </c>
      <c r="BX20" s="81" t="s">
        <v>460</v>
      </c>
      <c r="BY20" s="81">
        <f>AVERAGE(SUM(O6:O9),O26)*(1/(1/8+SUM(AD31:AD32)/2+SUM(AD18:AD19)/2))</f>
        <v>453.4751374640951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 s="81">
        <v>32.450000000000003</v>
      </c>
      <c r="CL20" s="81" t="s">
        <v>505</v>
      </c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3"/>
        <v>CfiN</v>
      </c>
      <c r="DI20" s="81" t="s">
        <v>434</v>
      </c>
      <c r="DJ20" s="204">
        <f t="shared" si="14"/>
        <v>67000000</v>
      </c>
      <c r="DK20" s="81" t="s">
        <v>392</v>
      </c>
      <c r="DL20" s="81" t="s">
        <v>406</v>
      </c>
      <c r="DM20" s="289">
        <f t="shared" si="0"/>
        <v>599.93652733118972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0.67800000000000005</v>
      </c>
      <c r="DT20" s="291">
        <v>0.221</v>
      </c>
      <c r="DU20" s="290">
        <v>3.07</v>
      </c>
      <c r="DV20" s="291">
        <v>2.1800000000000001E-3</v>
      </c>
      <c r="DW20" s="290" t="s">
        <v>516</v>
      </c>
      <c r="DY20" s="212" t="s">
        <v>568</v>
      </c>
      <c r="DZ20" s="295" t="s">
        <v>584</v>
      </c>
      <c r="EA20" s="292" t="s">
        <v>434</v>
      </c>
      <c r="EB20" s="293">
        <f t="shared" si="11"/>
        <v>1.1299999999999999</v>
      </c>
      <c r="EC20" s="212" t="s">
        <v>392</v>
      </c>
      <c r="EE20" s="160" t="s">
        <v>568</v>
      </c>
      <c r="EF20" s="308" t="s">
        <v>584</v>
      </c>
      <c r="EG20" s="306" t="s">
        <v>434</v>
      </c>
      <c r="EH20" s="160">
        <f>$O$13*$Z$37*$AP$7</f>
        <v>0.64392084442182251</v>
      </c>
      <c r="EI20" s="160" t="s">
        <v>392</v>
      </c>
    </row>
    <row r="21" spans="1:139" ht="15" customHeight="1" thickTop="1" thickBot="1" x14ac:dyDescent="0.35">
      <c r="A21" s="220"/>
      <c r="B21" s="221"/>
      <c r="C21" s="221"/>
      <c r="D21" s="226" t="s">
        <v>86</v>
      </c>
      <c r="E21" s="231"/>
      <c r="F21" s="239">
        <f>G4/B6</f>
        <v>0.17569659442724458</v>
      </c>
      <c r="G21" s="231"/>
      <c r="H21" s="222"/>
      <c r="I21" s="221"/>
      <c r="K21" s="81" t="s">
        <v>84</v>
      </c>
      <c r="L21" s="250">
        <v>0</v>
      </c>
      <c r="M21" s="251">
        <v>2</v>
      </c>
      <c r="N21" s="251" t="s">
        <v>54</v>
      </c>
      <c r="O21" s="252">
        <f>H10</f>
        <v>2.9700000000000006</v>
      </c>
      <c r="P21" s="253" t="s">
        <v>26</v>
      </c>
      <c r="Q21" s="30">
        <f t="shared" si="6"/>
        <v>2</v>
      </c>
      <c r="R21" s="30">
        <f t="shared" si="7"/>
        <v>5.9400000000000013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3"/>
      <c r="X21" s="260" t="s">
        <v>85</v>
      </c>
      <c r="Y21" s="261"/>
      <c r="Z21" s="262" t="s">
        <v>21</v>
      </c>
      <c r="AA21" s="263">
        <f>(1/(1/8+SUM(AD23:AD25)+1/8))</f>
        <v>1.7363344051446945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</f>
        <v>599.93652733118972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J21" s="81" t="s">
        <v>452</v>
      </c>
      <c r="BK21" s="204">
        <f>BG27</f>
        <v>1730559.7907120739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770.08362028301883</v>
      </c>
      <c r="BU21" s="81" t="s">
        <v>392</v>
      </c>
      <c r="BV21" s="204">
        <v>1380</v>
      </c>
      <c r="BX21" s="81" t="s">
        <v>461</v>
      </c>
      <c r="BY21" s="81">
        <f>AVERAGE(SUM(O6:O9),O14)*(1/(1/8+SUM(AD42:AD43)/2+SUM(AD18:AD19)/2))</f>
        <v>505.66548303993136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 s="81">
        <v>88.56</v>
      </c>
      <c r="CL21" s="81" t="s">
        <v>505</v>
      </c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3"/>
        <v>CiD</v>
      </c>
      <c r="DI21" s="81" t="s">
        <v>434</v>
      </c>
      <c r="DJ21" s="204">
        <f t="shared" si="14"/>
        <v>2700000</v>
      </c>
      <c r="DK21" s="81" t="s">
        <v>392</v>
      </c>
      <c r="DL21" s="81" t="s">
        <v>407</v>
      </c>
      <c r="DM21" s="289">
        <f t="shared" si="0"/>
        <v>134.38800526315791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2.1800000000000002</v>
      </c>
      <c r="DT21" s="291">
        <v>0.41299999999999998</v>
      </c>
      <c r="DU21" s="290">
        <v>5.29</v>
      </c>
      <c r="DV21" s="291">
        <v>1.1999999999999999E-7</v>
      </c>
      <c r="DW21" s="290" t="s">
        <v>510</v>
      </c>
      <c r="DY21" s="212" t="s">
        <v>568</v>
      </c>
      <c r="DZ21" s="295" t="s">
        <v>585</v>
      </c>
      <c r="EA21" s="292" t="s">
        <v>434</v>
      </c>
      <c r="EB21" s="293">
        <f t="shared" si="11"/>
        <v>1</v>
      </c>
      <c r="EC21" s="212" t="s">
        <v>392</v>
      </c>
      <c r="EE21" s="160" t="s">
        <v>568</v>
      </c>
      <c r="EF21" s="308" t="s">
        <v>585</v>
      </c>
      <c r="EG21" s="306" t="s">
        <v>434</v>
      </c>
      <c r="EH21" s="160">
        <f>$O$11*$Z$37*$AP$42</f>
        <v>0.54024695145143486</v>
      </c>
      <c r="EI21" s="160" t="s">
        <v>392</v>
      </c>
    </row>
    <row r="22" spans="1:139" ht="15" customHeight="1" thickTop="1" thickBot="1" x14ac:dyDescent="0.35">
      <c r="A22" s="237"/>
      <c r="B22" s="219"/>
      <c r="C22" s="219"/>
      <c r="D22" s="220" t="s">
        <v>88</v>
      </c>
      <c r="E22" s="221"/>
      <c r="F22" s="227">
        <f>G4/B26</f>
        <v>8.1347428776204975E-2</v>
      </c>
      <c r="G22" s="221"/>
      <c r="H22" s="222"/>
      <c r="I22" s="221"/>
      <c r="K22" s="81" t="s">
        <v>87</v>
      </c>
      <c r="L22" s="250">
        <v>0</v>
      </c>
      <c r="M22" s="251">
        <v>2</v>
      </c>
      <c r="N22" s="251" t="s">
        <v>54</v>
      </c>
      <c r="O22" s="252">
        <f>H11</f>
        <v>3.3300000000000005</v>
      </c>
      <c r="P22" s="253" t="s">
        <v>39</v>
      </c>
      <c r="Q22" s="30">
        <f t="shared" si="6"/>
        <v>2</v>
      </c>
      <c r="R22" s="30">
        <f t="shared" si="7"/>
        <v>6.660000000000001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 Ref 1'!B60+SUM(R10:R13)+R16</f>
        <v>134.38800526315791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Q22" s="154" t="s">
        <v>389</v>
      </c>
      <c r="BR22" s="81" t="s">
        <v>390</v>
      </c>
      <c r="BS22" s="81" t="s">
        <v>407</v>
      </c>
      <c r="BT22" s="204">
        <f t="shared" ref="BT22" si="19">AR22</f>
        <v>259</v>
      </c>
      <c r="BU22" s="81" t="s">
        <v>392</v>
      </c>
      <c r="BV22" s="204">
        <v>259</v>
      </c>
      <c r="BX22" s="81" t="s">
        <v>462</v>
      </c>
      <c r="BY22" s="81">
        <f>AVERAGE(SUM(O27),O26)*(1/(1/8+SUM(AD31:AD32)/2+SUM(AD23:AD25)/4))</f>
        <v>496.23660080826215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 s="81">
        <v>-73.040000000000006</v>
      </c>
      <c r="CL22" s="81" t="s">
        <v>505</v>
      </c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3"/>
        <v>CiN</v>
      </c>
      <c r="DI22" s="81" t="s">
        <v>434</v>
      </c>
      <c r="DJ22" s="204">
        <f t="shared" si="14"/>
        <v>1700000</v>
      </c>
      <c r="DK22" s="81" t="s">
        <v>392</v>
      </c>
      <c r="DL22" s="81" t="s">
        <v>408</v>
      </c>
      <c r="DM22" s="289">
        <f t="shared" si="0"/>
        <v>129.98879175602485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0.79</v>
      </c>
      <c r="DT22" s="291">
        <v>7.1099999999999997E-2</v>
      </c>
      <c r="DU22" s="290">
        <v>11.11</v>
      </c>
      <c r="DV22" s="290" t="s">
        <v>509</v>
      </c>
      <c r="DW22" s="291">
        <v>2E-16</v>
      </c>
      <c r="DX22" s="81" t="s">
        <v>510</v>
      </c>
      <c r="DY22" s="212" t="s">
        <v>568</v>
      </c>
      <c r="DZ22" s="295" t="s">
        <v>586</v>
      </c>
      <c r="EA22" s="292" t="s">
        <v>434</v>
      </c>
      <c r="EB22" s="293">
        <f t="shared" si="11"/>
        <v>1.1200000000000001</v>
      </c>
      <c r="EC22" s="212" t="s">
        <v>392</v>
      </c>
      <c r="EE22" s="160" t="s">
        <v>568</v>
      </c>
      <c r="EF22" s="308" t="s">
        <v>586</v>
      </c>
      <c r="EG22" s="306" t="s">
        <v>434</v>
      </c>
      <c r="EH22" s="160">
        <f>$O$10*$Z$37*$AP$42</f>
        <v>0.48184187561884734</v>
      </c>
      <c r="EI22" s="160" t="s">
        <v>392</v>
      </c>
    </row>
    <row r="23" spans="1:139" ht="15" customHeight="1" thickTop="1" thickBot="1" x14ac:dyDescent="0.35">
      <c r="A23" s="223" t="s">
        <v>91</v>
      </c>
      <c r="B23" s="224">
        <f>B17+B6</f>
        <v>258.39999999999998</v>
      </c>
      <c r="C23" s="234" t="s">
        <v>9</v>
      </c>
      <c r="D23" s="220"/>
      <c r="E23" s="221"/>
      <c r="F23" s="221"/>
      <c r="G23" s="221"/>
      <c r="H23" s="222"/>
      <c r="I23" s="221"/>
      <c r="K23" s="81" t="s">
        <v>89</v>
      </c>
      <c r="L23" s="250">
        <v>0</v>
      </c>
      <c r="M23" s="251">
        <v>2</v>
      </c>
      <c r="N23" s="251" t="s">
        <v>54</v>
      </c>
      <c r="O23" s="252">
        <f>H12</f>
        <v>3.9000000000000004</v>
      </c>
      <c r="P23" s="253" t="s">
        <v>45</v>
      </c>
      <c r="Q23" s="30">
        <f t="shared" si="6"/>
        <v>2</v>
      </c>
      <c r="R23" s="30">
        <f t="shared" si="7"/>
        <v>7.8000000000000007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129.98879175602485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E23" s="208"/>
      <c r="BF23" s="208" t="s">
        <v>453</v>
      </c>
      <c r="BJ23" s="81" t="s">
        <v>295</v>
      </c>
      <c r="BK23" s="204">
        <f>BK9+BK10+BK11+BK12+BK18</f>
        <v>141499315.29000002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s="81" t="s">
        <v>463</v>
      </c>
      <c r="BY23" s="81">
        <f>AVERAGE(SUM(O27),O14)*(1/(1/8+SUM(AD42:AD43)/2+SUM(AD23:AD25)/4))</f>
        <v>555.7786267107125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 s="81">
        <v>-0.02</v>
      </c>
      <c r="CL23" s="81">
        <v>0.99</v>
      </c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DF23" s="81" t="s">
        <v>389</v>
      </c>
      <c r="DG23" s="81" t="s">
        <v>390</v>
      </c>
      <c r="DH23" s="81" t="str">
        <f t="shared" si="13"/>
        <v>CwD</v>
      </c>
      <c r="DI23" s="81" t="s">
        <v>434</v>
      </c>
      <c r="DJ23" s="204">
        <f t="shared" si="14"/>
        <v>16300000</v>
      </c>
      <c r="DK23" s="81" t="s">
        <v>392</v>
      </c>
      <c r="DL23" s="81" t="s">
        <v>409</v>
      </c>
      <c r="DM23" s="289">
        <f t="shared" si="0"/>
        <v>61.580281690140851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0.88700000000000001</v>
      </c>
      <c r="DT23" s="291">
        <v>9.3899999999999997E-2</v>
      </c>
      <c r="DU23" s="290">
        <v>9.44</v>
      </c>
      <c r="DV23" s="290" t="s">
        <v>509</v>
      </c>
      <c r="DW23" s="291">
        <v>2E-16</v>
      </c>
      <c r="DX23" s="81" t="s">
        <v>510</v>
      </c>
      <c r="DY23" s="212" t="s">
        <v>568</v>
      </c>
      <c r="DZ23" s="294" t="s">
        <v>587</v>
      </c>
      <c r="EA23" s="292" t="s">
        <v>434</v>
      </c>
      <c r="EB23" s="293">
        <f t="shared" si="11"/>
        <v>1.08</v>
      </c>
      <c r="EC23" s="212" t="s">
        <v>392</v>
      </c>
      <c r="EE23" s="160" t="s">
        <v>568</v>
      </c>
      <c r="EF23" s="307" t="s">
        <v>587</v>
      </c>
      <c r="EG23" s="306" t="s">
        <v>434</v>
      </c>
      <c r="EH23" s="160">
        <f>$O$12*$Z$37*$AP$42</f>
        <v>0.63272165485303178</v>
      </c>
      <c r="EI23" s="160" t="s">
        <v>392</v>
      </c>
    </row>
    <row r="24" spans="1:139" ht="15" customHeight="1" thickTop="1" thickBot="1" x14ac:dyDescent="0.35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0.4628482972136222</v>
      </c>
      <c r="G24" s="221"/>
      <c r="H24" s="222"/>
      <c r="I24" s="221"/>
      <c r="K24" s="81" t="s">
        <v>92</v>
      </c>
      <c r="L24" s="250">
        <v>0</v>
      </c>
      <c r="M24" s="251">
        <v>2</v>
      </c>
      <c r="N24" s="251" t="s">
        <v>54</v>
      </c>
      <c r="O24" s="252">
        <f>H13</f>
        <v>3.4200000000000008</v>
      </c>
      <c r="P24" s="253" t="s">
        <v>50</v>
      </c>
      <c r="Q24" s="30">
        <f t="shared" si="6"/>
        <v>2</v>
      </c>
      <c r="R24" s="30">
        <f t="shared" si="7"/>
        <v>6.8400000000000016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SUM(O14)*1/(SUM(AD44:AD46)+2/2)</f>
        <v>61.580281690140851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F24" s="81" t="s">
        <v>281</v>
      </c>
      <c r="BG24" s="81">
        <f>1/(1/AP37+1/AP40)</f>
        <v>65.435012639223629</v>
      </c>
      <c r="BJ24" s="81" t="s">
        <v>122</v>
      </c>
      <c r="BK24" s="204">
        <f>BK20+BK21</f>
        <v>3738935.2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s="81" t="s">
        <v>464</v>
      </c>
      <c r="BY24" s="81">
        <f>AVERAGE(SUM(O26),O14)*(1/(1/8+SUM(AD42:AD43)/2+SUM(AD31:AD32)/4))</f>
        <v>531.99999999999989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 s="81">
        <v>-0.08</v>
      </c>
      <c r="CL24" s="81">
        <v>0.93</v>
      </c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3"/>
        <v>CwiD</v>
      </c>
      <c r="DI24" s="81" t="s">
        <v>434</v>
      </c>
      <c r="DJ24" s="204">
        <f t="shared" si="14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1.26</v>
      </c>
      <c r="DT24" s="291">
        <v>3.1099999999999999E-2</v>
      </c>
      <c r="DU24" s="290">
        <v>40.47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1"/>
        <v>0.68799999999999994</v>
      </c>
      <c r="EC24" s="212" t="s">
        <v>392</v>
      </c>
      <c r="EE24" s="160" t="s">
        <v>568</v>
      </c>
      <c r="EF24" s="306" t="s">
        <v>588</v>
      </c>
      <c r="EG24" s="306" t="s">
        <v>434</v>
      </c>
      <c r="EH24" s="160">
        <f>$O$13*$Z$37*$AP$42</f>
        <v>0.5548482204095817</v>
      </c>
      <c r="EI24" s="160" t="s">
        <v>392</v>
      </c>
    </row>
    <row r="25" spans="1:139" ht="15" customHeight="1" thickTop="1" thickBot="1" x14ac:dyDescent="0.35">
      <c r="A25" s="237"/>
      <c r="B25" s="219"/>
      <c r="C25" s="219"/>
      <c r="D25" s="220"/>
      <c r="E25" s="221"/>
      <c r="F25" s="221"/>
      <c r="G25" s="221"/>
      <c r="H25" s="222"/>
      <c r="I25" s="221"/>
      <c r="K25" s="81" t="s">
        <v>96</v>
      </c>
      <c r="L25" s="250">
        <v>0</v>
      </c>
      <c r="M25" s="251">
        <v>2</v>
      </c>
      <c r="N25" s="251" t="s">
        <v>20</v>
      </c>
      <c r="O25" s="252">
        <f>'Tabula data'!B7</f>
        <v>161.6</v>
      </c>
      <c r="P25" s="253" t="s">
        <v>97</v>
      </c>
      <c r="Q25" s="30">
        <f t="shared" si="6"/>
        <v>0.27062537995411134</v>
      </c>
      <c r="R25" s="30">
        <f t="shared" si="7"/>
        <v>43.73306140058439</v>
      </c>
      <c r="S25" s="30">
        <f t="shared" si="16"/>
        <v>10696627.199999999</v>
      </c>
      <c r="T25" s="30">
        <f t="shared" si="17"/>
        <v>66192</v>
      </c>
      <c r="U25" s="30">
        <f t="shared" si="18"/>
        <v>4927507.2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F25" s="81" t="s">
        <v>282</v>
      </c>
      <c r="BG25" s="3">
        <f>AP39</f>
        <v>53.588194736842112</v>
      </c>
      <c r="BJ25" s="81" t="s">
        <v>454</v>
      </c>
      <c r="BK25" s="204">
        <f>BK23+BK24</f>
        <v>145238250.49000001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 s="81">
        <v>-7.0000000000000007E-2</v>
      </c>
      <c r="CL25" s="81">
        <v>0.94</v>
      </c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3"/>
        <v>CwiN</v>
      </c>
      <c r="DI25" s="81" t="s">
        <v>434</v>
      </c>
      <c r="DJ25" s="204">
        <f t="shared" si="14"/>
        <v>5730000</v>
      </c>
      <c r="DK25" s="81" t="s">
        <v>392</v>
      </c>
      <c r="DL25" s="81" t="s">
        <v>410</v>
      </c>
      <c r="DM25" s="286">
        <f t="shared" si="0"/>
        <v>0.50018377436986472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0.91600000000000004</v>
      </c>
      <c r="DT25" s="291">
        <v>7.7600000000000002E-2</v>
      </c>
      <c r="DU25" s="290">
        <v>11.81</v>
      </c>
      <c r="DV25" s="290" t="s">
        <v>509</v>
      </c>
      <c r="DW25" s="291">
        <v>2E-16</v>
      </c>
      <c r="DX25" s="81" t="s">
        <v>510</v>
      </c>
      <c r="EA25" s="292"/>
      <c r="EE25" s="160"/>
      <c r="EF25" s="160"/>
      <c r="EG25" s="306"/>
      <c r="EH25" s="160"/>
      <c r="EI25" s="160"/>
    </row>
    <row r="26" spans="1:139" ht="15" customHeight="1" thickTop="1" thickBot="1" x14ac:dyDescent="0.35">
      <c r="A26" s="223" t="s">
        <v>100</v>
      </c>
      <c r="B26" s="241">
        <f>'Tabula data'!B6</f>
        <v>558.1</v>
      </c>
      <c r="C26" s="235" t="s">
        <v>9</v>
      </c>
      <c r="D26" s="220"/>
      <c r="E26" s="221"/>
      <c r="F26" s="221"/>
      <c r="G26" s="221"/>
      <c r="H26" s="222"/>
      <c r="I26" s="221"/>
      <c r="K26" s="81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119.59999999999997</v>
      </c>
      <c r="P26" s="253"/>
      <c r="Q26" s="30">
        <f t="shared" si="6"/>
        <v>1.4549653579676673</v>
      </c>
      <c r="R26" s="30">
        <f t="shared" si="7"/>
        <v>174.01385681293297</v>
      </c>
      <c r="S26" s="30">
        <f t="shared" si="16"/>
        <v>55678583.999999985</v>
      </c>
      <c r="T26" s="30">
        <f t="shared" si="17"/>
        <v>465540</v>
      </c>
      <c r="U26" s="30">
        <f t="shared" si="18"/>
        <v>55678583.999999985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SUM(O17:O20,O25)/SUM(O$17:O$25,2*O$28,O$26)</f>
        <v>0.50018377436986472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F26" s="81" t="s">
        <v>295</v>
      </c>
      <c r="BG26" s="204">
        <f>AP31+AP32</f>
        <v>14285844.090000004</v>
      </c>
      <c r="BQ26" s="154" t="s">
        <v>389</v>
      </c>
      <c r="BR26" s="81" t="s">
        <v>390</v>
      </c>
      <c r="BS26" s="81" t="s">
        <v>410</v>
      </c>
      <c r="BT26" s="204">
        <f t="shared" ref="BT26:BT50" si="20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 s="81">
        <v>-7.0000000000000007E-2</v>
      </c>
      <c r="CL26" s="81">
        <v>0.94</v>
      </c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3"/>
        <v>CwN</v>
      </c>
      <c r="DI26" s="81" t="s">
        <v>434</v>
      </c>
      <c r="DJ26" s="204">
        <f t="shared" si="14"/>
        <v>5800000</v>
      </c>
      <c r="DK26" s="81" t="s">
        <v>392</v>
      </c>
      <c r="DL26" s="81" t="s">
        <v>411</v>
      </c>
      <c r="DM26" s="286">
        <f t="shared" si="0"/>
        <v>0.14881376608355085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1.26</v>
      </c>
      <c r="DT26" s="291">
        <v>1.38E-2</v>
      </c>
      <c r="DU26" s="290">
        <v>91.49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E26" s="160"/>
      <c r="EF26" s="306"/>
      <c r="EG26" s="306"/>
      <c r="EH26" s="160"/>
      <c r="EI26" s="160"/>
    </row>
    <row r="27" spans="1:139" ht="15" customHeight="1" thickTop="1" thickBot="1" x14ac:dyDescent="0.35">
      <c r="A27" s="220"/>
      <c r="B27" s="240">
        <f>SUM(O6:O25)</f>
        <v>558.30000000000007</v>
      </c>
      <c r="C27" s="222"/>
      <c r="D27" s="220"/>
      <c r="E27" s="221"/>
      <c r="F27" s="221"/>
      <c r="G27" s="221"/>
      <c r="H27" s="222"/>
      <c r="I27" s="221"/>
      <c r="K27" s="81" t="s">
        <v>101</v>
      </c>
      <c r="L27" s="250">
        <v>1</v>
      </c>
      <c r="M27" s="251">
        <v>1</v>
      </c>
      <c r="N27" s="251" t="s">
        <v>85</v>
      </c>
      <c r="O27" s="252">
        <f>SUM(O6:O9)</f>
        <v>172.7595</v>
      </c>
      <c r="P27" s="253"/>
      <c r="Q27" s="30">
        <f t="shared" si="6"/>
        <v>1.7363344051446945</v>
      </c>
      <c r="R27" s="30">
        <f t="shared" si="7"/>
        <v>299.96826366559486</v>
      </c>
      <c r="S27" s="30">
        <f t="shared" si="16"/>
        <v>34102725.300000004</v>
      </c>
      <c r="T27" s="30">
        <f t="shared" si="17"/>
        <v>197400.00000000003</v>
      </c>
      <c r="U27" s="30">
        <f t="shared" si="18"/>
        <v>34102725.300000004</v>
      </c>
      <c r="V27" s="31"/>
      <c r="W27" s="3"/>
      <c r="X27" s="260" t="s">
        <v>99</v>
      </c>
      <c r="Y27" s="261"/>
      <c r="Z27" s="262" t="s">
        <v>21</v>
      </c>
      <c r="AA27" s="263">
        <f>1/(1/10+SUM(AD29:AD32)+1/6)</f>
        <v>1.4549653579676673</v>
      </c>
      <c r="AB27" s="261" t="s">
        <v>5</v>
      </c>
      <c r="AC27" s="261"/>
      <c r="AD27" s="261" t="s">
        <v>22</v>
      </c>
      <c r="AE27" s="264">
        <f>SUM(AE29:AE33)</f>
        <v>465540</v>
      </c>
      <c r="AF27" s="14" t="s">
        <v>23</v>
      </c>
      <c r="AG27" s="14">
        <f>SUM(AE29:AE32)</f>
        <v>465540</v>
      </c>
      <c r="AH27" s="14"/>
      <c r="AM27" s="154" t="s">
        <v>389</v>
      </c>
      <c r="AN27" s="81" t="s">
        <v>390</v>
      </c>
      <c r="AO27" s="81" t="s">
        <v>411</v>
      </c>
      <c r="AP27" s="81">
        <f>SUM(2*O28)/SUM(O$17:O$25,2*O$28,O$26)</f>
        <v>0.14881376608355085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F27" s="81" t="s">
        <v>122</v>
      </c>
      <c r="BG27" s="204">
        <f>AP30</f>
        <v>1730559.7907120739</v>
      </c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0"/>
        <v>0.111</v>
      </c>
      <c r="BU27" s="81" t="s">
        <v>392</v>
      </c>
      <c r="BV27" s="204">
        <v>0.111</v>
      </c>
      <c r="BZ27" s="211">
        <f t="shared" ref="BZ27:BZ28" si="21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 s="81">
        <v>89.38</v>
      </c>
      <c r="CL27" s="81" t="s">
        <v>505</v>
      </c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J27" s="204"/>
      <c r="DL27" s="81" t="s">
        <v>412</v>
      </c>
      <c r="DM27" s="286">
        <f t="shared" si="0"/>
        <v>3.5885403835944164E-2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1.1299999999999999</v>
      </c>
      <c r="DT27" s="291">
        <v>1.5299999999999999E-2</v>
      </c>
      <c r="DU27" s="290">
        <v>74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12300000</v>
      </c>
      <c r="EC27" s="212" t="s">
        <v>392</v>
      </c>
      <c r="EE27" s="160" t="s">
        <v>568</v>
      </c>
      <c r="EF27" s="306" t="s">
        <v>399</v>
      </c>
      <c r="EG27" s="306" t="s">
        <v>434</v>
      </c>
      <c r="EH27" s="310">
        <f>$AP12</f>
        <v>15401248.000000002</v>
      </c>
      <c r="EI27" s="160" t="s">
        <v>392</v>
      </c>
    </row>
    <row r="28" spans="1:139" ht="15" customHeight="1" thickTop="1" thickBot="1" x14ac:dyDescent="0.35">
      <c r="A28" s="220"/>
      <c r="B28" s="221"/>
      <c r="C28" s="222"/>
      <c r="D28" s="220"/>
      <c r="E28" s="221"/>
      <c r="F28" s="221"/>
      <c r="G28" s="221"/>
      <c r="H28" s="222"/>
      <c r="I28" s="221"/>
      <c r="K28" s="81" t="s">
        <v>102</v>
      </c>
      <c r="L28" s="250">
        <v>2</v>
      </c>
      <c r="M28" s="251">
        <v>2</v>
      </c>
      <c r="N28" s="251" t="s">
        <v>85</v>
      </c>
      <c r="O28" s="252">
        <f>SUM(O17:O20)</f>
        <v>28.240500000000004</v>
      </c>
      <c r="P28" s="253"/>
      <c r="Q28" s="30">
        <f t="shared" si="6"/>
        <v>1.7363344051446945</v>
      </c>
      <c r="R28" s="30">
        <f t="shared" si="7"/>
        <v>49.034951768488753</v>
      </c>
      <c r="S28" s="30">
        <f t="shared" si="16"/>
        <v>5574674.700000002</v>
      </c>
      <c r="T28" s="30">
        <f t="shared" si="17"/>
        <v>197400.00000000003</v>
      </c>
      <c r="U28" s="30">
        <f t="shared" si="18"/>
        <v>5574674.700000002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SUM(O21:O24)/SUM(O$17:O$25,2*O$28,O$26)</f>
        <v>3.5885403835944164E-2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F28" s="81" t="s">
        <v>449</v>
      </c>
      <c r="BG28" s="204">
        <f>BG26+BG27</f>
        <v>16016403.880712077</v>
      </c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0"/>
        <v>0.251</v>
      </c>
      <c r="BU28" s="81" t="s">
        <v>392</v>
      </c>
      <c r="BV28" s="204">
        <v>0.251</v>
      </c>
      <c r="BZ28" s="211">
        <f t="shared" si="21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 s="81">
        <v>148.78</v>
      </c>
      <c r="CL28" s="81" t="s">
        <v>505</v>
      </c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J28" s="204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1</v>
      </c>
      <c r="DT28" s="291">
        <v>4.7399999999999998E-2</v>
      </c>
      <c r="DU28" s="290">
        <v>21.16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2">DS34</f>
        <v>2290000</v>
      </c>
      <c r="EC28" s="212" t="s">
        <v>392</v>
      </c>
      <c r="EE28" s="160" t="s">
        <v>568</v>
      </c>
      <c r="EF28" s="308" t="s">
        <v>396</v>
      </c>
      <c r="EG28" s="306" t="s">
        <v>434</v>
      </c>
      <c r="EH28" s="310">
        <f>$AP9</f>
        <v>2008375.4092879263</v>
      </c>
      <c r="EI28" s="160" t="s">
        <v>392</v>
      </c>
    </row>
    <row r="29" spans="1:139" ht="15" customHeight="1" thickTop="1" thickBot="1" x14ac:dyDescent="0.35">
      <c r="A29" s="220"/>
      <c r="B29" s="221"/>
      <c r="C29" s="222"/>
      <c r="D29" s="220"/>
      <c r="E29" s="221"/>
      <c r="F29" s="221"/>
      <c r="G29" s="221"/>
      <c r="H29" s="222"/>
      <c r="I29" s="221"/>
      <c r="L29" s="255"/>
      <c r="M29" s="256"/>
      <c r="N29" s="256"/>
      <c r="O29" s="256"/>
      <c r="P29" s="257"/>
      <c r="X29" s="271"/>
      <c r="Y29" s="272" t="s">
        <v>103</v>
      </c>
      <c r="Z29" s="272">
        <v>0.02</v>
      </c>
      <c r="AA29" s="272">
        <v>0.18</v>
      </c>
      <c r="AB29" s="272">
        <v>550</v>
      </c>
      <c r="AC29" s="272">
        <v>1880</v>
      </c>
      <c r="AD29" s="273">
        <f>Z29/AA29</f>
        <v>0.11111111111111112</v>
      </c>
      <c r="AE29" s="274">
        <f>Z29*AB29*AC29</f>
        <v>20680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F29" s="81" t="s">
        <v>450</v>
      </c>
      <c r="BG29" s="3">
        <f>BG24+BG25</f>
        <v>119.02320737606574</v>
      </c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 s="81">
        <v>192.86</v>
      </c>
      <c r="CL29" s="81" t="s">
        <v>505</v>
      </c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J29" s="204"/>
      <c r="DL29" s="81" t="s">
        <v>413</v>
      </c>
      <c r="DM29" s="288">
        <f t="shared" si="0"/>
        <v>1730559.7907120739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1.1200000000000001</v>
      </c>
      <c r="DT29" s="291">
        <v>0.12</v>
      </c>
      <c r="DU29" s="290">
        <v>9.3800000000000008</v>
      </c>
      <c r="DV29" s="290" t="s">
        <v>509</v>
      </c>
      <c r="DW29" s="291">
        <v>2E-16</v>
      </c>
      <c r="DX29" s="81" t="s">
        <v>510</v>
      </c>
      <c r="DY29" s="212" t="s">
        <v>568</v>
      </c>
      <c r="DZ29" s="295" t="s">
        <v>397</v>
      </c>
      <c r="EA29" s="292" t="s">
        <v>434</v>
      </c>
      <c r="EB29" s="293">
        <f t="shared" si="22"/>
        <v>17400000</v>
      </c>
      <c r="EC29" s="212" t="s">
        <v>392</v>
      </c>
      <c r="EE29" s="160" t="s">
        <v>568</v>
      </c>
      <c r="EF29" s="308" t="s">
        <v>397</v>
      </c>
      <c r="EG29" s="306" t="s">
        <v>434</v>
      </c>
      <c r="EH29" s="310">
        <f>$AP10</f>
        <v>23146317.810000002</v>
      </c>
      <c r="EI29" s="160" t="s">
        <v>392</v>
      </c>
    </row>
    <row r="30" spans="1:139" ht="15" customHeight="1" thickTop="1" thickBot="1" x14ac:dyDescent="0.35">
      <c r="A30" s="237"/>
      <c r="B30" s="219"/>
      <c r="C30" s="242"/>
      <c r="D30" s="237"/>
      <c r="E30" s="219"/>
      <c r="F30" s="219"/>
      <c r="G30" s="219"/>
      <c r="H30" s="242"/>
      <c r="I30" s="221"/>
      <c r="L30" s="81"/>
      <c r="M30" s="81"/>
      <c r="N30" s="81"/>
      <c r="Q30" s="81"/>
      <c r="R30" s="81"/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1730559.7907120739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0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 s="81">
        <v>148.13</v>
      </c>
      <c r="CL30" s="81" t="s">
        <v>505</v>
      </c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J30" s="204"/>
      <c r="DL30" s="81" t="s">
        <v>414</v>
      </c>
      <c r="DM30" s="288">
        <f t="shared" si="0"/>
        <v>8711169.3900000006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1.08</v>
      </c>
      <c r="DT30" s="291">
        <v>2.0799999999999999E-2</v>
      </c>
      <c r="DU30" s="290">
        <v>51.88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2"/>
        <v>24200000</v>
      </c>
      <c r="EC30" s="212" t="s">
        <v>392</v>
      </c>
      <c r="EE30" s="160" t="s">
        <v>568</v>
      </c>
      <c r="EF30" s="308" t="s">
        <v>398</v>
      </c>
      <c r="EG30" s="306" t="s">
        <v>434</v>
      </c>
      <c r="EH30" s="310">
        <f>$AP11</f>
        <v>34102725.300000004</v>
      </c>
      <c r="EI30" s="160" t="s">
        <v>392</v>
      </c>
    </row>
    <row r="31" spans="1:139" ht="15" customHeight="1" thickTop="1" thickBot="1" x14ac:dyDescent="0.35">
      <c r="L31" s="81"/>
      <c r="M31" s="81"/>
      <c r="N31" s="81"/>
      <c r="Q31" s="69" t="s">
        <v>106</v>
      </c>
      <c r="R31" s="70">
        <f>SUM(R6:R9)+SUM(R10:R13)+0.5*R14+R16+SUM(R17:R24)+R25</f>
        <v>341.17643211441504</v>
      </c>
      <c r="S31" s="69" t="s">
        <v>107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8711169.3900000006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Q31" s="154" t="s">
        <v>389</v>
      </c>
      <c r="BR31" s="81" t="s">
        <v>390</v>
      </c>
      <c r="BS31" s="81" t="s">
        <v>414</v>
      </c>
      <c r="BT31" s="204">
        <f t="shared" si="20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 s="81">
        <v>122.4</v>
      </c>
      <c r="CL31" s="81" t="s">
        <v>505</v>
      </c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3"/>
        <v>f1D</v>
      </c>
      <c r="DI31" s="81" t="s">
        <v>434</v>
      </c>
      <c r="DJ31" s="204">
        <f t="shared" si="14"/>
        <v>0.06</v>
      </c>
      <c r="DK31" s="81" t="s">
        <v>392</v>
      </c>
      <c r="DL31" s="81" t="s">
        <v>415</v>
      </c>
      <c r="DM31" s="288">
        <f t="shared" si="0"/>
        <v>5574674.700000002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0.68799999999999994</v>
      </c>
      <c r="DT31" s="291">
        <v>2.2499999999999999E-2</v>
      </c>
      <c r="DU31" s="290">
        <v>30.61</v>
      </c>
      <c r="DV31" s="290" t="s">
        <v>509</v>
      </c>
      <c r="DW31" s="291">
        <v>2E-16</v>
      </c>
      <c r="DX31" s="81" t="s">
        <v>510</v>
      </c>
      <c r="EA31" s="292"/>
      <c r="EE31" s="160"/>
      <c r="EF31" s="160"/>
      <c r="EG31" s="306"/>
      <c r="EH31" s="160"/>
      <c r="EI31" s="160"/>
    </row>
    <row r="32" spans="1:139" ht="15" customHeight="1" thickTop="1" thickBot="1" x14ac:dyDescent="0.35">
      <c r="L32" s="81"/>
      <c r="M32" s="81"/>
      <c r="N32" s="81"/>
      <c r="Q32" s="81"/>
      <c r="R32" s="81">
        <f>G4*Z37</f>
        <v>21.337999999999997</v>
      </c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SUM(U28,U31)</f>
        <v>5574674.700000002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J32" s="81" t="s">
        <v>281</v>
      </c>
      <c r="BK32" s="81">
        <f>BK4+BK5</f>
        <v>168.72595091998096</v>
      </c>
      <c r="BQ32" s="154" t="s">
        <v>389</v>
      </c>
      <c r="BR32" s="81" t="s">
        <v>390</v>
      </c>
      <c r="BS32" s="81" t="s">
        <v>415</v>
      </c>
      <c r="BT32" s="204">
        <f t="shared" si="20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 s="81">
        <v>98.59</v>
      </c>
      <c r="CL32" s="81" t="s">
        <v>505</v>
      </c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3"/>
        <v>f1N</v>
      </c>
      <c r="DI32" s="81" t="s">
        <v>434</v>
      </c>
      <c r="DJ32" s="204">
        <f t="shared" si="14"/>
        <v>0.16</v>
      </c>
      <c r="DK32" s="81" t="s">
        <v>392</v>
      </c>
      <c r="DL32" s="81" t="s">
        <v>416</v>
      </c>
      <c r="DM32" s="286">
        <f t="shared" si="0"/>
        <v>0.10003675487397296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2360000000</v>
      </c>
      <c r="DT32" s="291">
        <v>239000000</v>
      </c>
      <c r="DU32" s="290">
        <v>9.8800000000000008</v>
      </c>
      <c r="DV32" s="290" t="s">
        <v>509</v>
      </c>
      <c r="DW32" s="291">
        <v>2E-16</v>
      </c>
      <c r="DX32" s="81" t="s">
        <v>510</v>
      </c>
      <c r="DY32" s="212" t="s">
        <v>568</v>
      </c>
      <c r="DZ32" s="295" t="s">
        <v>404</v>
      </c>
      <c r="EA32" s="292" t="s">
        <v>434</v>
      </c>
      <c r="EB32" s="293">
        <f>DS47</f>
        <v>302</v>
      </c>
      <c r="EC32" s="212" t="s">
        <v>392</v>
      </c>
      <c r="EE32" s="160" t="s">
        <v>568</v>
      </c>
      <c r="EF32" s="308" t="s">
        <v>404</v>
      </c>
      <c r="EG32" s="306" t="s">
        <v>434</v>
      </c>
      <c r="EH32" s="160">
        <f>$AP19</f>
        <v>502.91175202156336</v>
      </c>
      <c r="EI32" s="160" t="s">
        <v>392</v>
      </c>
    </row>
    <row r="33" spans="1:139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318" t="s">
        <v>112</v>
      </c>
      <c r="F33" s="319"/>
      <c r="G33" s="72" t="s">
        <v>113</v>
      </c>
      <c r="L33" s="81"/>
      <c r="M33" s="81"/>
      <c r="N33" s="81"/>
      <c r="Q33" s="81"/>
      <c r="R33" s="81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AP26*0.2</f>
        <v>0.10003675487397296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J33" s="81" t="s">
        <v>282</v>
      </c>
      <c r="BK33" s="3">
        <f>BK6+BK7</f>
        <v>187.97620000000001</v>
      </c>
      <c r="BQ33" s="154" t="s">
        <v>389</v>
      </c>
      <c r="BR33" s="81" t="s">
        <v>390</v>
      </c>
      <c r="BS33" s="81" t="s">
        <v>416</v>
      </c>
      <c r="BT33" s="204">
        <f t="shared" si="20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 s="81">
        <v>136.51</v>
      </c>
      <c r="CL33" s="81" t="s">
        <v>505</v>
      </c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3"/>
        <v>f2N</v>
      </c>
      <c r="DI33" s="81" t="s">
        <v>434</v>
      </c>
      <c r="DJ33" s="204">
        <f t="shared" si="14"/>
        <v>5.2999999999999999E-2</v>
      </c>
      <c r="DK33" s="81" t="s">
        <v>392</v>
      </c>
      <c r="DL33" s="81" t="s">
        <v>417</v>
      </c>
      <c r="DM33" s="286">
        <f t="shared" si="0"/>
        <v>2.976275321671017E-2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12300000</v>
      </c>
      <c r="DT33" s="291">
        <v>142000</v>
      </c>
      <c r="DU33" s="290">
        <v>86.7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3">DS48</f>
        <v>194</v>
      </c>
      <c r="EC33" s="212" t="s">
        <v>392</v>
      </c>
      <c r="EE33" s="160" t="s">
        <v>568</v>
      </c>
      <c r="EF33" s="308" t="s">
        <v>405</v>
      </c>
      <c r="EG33" s="306" t="s">
        <v>434</v>
      </c>
      <c r="EH33" s="160">
        <f>$AP20</f>
        <v>441.63636363636368</v>
      </c>
      <c r="EI33" s="160" t="s">
        <v>392</v>
      </c>
    </row>
    <row r="34" spans="1:139" ht="15" customHeight="1" thickTop="1" thickBot="1" x14ac:dyDescent="0.35">
      <c r="A34" s="73">
        <v>1</v>
      </c>
      <c r="B34" s="74">
        <f>B7*B38</f>
        <v>381.64628482972142</v>
      </c>
      <c r="C34" s="73"/>
      <c r="D34" s="73" t="s">
        <v>42</v>
      </c>
      <c r="E34" s="195">
        <v>21</v>
      </c>
      <c r="F34" s="195"/>
      <c r="G34" s="76">
        <f>VLOOKUP(D34,A6:B22,2,0)</f>
        <v>138.80000000000001</v>
      </c>
      <c r="L34" s="81"/>
      <c r="M34" s="81"/>
      <c r="N34" s="81"/>
      <c r="Q34" s="81">
        <f>25+13+18</f>
        <v>56</v>
      </c>
      <c r="R34" s="81"/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AP27*0.2</f>
        <v>2.976275321671017E-2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J34" s="81" t="s">
        <v>291</v>
      </c>
      <c r="BK34" s="204">
        <f>BK10+BK9</f>
        <v>37432161.900000006</v>
      </c>
      <c r="BQ34" s="154" t="s">
        <v>389</v>
      </c>
      <c r="BR34" s="81" t="s">
        <v>390</v>
      </c>
      <c r="BS34" s="81" t="s">
        <v>417</v>
      </c>
      <c r="BT34" s="204">
        <f t="shared" si="20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 s="81">
        <v>186.01</v>
      </c>
      <c r="CL34" s="81" t="s">
        <v>505</v>
      </c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3"/>
        <v>f3D</v>
      </c>
      <c r="DI34" s="81" t="s">
        <v>434</v>
      </c>
      <c r="DJ34" s="204">
        <f t="shared" si="14"/>
        <v>0.65</v>
      </c>
      <c r="DK34" s="81" t="s">
        <v>392</v>
      </c>
      <c r="DL34" s="81" t="s">
        <v>418</v>
      </c>
      <c r="DM34" s="286">
        <f t="shared" si="0"/>
        <v>0.80717708076718886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2290000</v>
      </c>
      <c r="DT34" s="291">
        <v>12200</v>
      </c>
      <c r="DU34" s="290">
        <v>188.24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3"/>
        <v>503</v>
      </c>
      <c r="EC34" s="212" t="s">
        <v>392</v>
      </c>
      <c r="EE34" s="160" t="s">
        <v>568</v>
      </c>
      <c r="EF34" s="309" t="s">
        <v>406</v>
      </c>
      <c r="EG34" s="306" t="s">
        <v>434</v>
      </c>
      <c r="EH34" s="160">
        <f>$AP21</f>
        <v>599.93652733118972</v>
      </c>
      <c r="EI34" s="160" t="s">
        <v>392</v>
      </c>
    </row>
    <row r="35" spans="1:139" ht="15" customHeight="1" thickTop="1" thickBot="1" x14ac:dyDescent="0.35">
      <c r="A35" s="73">
        <v>2</v>
      </c>
      <c r="B35" s="74">
        <f>B4-B34</f>
        <v>328.85371517027858</v>
      </c>
      <c r="C35" s="73"/>
      <c r="D35" s="73" t="s">
        <v>116</v>
      </c>
      <c r="E35" s="77">
        <v>18</v>
      </c>
      <c r="F35" s="77"/>
      <c r="G35" s="76">
        <f>VLOOKUP(D35,A7:B23,2,0)</f>
        <v>119.59999999999997</v>
      </c>
      <c r="L35" s="81"/>
      <c r="M35" s="81"/>
      <c r="N35" s="81" t="s">
        <v>114</v>
      </c>
      <c r="O35" s="3">
        <f>SUM(R6:R9,R15,R17:R20,R25)</f>
        <v>163.90867312921415</v>
      </c>
      <c r="P35" s="3"/>
      <c r="Q35" s="81">
        <f>Q34/5</f>
        <v>11.2</v>
      </c>
      <c r="R35" s="81"/>
      <c r="X35" s="260" t="s">
        <v>115</v>
      </c>
      <c r="Y35" s="261"/>
      <c r="Z35" s="262" t="s">
        <v>21</v>
      </c>
      <c r="AA35" s="275">
        <v>2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AP28*0.2+0.8</f>
        <v>0.80717708076718886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J35" s="81" t="s">
        <v>285</v>
      </c>
      <c r="BK35" s="81">
        <f>BK15+BK14</f>
        <v>698.00643086816717</v>
      </c>
      <c r="BQ35" s="154" t="s">
        <v>389</v>
      </c>
      <c r="BR35" s="81" t="s">
        <v>390</v>
      </c>
      <c r="BS35" s="81" t="s">
        <v>418</v>
      </c>
      <c r="BT35" s="204">
        <f t="shared" si="20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 s="81">
        <v>200.04</v>
      </c>
      <c r="CL35" s="81" t="s">
        <v>505</v>
      </c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3"/>
        <v>f3N</v>
      </c>
      <c r="DI35" s="81" t="s">
        <v>434</v>
      </c>
      <c r="DJ35" s="204">
        <f t="shared" si="14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17400000</v>
      </c>
      <c r="DT35" s="291">
        <v>189000</v>
      </c>
      <c r="DU35" s="290">
        <v>92.44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3"/>
        <v>111</v>
      </c>
      <c r="EC35" s="212" t="s">
        <v>392</v>
      </c>
      <c r="EE35" s="160" t="s">
        <v>568</v>
      </c>
      <c r="EF35" s="309" t="s">
        <v>407</v>
      </c>
      <c r="EG35" s="306" t="s">
        <v>434</v>
      </c>
      <c r="EH35" s="161">
        <f>$AP22</f>
        <v>134.38800526315791</v>
      </c>
      <c r="EI35" s="160" t="s">
        <v>392</v>
      </c>
    </row>
    <row r="36" spans="1:139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320" t="s">
        <v>119</v>
      </c>
      <c r="F36" s="314"/>
      <c r="G36" s="76">
        <f>B17</f>
        <v>0</v>
      </c>
      <c r="L36" s="81"/>
      <c r="M36" s="81"/>
      <c r="N36" s="81" t="s">
        <v>117</v>
      </c>
      <c r="O36" s="3">
        <f>SUM(R10:R13,R21:R24)</f>
        <v>90.8</v>
      </c>
      <c r="Q36" s="81"/>
      <c r="R36" s="81"/>
      <c r="X36" s="271"/>
      <c r="Y36" s="272" t="s">
        <v>16</v>
      </c>
      <c r="Z36" s="272">
        <v>1.361</v>
      </c>
      <c r="AA36" s="272" t="s">
        <v>5</v>
      </c>
      <c r="AB36" s="272"/>
      <c r="AC36" s="272" t="s">
        <v>608</v>
      </c>
      <c r="AD36" s="272">
        <f>(AA35-(1-AD37)*Z36)/0.25</f>
        <v>3.9169999999999998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J36" s="81" t="s">
        <v>457</v>
      </c>
      <c r="BK36" s="3">
        <f>BK32+BK33</f>
        <v>356.70215091998097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 s="81">
        <v>-244.53</v>
      </c>
      <c r="CL36" s="81" t="s">
        <v>505</v>
      </c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3"/>
        <v>f5D</v>
      </c>
      <c r="DI36" s="81" t="s">
        <v>434</v>
      </c>
      <c r="DJ36" s="204">
        <f t="shared" si="14"/>
        <v>7.0000000000000007E-2</v>
      </c>
      <c r="DK36" s="81" t="s">
        <v>392</v>
      </c>
      <c r="DL36" s="81" t="s">
        <v>419</v>
      </c>
      <c r="DM36" s="289">
        <f t="shared" si="0"/>
        <v>171.57359707851492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24200000</v>
      </c>
      <c r="DT36" s="291">
        <v>235000</v>
      </c>
      <c r="DU36" s="290">
        <v>102.9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77.5</v>
      </c>
      <c r="EC36" s="212" t="s">
        <v>392</v>
      </c>
      <c r="EE36" s="160" t="s">
        <v>568</v>
      </c>
      <c r="EF36" s="311" t="s">
        <v>409</v>
      </c>
      <c r="EG36" s="306" t="s">
        <v>434</v>
      </c>
      <c r="EH36" s="160">
        <f>$AP24</f>
        <v>61.580281690140851</v>
      </c>
      <c r="EI36" s="160" t="s">
        <v>392</v>
      </c>
    </row>
    <row r="37" spans="1:139" ht="15" customHeight="1" thickTop="1" thickBot="1" x14ac:dyDescent="0.35">
      <c r="L37" s="81"/>
      <c r="M37" s="81"/>
      <c r="N37" s="81" t="s">
        <v>120</v>
      </c>
      <c r="O37" s="3">
        <f>'Verwarming Tabula'!B60</f>
        <v>138.03320000000002</v>
      </c>
      <c r="Q37" s="81"/>
      <c r="R37" s="81"/>
      <c r="X37" s="237"/>
      <c r="Y37" s="219" t="s">
        <v>121</v>
      </c>
      <c r="Z37" s="219">
        <v>0.47</v>
      </c>
      <c r="AA37" s="219"/>
      <c r="AB37" s="219"/>
      <c r="AC37" s="219" t="s">
        <v>607</v>
      </c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SUM(O17:O20)*(1/(SUM(AD18:AD19)+1/8))+O25*(1/(SUM(AD9:AD10)/2+1/8))</f>
        <v>171.57359707851492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0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 s="81">
        <v>-234.52</v>
      </c>
      <c r="CL37" s="81" t="s">
        <v>505</v>
      </c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3"/>
        <v>f5N</v>
      </c>
      <c r="DI37" s="81" t="s">
        <v>434</v>
      </c>
      <c r="DJ37" s="204">
        <f t="shared" si="14"/>
        <v>0.13</v>
      </c>
      <c r="DK37" s="81" t="s">
        <v>392</v>
      </c>
      <c r="DL37" s="81" t="s">
        <v>420</v>
      </c>
      <c r="DM37" s="289">
        <f t="shared" si="0"/>
        <v>98.069903536977506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-7.39</v>
      </c>
      <c r="DT37" s="291">
        <v>9.8100000000000007E-2</v>
      </c>
      <c r="DU37" s="290">
        <v>-75.34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134.04825737265415</v>
      </c>
      <c r="EC37" s="212" t="s">
        <v>392</v>
      </c>
      <c r="EE37" s="160" t="s">
        <v>568</v>
      </c>
      <c r="EF37" s="311" t="s">
        <v>408</v>
      </c>
      <c r="EG37" s="306" t="s">
        <v>434</v>
      </c>
      <c r="EH37" s="160">
        <f>$AP23</f>
        <v>129.98879175602485</v>
      </c>
      <c r="EI37" s="160" t="s">
        <v>392</v>
      </c>
    </row>
    <row r="38" spans="1:139" ht="15" customHeight="1" thickTop="1" thickBot="1" x14ac:dyDescent="0.35">
      <c r="B38" s="3">
        <f>B4/B6</f>
        <v>2.7496130030959756</v>
      </c>
      <c r="L38" s="81"/>
      <c r="M38" s="81"/>
      <c r="N38" s="81"/>
      <c r="O38" s="3"/>
      <c r="Q38" s="81"/>
      <c r="R38" s="81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</f>
        <v>98.069903536977506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0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 s="81">
        <v>-191.49</v>
      </c>
      <c r="CL38" s="81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3"/>
        <v>hwD</v>
      </c>
      <c r="DI38" s="81" t="s">
        <v>434</v>
      </c>
      <c r="DJ38" s="204">
        <f t="shared" si="14"/>
        <v>281</v>
      </c>
      <c r="DK38" s="81" t="s">
        <v>392</v>
      </c>
      <c r="DL38" s="81" t="s">
        <v>421</v>
      </c>
      <c r="DM38" s="289">
        <f t="shared" si="0"/>
        <v>53.588194736842112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-18</v>
      </c>
      <c r="DT38" s="291">
        <v>6.47</v>
      </c>
      <c r="DU38" s="290">
        <v>-2.79</v>
      </c>
      <c r="DV38" s="290">
        <v>5.3200000000000001E-3</v>
      </c>
      <c r="DW38" s="290" t="s">
        <v>516</v>
      </c>
      <c r="DY38" s="212" t="s">
        <v>568</v>
      </c>
      <c r="DZ38" s="294" t="s">
        <v>400</v>
      </c>
      <c r="EA38" s="292" t="s">
        <v>434</v>
      </c>
      <c r="EB38" s="293">
        <f>DS42</f>
        <v>6.6699999999999995E-2</v>
      </c>
      <c r="EC38" s="212" t="s">
        <v>392</v>
      </c>
      <c r="EE38" s="160" t="s">
        <v>568</v>
      </c>
      <c r="EF38" s="307" t="s">
        <v>400</v>
      </c>
      <c r="EG38" s="306" t="s">
        <v>434</v>
      </c>
      <c r="EH38" s="160">
        <f>$AP14</f>
        <v>4.2738000775550018E-2</v>
      </c>
      <c r="EI38" s="160" t="s">
        <v>392</v>
      </c>
    </row>
    <row r="39" spans="1:139" ht="15" customHeight="1" thickTop="1" thickBot="1" x14ac:dyDescent="0.35">
      <c r="L39" s="81"/>
      <c r="M39" s="81"/>
      <c r="N39" s="81" t="s">
        <v>122</v>
      </c>
      <c r="O39" s="3">
        <f>B4*1.204*1012*5/1000000</f>
        <v>4.3285365199999992</v>
      </c>
      <c r="P39" s="81" t="s">
        <v>123</v>
      </c>
      <c r="R39" s="81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 Ref 1'!B139+SUM(R21:R24)</f>
        <v>53.588194736842112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0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 s="81">
        <v>-254.34</v>
      </c>
      <c r="CL39" s="81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3"/>
        <v>hwiD</v>
      </c>
      <c r="DI39" s="81" t="s">
        <v>434</v>
      </c>
      <c r="DJ39" s="204">
        <f t="shared" si="14"/>
        <v>705</v>
      </c>
      <c r="DK39" s="81" t="s">
        <v>392</v>
      </c>
      <c r="DL39" s="81" t="s">
        <v>422</v>
      </c>
      <c r="DM39" s="289">
        <f t="shared" si="0"/>
        <v>105.77605262684855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-14.7</v>
      </c>
      <c r="DT39" s="291">
        <v>4.1399999999999997</v>
      </c>
      <c r="DU39" s="290">
        <v>-3.56</v>
      </c>
      <c r="DV39" s="290">
        <v>3.6999999999999999E-4</v>
      </c>
      <c r="DW39" s="290" t="s">
        <v>510</v>
      </c>
      <c r="DY39" s="212" t="s">
        <v>568</v>
      </c>
      <c r="DZ39" s="295" t="s">
        <v>401</v>
      </c>
      <c r="EA39" s="292" t="s">
        <v>434</v>
      </c>
      <c r="EB39" s="293">
        <f t="shared" ref="EB39:EB42" si="24">DS43</f>
        <v>0.13800000000000001</v>
      </c>
      <c r="EC39" s="212" t="s">
        <v>392</v>
      </c>
      <c r="EE39" s="160" t="s">
        <v>568</v>
      </c>
      <c r="EF39" s="308" t="s">
        <v>401</v>
      </c>
      <c r="EG39" s="306" t="s">
        <v>434</v>
      </c>
      <c r="EH39" s="160">
        <f>$AP15</f>
        <v>8.5476001551100037E-2</v>
      </c>
      <c r="EI39" s="160" t="s">
        <v>392</v>
      </c>
    </row>
    <row r="40" spans="1:139" ht="15" customHeight="1" thickTop="1" thickBot="1" x14ac:dyDescent="0.35">
      <c r="A40" s="81" t="s">
        <v>271</v>
      </c>
      <c r="L40" s="81"/>
      <c r="M40" s="81"/>
      <c r="N40" s="81" t="s">
        <v>124</v>
      </c>
      <c r="O40" s="3">
        <f>SUM(S6:S9,S15)/1000000</f>
        <v>43.693935393149999</v>
      </c>
      <c r="P40" s="81" t="s">
        <v>125</v>
      </c>
      <c r="Q40" s="3">
        <f>SUM(U6:U9,U15)/1000000</f>
        <v>28.07382501</v>
      </c>
      <c r="R40" s="81"/>
      <c r="X40" s="260" t="s">
        <v>63</v>
      </c>
      <c r="Y40" s="261"/>
      <c r="Z40" s="262" t="s">
        <v>21</v>
      </c>
      <c r="AA40" s="263">
        <f>1/(1/10+SUM(AD42:AD46))</f>
        <v>0.66596194503171247</v>
      </c>
      <c r="AB40" s="261" t="s">
        <v>5</v>
      </c>
      <c r="AC40" s="261"/>
      <c r="AD40" s="261" t="s">
        <v>22</v>
      </c>
      <c r="AE40" s="264">
        <f>SUM(AE42:AE46)</f>
        <v>465288.8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SUM(O17:O20)*1/(SUM(AD15:AD17)+1/23)+O25*1/(SUM(AD7:AD8)+SUM(AD9:AD10)/2+1/23)</f>
        <v>105.77605262684855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0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 s="81">
        <v>-250.67</v>
      </c>
      <c r="CL40" s="81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3"/>
        <v>hwiN</v>
      </c>
      <c r="DI40" s="81" t="s">
        <v>434</v>
      </c>
      <c r="DJ40" s="204">
        <f t="shared" si="14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-19.3</v>
      </c>
      <c r="DT40" s="291">
        <v>7.03</v>
      </c>
      <c r="DU40" s="290">
        <v>-2.75</v>
      </c>
      <c r="DV40" s="290">
        <v>5.9899999999999997E-3</v>
      </c>
      <c r="DW40" s="290" t="s">
        <v>516</v>
      </c>
      <c r="DY40" s="212" t="s">
        <v>568</v>
      </c>
      <c r="DZ40" s="295" t="s">
        <v>402</v>
      </c>
      <c r="EA40" s="292" t="s">
        <v>434</v>
      </c>
      <c r="EB40" s="293">
        <f t="shared" si="24"/>
        <v>0.7</v>
      </c>
      <c r="EC40" s="212" t="s">
        <v>392</v>
      </c>
      <c r="EE40" s="160" t="s">
        <v>568</v>
      </c>
      <c r="EF40" s="308" t="s">
        <v>402</v>
      </c>
      <c r="EG40" s="306" t="s">
        <v>434</v>
      </c>
      <c r="EH40" s="160">
        <f>$AP16</f>
        <v>0.8078618754085708</v>
      </c>
      <c r="EI40" s="160" t="s">
        <v>392</v>
      </c>
    </row>
    <row r="41" spans="1:139" ht="15" customHeight="1" thickTop="1" thickBot="1" x14ac:dyDescent="0.35">
      <c r="A41" s="148" t="s">
        <v>272</v>
      </c>
      <c r="L41" s="81"/>
      <c r="M41" s="81"/>
      <c r="N41" s="81" t="s">
        <v>126</v>
      </c>
      <c r="O41" s="3">
        <f>SUM(S26:S27)/1000000</f>
        <v>89.781309299999975</v>
      </c>
      <c r="P41" s="81" t="s">
        <v>125</v>
      </c>
      <c r="Q41" s="3">
        <f>SUM(U26:U27)/1000000</f>
        <v>89.781309299999975</v>
      </c>
      <c r="R41" s="8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 s="81">
        <v>47.2</v>
      </c>
      <c r="CL41" s="8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3"/>
        <v>hwN</v>
      </c>
      <c r="DI41" s="81" t="s">
        <v>434</v>
      </c>
      <c r="DJ41" s="204">
        <f t="shared" si="14"/>
        <v>384</v>
      </c>
      <c r="DK41" s="81" t="s">
        <v>392</v>
      </c>
      <c r="DL41" s="81" t="s">
        <v>423</v>
      </c>
      <c r="DM41" s="286">
        <f t="shared" si="0"/>
        <v>0.14793585570564224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-16.8</v>
      </c>
      <c r="DT41" s="291">
        <v>3.86</v>
      </c>
      <c r="DU41" s="290">
        <v>-4.3600000000000003</v>
      </c>
      <c r="DV41" s="291">
        <v>1.2999999999999999E-5</v>
      </c>
      <c r="DW41" s="290" t="s">
        <v>510</v>
      </c>
      <c r="DY41" s="212" t="s">
        <v>568</v>
      </c>
      <c r="DZ41" s="292" t="s">
        <v>403</v>
      </c>
      <c r="EA41" s="292" t="s">
        <v>434</v>
      </c>
      <c r="EB41" s="293">
        <f t="shared" si="24"/>
        <v>5.9200000000000003E-2</v>
      </c>
      <c r="EC41" s="212" t="s">
        <v>392</v>
      </c>
      <c r="EE41" s="160" t="s">
        <v>568</v>
      </c>
      <c r="EF41" s="306" t="s">
        <v>403</v>
      </c>
      <c r="EG41" s="306" t="s">
        <v>434</v>
      </c>
      <c r="EH41" s="160">
        <f>$AP17</f>
        <v>3.4336951123650754E-2</v>
      </c>
      <c r="EI41" s="160" t="s">
        <v>392</v>
      </c>
    </row>
    <row r="42" spans="1:139" ht="15" customHeight="1" thickTop="1" thickBot="1" x14ac:dyDescent="0.35">
      <c r="A42" s="81" t="s">
        <v>273</v>
      </c>
      <c r="C42" s="81">
        <f>0.55</f>
        <v>0.55000000000000004</v>
      </c>
      <c r="L42" s="81"/>
      <c r="M42" s="81"/>
      <c r="N42" s="81" t="s">
        <v>127</v>
      </c>
      <c r="O42" s="3">
        <f>S14/1000000</f>
        <v>64.58208544</v>
      </c>
      <c r="Q42" s="3">
        <f>U14/1000000</f>
        <v>15.401248000000002</v>
      </c>
      <c r="R42" s="81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SUM(O26)/SUM($O$6:$O$14,$O$26,2*$O$27)</f>
        <v>0.14793585570564224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0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 s="81">
        <v>105.13</v>
      </c>
      <c r="CL42" s="81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3"/>
        <v>infD</v>
      </c>
      <c r="DI42" s="81" t="s">
        <v>434</v>
      </c>
      <c r="DJ42" s="204">
        <f t="shared" si="14"/>
        <v>53</v>
      </c>
      <c r="DK42" s="81" t="s">
        <v>392</v>
      </c>
      <c r="DL42" s="81" t="s">
        <v>424</v>
      </c>
      <c r="DM42" s="286">
        <f t="shared" si="0"/>
        <v>0.31511705571064025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6.6699999999999995E-2</v>
      </c>
      <c r="DT42" s="291">
        <v>4.2499999999999998E-4</v>
      </c>
      <c r="DU42" s="290">
        <v>156.81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24"/>
        <v>4.65E-2</v>
      </c>
      <c r="EC42" s="212" t="s">
        <v>392</v>
      </c>
      <c r="EE42" s="160" t="s">
        <v>568</v>
      </c>
      <c r="EF42" s="306" t="s">
        <v>518</v>
      </c>
      <c r="EG42" s="306" t="s">
        <v>434</v>
      </c>
      <c r="EH42" s="160">
        <f>$AP46</f>
        <v>2.9587171141128452E-2</v>
      </c>
      <c r="EI42" s="160" t="s">
        <v>392</v>
      </c>
    </row>
    <row r="43" spans="1:139" ht="15" customHeight="1" thickTop="1" thickBot="1" x14ac:dyDescent="0.35">
      <c r="A43" s="81" t="s">
        <v>274</v>
      </c>
      <c r="C43" s="81">
        <v>0.99</v>
      </c>
      <c r="D43" s="81" t="s">
        <v>275</v>
      </c>
      <c r="L43" s="81"/>
      <c r="M43" s="81"/>
      <c r="N43" s="81"/>
      <c r="Q43" s="81"/>
      <c r="R43" s="81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SUM(O26)/SUM(O$17:O$25,2*O$28,O$26)</f>
        <v>0.31511705571064025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0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 s="81">
        <v>0.11</v>
      </c>
      <c r="CL43" s="81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3"/>
        <v>infN</v>
      </c>
      <c r="DI43" s="81" t="s">
        <v>434</v>
      </c>
      <c r="DJ43" s="204">
        <f t="shared" si="14"/>
        <v>36.9</v>
      </c>
      <c r="DK43" s="81" t="s">
        <v>392</v>
      </c>
      <c r="DL43" s="81" t="s">
        <v>425</v>
      </c>
      <c r="DM43" s="288">
        <f t="shared" si="0"/>
        <v>27839291.999999993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0.13800000000000001</v>
      </c>
      <c r="DT43" s="291">
        <v>6.4599999999999998E-4</v>
      </c>
      <c r="DU43" s="290">
        <v>213.19</v>
      </c>
      <c r="DV43" s="290" t="s">
        <v>509</v>
      </c>
      <c r="DW43" s="291">
        <v>2E-16</v>
      </c>
      <c r="DX43" s="81" t="s">
        <v>510</v>
      </c>
      <c r="EA43" s="292"/>
      <c r="EE43" s="160"/>
      <c r="EF43" s="160"/>
      <c r="EG43" s="306"/>
      <c r="EH43" s="160"/>
      <c r="EI43" s="160"/>
    </row>
    <row r="44" spans="1:139" ht="15" customHeight="1" thickTop="1" thickBot="1" x14ac:dyDescent="0.35">
      <c r="A44" s="81" t="s">
        <v>277</v>
      </c>
      <c r="C44" s="81">
        <v>0.7</v>
      </c>
      <c r="E44" s="79"/>
      <c r="L44" s="81"/>
      <c r="M44" s="81"/>
      <c r="N44" s="81"/>
      <c r="Q44" s="81"/>
      <c r="R44" s="81"/>
      <c r="X44" s="220"/>
      <c r="Y44" s="221" t="s">
        <v>276</v>
      </c>
      <c r="Z44" s="221">
        <v>0.04</v>
      </c>
      <c r="AA44" s="221">
        <v>3.5999999999999997E-2</v>
      </c>
      <c r="AB44" s="221">
        <v>26</v>
      </c>
      <c r="AC44" s="221">
        <v>1470</v>
      </c>
      <c r="AD44" s="268">
        <f>Z44/AA44</f>
        <v>1.1111111111111112</v>
      </c>
      <c r="AE44" s="222">
        <f>Z44*AB44*AC44</f>
        <v>1528.8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27839291.999999993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0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 s="81">
        <v>35.75</v>
      </c>
      <c r="CL44" s="81" t="s">
        <v>505</v>
      </c>
      <c r="CN44" s="81" t="s">
        <v>497</v>
      </c>
      <c r="CO44" s="81" t="s">
        <v>512</v>
      </c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J44" s="204"/>
      <c r="DL44" s="81" t="s">
        <v>426</v>
      </c>
      <c r="DM44" s="288">
        <f t="shared" si="0"/>
        <v>27839291.999999993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0.7</v>
      </c>
      <c r="DT44" s="291">
        <v>1.6000000000000001E-3</v>
      </c>
      <c r="DU44" s="290">
        <v>437.9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0.80300000000000005</v>
      </c>
      <c r="EC44" s="212" t="s">
        <v>392</v>
      </c>
      <c r="EE44" s="160" t="s">
        <v>568</v>
      </c>
      <c r="EF44" s="311" t="s">
        <v>590</v>
      </c>
      <c r="EG44" s="306" t="s">
        <v>434</v>
      </c>
      <c r="EH44" s="160">
        <f>$O$22*$Z$37*$AP$26</f>
        <v>0.78283762526627532</v>
      </c>
      <c r="EI44" s="160" t="s">
        <v>392</v>
      </c>
    </row>
    <row r="45" spans="1:139" ht="15" customHeight="1" thickTop="1" thickBot="1" x14ac:dyDescent="0.35">
      <c r="A45" s="81" t="s">
        <v>278</v>
      </c>
      <c r="C45" s="81">
        <v>0.7</v>
      </c>
      <c r="E45" s="79"/>
      <c r="L45" s="81"/>
      <c r="M45" s="81"/>
      <c r="N45" s="81"/>
      <c r="Q45" s="81"/>
      <c r="R45" s="81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27839291.999999993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0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J45" s="204"/>
      <c r="DL45" s="81" t="s">
        <v>427</v>
      </c>
      <c r="DM45" s="286">
        <f t="shared" si="0"/>
        <v>2.9587171141128452E-2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5.9200000000000003E-2</v>
      </c>
      <c r="DT45" s="291">
        <v>2.4899999999999998E-4</v>
      </c>
      <c r="DU45" s="290">
        <v>237.37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25">DS70</f>
        <v>2.2000000000000002</v>
      </c>
      <c r="EC45" s="212" t="s">
        <v>392</v>
      </c>
      <c r="EE45" s="160" t="s">
        <v>568</v>
      </c>
      <c r="EF45" s="311" t="s">
        <v>591</v>
      </c>
      <c r="EG45" s="306" t="s">
        <v>434</v>
      </c>
      <c r="EH45" s="160">
        <f>$O$21*$Z$37*$AP$26</f>
        <v>0.69820653064289429</v>
      </c>
      <c r="EI45" s="160" t="s">
        <v>392</v>
      </c>
    </row>
    <row r="46" spans="1:139" ht="15" customHeight="1" thickTop="1" thickBot="1" x14ac:dyDescent="0.35">
      <c r="L46" s="81"/>
      <c r="M46" s="81"/>
      <c r="N46" s="81"/>
      <c r="Q46" s="81"/>
      <c r="R46" s="81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AP42*0.2</f>
        <v>2.9587171141128452E-2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0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J46" s="204"/>
      <c r="DL46" s="81" t="s">
        <v>428</v>
      </c>
      <c r="DM46" s="286">
        <f t="shared" si="0"/>
        <v>6.3023411142128047E-2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4.65E-2</v>
      </c>
      <c r="DT46" s="291">
        <v>2.5599999999999999E-4</v>
      </c>
      <c r="DU46" s="290">
        <v>181.93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25"/>
        <v>1.85</v>
      </c>
      <c r="EC46" s="212" t="s">
        <v>392</v>
      </c>
      <c r="EE46" s="160" t="s">
        <v>568</v>
      </c>
      <c r="EF46" s="311" t="s">
        <v>592</v>
      </c>
      <c r="EG46" s="306" t="s">
        <v>434</v>
      </c>
      <c r="EH46" s="160">
        <f>$O$23*$Z$37*$AP$26</f>
        <v>0.91683685841996199</v>
      </c>
      <c r="EI46" s="160" t="s">
        <v>392</v>
      </c>
    </row>
    <row r="47" spans="1:139" ht="15" customHeight="1" thickTop="1" thickBot="1" x14ac:dyDescent="0.35">
      <c r="B47" s="3"/>
      <c r="L47" s="81"/>
      <c r="M47" s="81"/>
      <c r="N47" s="81"/>
      <c r="Q47" s="81"/>
      <c r="R47" s="81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AP43*0.2</f>
        <v>6.3023411142128047E-2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0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J47" s="204"/>
      <c r="DL47" s="81" t="s">
        <v>429</v>
      </c>
      <c r="DM47" s="289">
        <f t="shared" si="0"/>
        <v>696.05542725173189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302</v>
      </c>
      <c r="DT47" s="291">
        <v>1.19</v>
      </c>
      <c r="DU47" s="290">
        <v>253.91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25"/>
        <v>1.55</v>
      </c>
      <c r="EC47" s="212" t="s">
        <v>392</v>
      </c>
      <c r="EE47" s="160" t="s">
        <v>568</v>
      </c>
      <c r="EF47" s="311" t="s">
        <v>593</v>
      </c>
      <c r="EG47" s="306" t="s">
        <v>434</v>
      </c>
      <c r="EH47" s="160">
        <f>$O$24*$Z$37*$AP$26</f>
        <v>0.8039953989221208</v>
      </c>
      <c r="EI47" s="160" t="s">
        <v>392</v>
      </c>
    </row>
    <row r="48" spans="1:139" ht="15" customHeight="1" thickTop="1" thickBot="1" x14ac:dyDescent="0.35">
      <c r="B48" s="3"/>
      <c r="L48" s="81"/>
      <c r="M48" s="81"/>
      <c r="N48" s="81"/>
      <c r="Q48" s="81"/>
      <c r="R48" s="81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696.05542725173189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0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J48" s="204"/>
      <c r="DL48" s="81" t="s">
        <v>430</v>
      </c>
      <c r="DM48" s="289">
        <f t="shared" si="0"/>
        <v>348.02771362586594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194</v>
      </c>
      <c r="DT48" s="291">
        <v>0.70299999999999996</v>
      </c>
      <c r="DU48" s="290">
        <v>276.47000000000003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25"/>
        <v>0.65600000000000003</v>
      </c>
      <c r="EC48" s="212" t="s">
        <v>392</v>
      </c>
      <c r="EE48" s="160" t="s">
        <v>568</v>
      </c>
      <c r="EF48" s="311" t="s">
        <v>594</v>
      </c>
      <c r="EG48" s="306" t="s">
        <v>434</v>
      </c>
      <c r="EH48" s="160">
        <f>$O$22*$Z$37*$AP$27</f>
        <v>0.23290842529736544</v>
      </c>
      <c r="EI48" s="160" t="s">
        <v>392</v>
      </c>
    </row>
    <row r="49" spans="1:139" ht="15" customHeight="1" thickTop="1" thickBot="1" x14ac:dyDescent="0.35">
      <c r="B49" s="3"/>
      <c r="L49" s="81"/>
      <c r="M49" s="81"/>
      <c r="N49" s="81"/>
      <c r="Q49" s="81"/>
      <c r="R49" s="81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348.02771362586594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0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J49" s="204"/>
      <c r="DL49" s="81" t="s">
        <v>431</v>
      </c>
      <c r="DM49" s="289">
        <f t="shared" si="0"/>
        <v>696.05542725173189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503</v>
      </c>
      <c r="DT49" s="291">
        <v>2.0499999999999998</v>
      </c>
      <c r="DU49" s="290">
        <v>246.04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25"/>
        <v>7.5399999999999995E-2</v>
      </c>
      <c r="EC49" s="212" t="s">
        <v>392</v>
      </c>
      <c r="EE49" s="160" t="s">
        <v>568</v>
      </c>
      <c r="EF49" s="311" t="s">
        <v>595</v>
      </c>
      <c r="EG49" s="306" t="s">
        <v>434</v>
      </c>
      <c r="EH49" s="160">
        <f>$O$21*$Z$37*$AP$27</f>
        <v>0.20772913607602864</v>
      </c>
      <c r="EI49" s="160" t="s">
        <v>392</v>
      </c>
    </row>
    <row r="50" spans="1:139" ht="15" customHeight="1" thickTop="1" thickBot="1" x14ac:dyDescent="0.35">
      <c r="L50" s="81"/>
      <c r="M50" s="81"/>
      <c r="N50" s="81"/>
      <c r="Q50" s="81"/>
      <c r="R50" s="81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696.05542725173189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0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J50" s="204"/>
      <c r="DQ50" s="290" t="s">
        <v>506</v>
      </c>
      <c r="DR50" s="290" t="s">
        <v>120</v>
      </c>
      <c r="DS50" s="291">
        <v>111</v>
      </c>
      <c r="DT50" s="291">
        <v>0.24099999999999999</v>
      </c>
      <c r="DU50" s="290">
        <v>462.31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25"/>
        <v>0.54800000000000004</v>
      </c>
      <c r="EC50" s="212" t="s">
        <v>392</v>
      </c>
      <c r="EE50" s="160" t="s">
        <v>568</v>
      </c>
      <c r="EF50" s="311" t="s">
        <v>596</v>
      </c>
      <c r="EG50" s="306" t="s">
        <v>434</v>
      </c>
      <c r="EH50" s="160">
        <f>$O$23*$Z$37*$AP$27</f>
        <v>0.27277563323114867</v>
      </c>
      <c r="EI50" s="160" t="s">
        <v>392</v>
      </c>
    </row>
    <row r="51" spans="1:139" ht="15" customHeight="1" thickTop="1" thickBot="1" x14ac:dyDescent="0.35">
      <c r="L51" s="81"/>
      <c r="M51" s="81"/>
      <c r="N51" s="81"/>
      <c r="Q51" s="81"/>
      <c r="R51" s="8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J51" s="204"/>
      <c r="DQ51" s="290" t="s">
        <v>506</v>
      </c>
      <c r="DR51" s="290" t="s">
        <v>488</v>
      </c>
      <c r="DS51" s="291">
        <v>-6.7</v>
      </c>
      <c r="DT51" s="291">
        <v>1.89E-2</v>
      </c>
      <c r="DU51" s="290">
        <v>-354.11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25"/>
        <v>0.376</v>
      </c>
      <c r="EC51" s="212" t="s">
        <v>392</v>
      </c>
      <c r="EE51" s="160" t="s">
        <v>568</v>
      </c>
      <c r="EF51" s="311" t="s">
        <v>597</v>
      </c>
      <c r="EG51" s="306" t="s">
        <v>434</v>
      </c>
      <c r="EH51" s="160">
        <f>$O$24*$Z$37*$AP$27</f>
        <v>0.23920324760269968</v>
      </c>
      <c r="EI51" s="160" t="s">
        <v>392</v>
      </c>
    </row>
    <row r="52" spans="1:139" thickTop="1" thickBot="1" x14ac:dyDescent="0.35"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3"/>
        <v>UfDN</v>
      </c>
      <c r="DI52" s="81" t="s">
        <v>434</v>
      </c>
      <c r="DJ52" s="204">
        <f t="shared" si="14"/>
        <v>532</v>
      </c>
      <c r="DK52" s="81" t="s">
        <v>392</v>
      </c>
      <c r="DQ52" s="290" t="s">
        <v>506</v>
      </c>
      <c r="DR52" s="290" t="s">
        <v>489</v>
      </c>
      <c r="DS52" s="291">
        <v>-7.08</v>
      </c>
      <c r="DT52" s="291">
        <v>1.6199999999999999E-2</v>
      </c>
      <c r="DU52" s="290">
        <v>-437.65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25"/>
        <v>5.7400000000000002E-12</v>
      </c>
      <c r="EC52" s="212" t="s">
        <v>392</v>
      </c>
      <c r="EE52" s="160" t="s">
        <v>568</v>
      </c>
      <c r="EF52" s="311" t="s">
        <v>598</v>
      </c>
      <c r="EG52" s="306" t="s">
        <v>434</v>
      </c>
      <c r="EH52" s="160">
        <f>$O$22*$Z$37*$AP$28</f>
        <v>5.6164245543636214E-2</v>
      </c>
      <c r="EI52" s="160" t="s">
        <v>392</v>
      </c>
    </row>
    <row r="53" spans="1:139" thickTop="1" thickBot="1" x14ac:dyDescent="0.35">
      <c r="CN53" s="81">
        <v>17</v>
      </c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3"/>
        <v>Ufi</v>
      </c>
      <c r="DI53" s="81" t="s">
        <v>434</v>
      </c>
      <c r="DJ53" s="204">
        <f t="shared" si="14"/>
        <v>1</v>
      </c>
      <c r="DK53" s="81" t="s">
        <v>392</v>
      </c>
      <c r="DQ53" s="290" t="s">
        <v>506</v>
      </c>
      <c r="DR53" s="290" t="s">
        <v>490</v>
      </c>
      <c r="DS53" s="291">
        <v>-7.21</v>
      </c>
      <c r="DT53" s="291">
        <v>2.35E-2</v>
      </c>
      <c r="DU53" s="290">
        <v>-306.18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25"/>
        <v>6.1300000000000005E-17</v>
      </c>
      <c r="EC53" s="212" t="s">
        <v>392</v>
      </c>
      <c r="EE53" s="160" t="s">
        <v>568</v>
      </c>
      <c r="EF53" s="311" t="s">
        <v>599</v>
      </c>
      <c r="EG53" s="306" t="s">
        <v>434</v>
      </c>
      <c r="EH53" s="160">
        <f>$O$21*$Z$37*$AP$28</f>
        <v>5.0092435214594465E-2</v>
      </c>
      <c r="EI53" s="160" t="s">
        <v>392</v>
      </c>
    </row>
    <row r="54" spans="1:139" thickTop="1" thickBot="1" x14ac:dyDescent="0.35"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3"/>
        <v>UfND</v>
      </c>
      <c r="DI54" s="81" t="s">
        <v>434</v>
      </c>
      <c r="DJ54" s="204">
        <f t="shared" si="14"/>
        <v>351</v>
      </c>
      <c r="DK54" s="81" t="s">
        <v>392</v>
      </c>
      <c r="DQ54" s="290" t="s">
        <v>506</v>
      </c>
      <c r="DR54" s="290" t="s">
        <v>491</v>
      </c>
      <c r="DS54" s="291">
        <v>-6.53</v>
      </c>
      <c r="DT54" s="291">
        <v>1.61E-2</v>
      </c>
      <c r="DU54" s="290">
        <v>-405.39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25"/>
        <v>1.0199999999999999E-11</v>
      </c>
      <c r="EC54" s="212" t="s">
        <v>392</v>
      </c>
      <c r="EE54" s="160" t="s">
        <v>568</v>
      </c>
      <c r="EF54" s="311" t="s">
        <v>600</v>
      </c>
      <c r="EG54" s="306" t="s">
        <v>434</v>
      </c>
      <c r="EH54" s="160">
        <f>$O$23*$Z$37*$AP$28</f>
        <v>6.5777945231285648E-2</v>
      </c>
      <c r="EI54" s="160" t="s">
        <v>392</v>
      </c>
    </row>
    <row r="55" spans="1:139" thickTop="1" thickBot="1" x14ac:dyDescent="0.35"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3"/>
        <v>UwD</v>
      </c>
      <c r="DI55" s="81" t="s">
        <v>434</v>
      </c>
      <c r="DJ55" s="204">
        <f t="shared" si="14"/>
        <v>61.2</v>
      </c>
      <c r="DK55" s="81" t="s">
        <v>392</v>
      </c>
      <c r="DQ55" s="290" t="s">
        <v>506</v>
      </c>
      <c r="DR55" s="290" t="s">
        <v>492</v>
      </c>
      <c r="DS55" s="291">
        <v>-7.28</v>
      </c>
      <c r="DT55" s="291">
        <v>2.2499999999999999E-2</v>
      </c>
      <c r="DU55" s="290">
        <v>-323.99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25"/>
        <v>0.30099999999999999</v>
      </c>
      <c r="EC55" s="212" t="s">
        <v>392</v>
      </c>
      <c r="EE55" s="160" t="s">
        <v>568</v>
      </c>
      <c r="EF55" s="311" t="s">
        <v>601</v>
      </c>
      <c r="EG55" s="306" t="s">
        <v>434</v>
      </c>
      <c r="EH55" s="160">
        <f>$O$24*$Z$37*$AP$28</f>
        <v>5.7682198125896665E-2</v>
      </c>
      <c r="EI55" s="160" t="s">
        <v>392</v>
      </c>
    </row>
    <row r="56" spans="1:139" thickTop="1" thickBot="1" x14ac:dyDescent="0.35">
      <c r="AO56" s="160" t="s">
        <v>433</v>
      </c>
      <c r="AP56" s="160">
        <f>SUM(AP46,AP14:AP17)</f>
        <v>1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3"/>
        <v>UwN</v>
      </c>
      <c r="DI56" s="81" t="s">
        <v>434</v>
      </c>
      <c r="DJ56" s="204">
        <f t="shared" si="14"/>
        <v>50</v>
      </c>
      <c r="DK56" s="81" t="s">
        <v>392</v>
      </c>
      <c r="DQ56" s="290" t="s">
        <v>506</v>
      </c>
      <c r="DR56" s="290" t="s">
        <v>493</v>
      </c>
      <c r="DS56" s="291">
        <v>7.4599999999999996E-3</v>
      </c>
      <c r="DT56" s="291">
        <v>4.5399999999999999E-5</v>
      </c>
      <c r="DU56" s="290">
        <v>164.46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25"/>
        <v>1.1200000000000001</v>
      </c>
      <c r="EC56" s="212" t="s">
        <v>392</v>
      </c>
      <c r="EE56" s="160" t="s">
        <v>568</v>
      </c>
      <c r="EF56" s="311" t="s">
        <v>602</v>
      </c>
      <c r="EG56" s="306" t="s">
        <v>434</v>
      </c>
      <c r="EH56" s="160">
        <f>$O$22*$Z$37*$AP$43</f>
        <v>0.4931897038927231</v>
      </c>
      <c r="EI56" s="160" t="s">
        <v>392</v>
      </c>
    </row>
    <row r="57" spans="1:139" thickTop="1" thickBot="1" x14ac:dyDescent="0.35">
      <c r="A57" s="328" t="s">
        <v>611</v>
      </c>
      <c r="B57" s="328"/>
      <c r="C57" s="329"/>
      <c r="D57" s="329"/>
      <c r="E57" s="329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J57" s="204"/>
      <c r="DQ57" s="290" t="s">
        <v>506</v>
      </c>
      <c r="DR57" s="290" t="s">
        <v>494</v>
      </c>
      <c r="DS57" s="291">
        <v>148</v>
      </c>
      <c r="DT57" s="291">
        <v>0.82399999999999995</v>
      </c>
      <c r="DU57" s="290">
        <v>179.43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25"/>
        <v>0.44600000000000001</v>
      </c>
      <c r="EC57" s="212" t="s">
        <v>392</v>
      </c>
      <c r="EE57" s="160" t="s">
        <v>568</v>
      </c>
      <c r="EF57" s="311" t="s">
        <v>603</v>
      </c>
      <c r="EG57" s="306" t="s">
        <v>434</v>
      </c>
      <c r="EH57" s="160">
        <f>$O$21*$Z$37*$AP$43</f>
        <v>0.43987189806648275</v>
      </c>
      <c r="EI57" s="160" t="s">
        <v>392</v>
      </c>
    </row>
    <row r="58" spans="1:139" thickTop="1" thickBot="1" x14ac:dyDescent="0.35">
      <c r="A58" s="330" t="s">
        <v>122</v>
      </c>
      <c r="B58" s="331">
        <f>B4*1008*1.204*5</f>
        <v>4311427.68</v>
      </c>
      <c r="C58" s="331">
        <f>B34*1008*1.204*5</f>
        <v>2315890.7197523224</v>
      </c>
      <c r="D58" s="331">
        <f>B58-C58</f>
        <v>1995536.9602476773</v>
      </c>
      <c r="E58" s="329"/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J58" s="204"/>
      <c r="DQ58" s="290" t="s">
        <v>506</v>
      </c>
      <c r="DR58" s="290" t="s">
        <v>495</v>
      </c>
      <c r="DS58" s="291">
        <v>9960</v>
      </c>
      <c r="DT58" s="291">
        <v>159</v>
      </c>
      <c r="DU58" s="290">
        <v>62.75</v>
      </c>
      <c r="DV58" s="291" t="s">
        <v>509</v>
      </c>
      <c r="DW58" s="291">
        <v>2E-16</v>
      </c>
      <c r="DX58" s="81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25"/>
        <v>0.86699999999999999</v>
      </c>
      <c r="EC58" s="212" t="s">
        <v>392</v>
      </c>
      <c r="EE58" s="160" t="s">
        <v>568</v>
      </c>
      <c r="EF58" s="311" t="s">
        <v>604</v>
      </c>
      <c r="EG58" s="306" t="s">
        <v>434</v>
      </c>
      <c r="EH58" s="160">
        <f>$O$23*$Z$37*$AP$43</f>
        <v>0.57760956311760359</v>
      </c>
      <c r="EI58" s="160" t="s">
        <v>392</v>
      </c>
    </row>
    <row r="59" spans="1:139" thickTop="1" thickBot="1" x14ac:dyDescent="0.35">
      <c r="A59" s="330" t="s">
        <v>152</v>
      </c>
      <c r="B59" s="332">
        <f>'Tabula data'!B21</f>
        <v>1.2730693424117541</v>
      </c>
      <c r="C59" s="332">
        <f>B59</f>
        <v>1.2730693424117541</v>
      </c>
      <c r="D59" s="332">
        <f>B59</f>
        <v>1.2730693424117541</v>
      </c>
      <c r="E59" s="329"/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J59" s="204"/>
      <c r="DQ59" s="290" t="s">
        <v>506</v>
      </c>
      <c r="DR59" s="290" t="s">
        <v>496</v>
      </c>
      <c r="DS59" s="291">
        <v>77.5</v>
      </c>
      <c r="DT59" s="291">
        <v>0.93400000000000005</v>
      </c>
      <c r="DU59" s="290">
        <v>82.98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25"/>
        <v>0.53700000000000003</v>
      </c>
      <c r="EC59" s="212" t="s">
        <v>392</v>
      </c>
      <c r="EE59" s="160" t="s">
        <v>568</v>
      </c>
      <c r="EF59" s="311" t="s">
        <v>605</v>
      </c>
      <c r="EG59" s="306" t="s">
        <v>434</v>
      </c>
      <c r="EH59" s="160">
        <f>$O$24*$Z$37*$AP$43</f>
        <v>0.50651915534928327</v>
      </c>
      <c r="EI59" s="160" t="s">
        <v>392</v>
      </c>
    </row>
    <row r="60" spans="1:139" thickTop="1" thickBot="1" x14ac:dyDescent="0.35">
      <c r="A60" s="330" t="s">
        <v>612</v>
      </c>
      <c r="B60" s="331">
        <f>SUM(S6:S28)</f>
        <v>221891134.33999997</v>
      </c>
      <c r="C60" s="331">
        <f>SUM(S6:S14,S16,S26/2,S27)</f>
        <v>170638018.13315001</v>
      </c>
      <c r="D60" s="331">
        <f>SUM(S17:S25,S26/2,S28)</f>
        <v>51253116.206849992</v>
      </c>
      <c r="E60" s="329"/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J60" s="204"/>
      <c r="DZ60" s="297"/>
      <c r="EA60" s="292"/>
      <c r="EB60" s="293"/>
      <c r="EE60" s="160"/>
      <c r="EF60" s="311"/>
      <c r="EG60" s="306"/>
      <c r="EH60" s="160"/>
      <c r="EI60" s="160"/>
    </row>
    <row r="61" spans="1:139" thickTop="1" thickBot="1" x14ac:dyDescent="0.35">
      <c r="A61" s="330" t="s">
        <v>613</v>
      </c>
      <c r="B61" s="330">
        <f>Z18</f>
        <v>0.1</v>
      </c>
      <c r="C61" s="330">
        <f>B61</f>
        <v>0.1</v>
      </c>
      <c r="D61" s="330">
        <f>C61</f>
        <v>0.1</v>
      </c>
      <c r="E61" s="329"/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J61" s="204"/>
      <c r="DY61" s="212" t="s">
        <v>568</v>
      </c>
      <c r="DZ61" s="297" t="s">
        <v>413</v>
      </c>
      <c r="EA61" s="292" t="s">
        <v>434</v>
      </c>
      <c r="EB61" s="293">
        <f>DS86</f>
        <v>2060000</v>
      </c>
      <c r="EC61" s="212" t="s">
        <v>392</v>
      </c>
      <c r="EE61" s="160" t="s">
        <v>568</v>
      </c>
      <c r="EF61" s="311" t="s">
        <v>413</v>
      </c>
      <c r="EG61" s="306" t="s">
        <v>434</v>
      </c>
      <c r="EH61" s="310">
        <f>AP30</f>
        <v>1730559.7907120739</v>
      </c>
      <c r="EI61" s="160" t="s">
        <v>392</v>
      </c>
    </row>
    <row r="62" spans="1:139" thickTop="1" thickBot="1" x14ac:dyDescent="0.35">
      <c r="A62" s="330" t="s">
        <v>614</v>
      </c>
      <c r="B62" s="330">
        <f>0.15</f>
        <v>0.15</v>
      </c>
      <c r="C62" s="330">
        <f>B62</f>
        <v>0.15</v>
      </c>
      <c r="D62" s="330">
        <f>C62</f>
        <v>0.15</v>
      </c>
      <c r="E62" s="329"/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J62" s="204"/>
      <c r="DQ62" s="290" t="s">
        <v>506</v>
      </c>
      <c r="DR62" s="290" t="s">
        <v>497</v>
      </c>
      <c r="DS62" s="290" t="s">
        <v>558</v>
      </c>
      <c r="DY62" s="212" t="s">
        <v>568</v>
      </c>
      <c r="DZ62" s="297" t="s">
        <v>414</v>
      </c>
      <c r="EA62" s="292" t="s">
        <v>434</v>
      </c>
      <c r="EB62" s="293">
        <f t="shared" ref="EB62:EB63" si="26">DS87</f>
        <v>2900000</v>
      </c>
      <c r="EC62" s="212" t="s">
        <v>392</v>
      </c>
      <c r="EE62" s="160" t="s">
        <v>568</v>
      </c>
      <c r="EF62" s="311" t="s">
        <v>414</v>
      </c>
      <c r="EG62" s="306" t="s">
        <v>434</v>
      </c>
      <c r="EH62" s="310">
        <f>AP31</f>
        <v>8711169.3900000006</v>
      </c>
      <c r="EI62" s="160" t="s">
        <v>392</v>
      </c>
    </row>
    <row r="63" spans="1:139" thickTop="1" thickBot="1" x14ac:dyDescent="0.35">
      <c r="A63" s="330" t="s">
        <v>615</v>
      </c>
      <c r="B63" s="330">
        <v>1</v>
      </c>
      <c r="C63" s="330">
        <v>1</v>
      </c>
      <c r="D63" s="330">
        <v>1</v>
      </c>
      <c r="E63" s="329"/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290" t="s">
        <v>506</v>
      </c>
      <c r="DR63" s="290" t="s">
        <v>499</v>
      </c>
      <c r="DY63" s="212" t="s">
        <v>568</v>
      </c>
      <c r="DZ63" s="297" t="s">
        <v>415</v>
      </c>
      <c r="EA63" s="292" t="s">
        <v>434</v>
      </c>
      <c r="EB63" s="293">
        <f t="shared" si="26"/>
        <v>5500000</v>
      </c>
      <c r="EC63" s="212" t="s">
        <v>392</v>
      </c>
      <c r="EE63" s="160" t="s">
        <v>568</v>
      </c>
      <c r="EF63" s="311" t="s">
        <v>415</v>
      </c>
      <c r="EG63" s="306" t="s">
        <v>434</v>
      </c>
      <c r="EH63" s="310">
        <f>AP32</f>
        <v>5574674.700000002</v>
      </c>
      <c r="EI63" s="160" t="s">
        <v>392</v>
      </c>
    </row>
    <row r="64" spans="1:139" thickTop="1" thickBot="1" x14ac:dyDescent="0.35">
      <c r="A64" s="330" t="s">
        <v>616</v>
      </c>
      <c r="B64" s="332">
        <f>C64+D64</f>
        <v>372.01529576057908</v>
      </c>
      <c r="C64" s="332">
        <f>'Verwarming Tabula 2zone RefULG1'!B42+'Verwarming Tabula 2zone RefULG1'!B60</f>
        <v>277.88788811523392</v>
      </c>
      <c r="D64" s="332">
        <f>'Verwarming Tabula 2zone RefULG1'!B121+'Verwarming Tabula 2zone RefULG1'!B139</f>
        <v>94.127407645345187</v>
      </c>
      <c r="E64" s="329"/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EA64" s="292"/>
      <c r="EE64" s="160"/>
      <c r="EF64" s="160"/>
      <c r="EG64" s="306"/>
      <c r="EH64" s="160"/>
      <c r="EI64" s="160"/>
    </row>
    <row r="65" spans="1:139" thickTop="1" thickBot="1" x14ac:dyDescent="0.35">
      <c r="A65" s="330" t="s">
        <v>617</v>
      </c>
      <c r="B65" s="331">
        <f>B64/B60</f>
        <v>1.6765667401138544E-6</v>
      </c>
      <c r="C65" s="331">
        <f t="shared" ref="C65:D65" si="27">C64/C60</f>
        <v>1.6285227123207449E-6</v>
      </c>
      <c r="D65" s="331">
        <f t="shared" si="27"/>
        <v>1.8365206764299149E-6</v>
      </c>
      <c r="E65" s="329"/>
      <c r="DQ65" s="290" t="s">
        <v>506</v>
      </c>
      <c r="DR65" s="290" t="s">
        <v>465</v>
      </c>
      <c r="DS65" s="291">
        <v>291</v>
      </c>
      <c r="DT65" s="291">
        <v>2.18E-2</v>
      </c>
      <c r="DU65" s="290">
        <v>13387.34</v>
      </c>
      <c r="DV65" s="290" t="s">
        <v>509</v>
      </c>
      <c r="DW65" s="291">
        <v>2E-16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0.16300000000000001</v>
      </c>
      <c r="EC65" s="212" t="s">
        <v>392</v>
      </c>
      <c r="EE65" s="160" t="s">
        <v>568</v>
      </c>
      <c r="EF65" s="311" t="s">
        <v>416</v>
      </c>
      <c r="EG65" s="306" t="s">
        <v>434</v>
      </c>
      <c r="EH65" s="160">
        <f>AP33</f>
        <v>0.10003675487397296</v>
      </c>
      <c r="EI65" s="160" t="s">
        <v>392</v>
      </c>
    </row>
    <row r="66" spans="1:139" thickTop="1" thickBot="1" x14ac:dyDescent="0.35">
      <c r="A66" s="330" t="s">
        <v>618</v>
      </c>
      <c r="B66" s="330">
        <v>2</v>
      </c>
      <c r="C66" s="330">
        <v>2</v>
      </c>
      <c r="D66" s="330">
        <v>2</v>
      </c>
      <c r="E66" s="329"/>
      <c r="DQ66" s="290" t="s">
        <v>506</v>
      </c>
      <c r="DR66" s="290" t="s">
        <v>466</v>
      </c>
      <c r="DS66" s="291">
        <v>289</v>
      </c>
      <c r="DT66" s="291">
        <v>4.7500000000000001E-2</v>
      </c>
      <c r="DU66" s="290">
        <v>6087.79</v>
      </c>
      <c r="DV66" s="290" t="s">
        <v>509</v>
      </c>
      <c r="DW66" s="291">
        <v>2E-16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28">DS94</f>
        <v>4.4499999999999998E-2</v>
      </c>
      <c r="EC66" s="212" t="s">
        <v>392</v>
      </c>
      <c r="EE66" s="160" t="s">
        <v>568</v>
      </c>
      <c r="EF66" s="311" t="s">
        <v>417</v>
      </c>
      <c r="EG66" s="306" t="s">
        <v>434</v>
      </c>
      <c r="EH66" s="160">
        <f>AP34</f>
        <v>2.976275321671017E-2</v>
      </c>
      <c r="EI66" s="160" t="s">
        <v>392</v>
      </c>
    </row>
    <row r="67" spans="1:139" thickTop="1" thickBot="1" x14ac:dyDescent="0.35">
      <c r="A67" s="330"/>
      <c r="B67" s="330"/>
      <c r="C67" s="330"/>
      <c r="D67" s="330"/>
      <c r="E67" s="329"/>
      <c r="DQ67" s="290" t="s">
        <v>506</v>
      </c>
      <c r="DR67" s="290" t="s">
        <v>467</v>
      </c>
      <c r="DS67" s="291">
        <v>292</v>
      </c>
      <c r="DT67" s="291">
        <v>4.3200000000000002E-2</v>
      </c>
      <c r="DU67" s="290">
        <v>6759.84</v>
      </c>
      <c r="DV67" s="290" t="s">
        <v>509</v>
      </c>
      <c r="DW67" s="291">
        <v>2E-16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28"/>
        <v>0.69799999999999995</v>
      </c>
      <c r="EC67" s="212" t="s">
        <v>392</v>
      </c>
      <c r="EE67" s="160" t="s">
        <v>568</v>
      </c>
      <c r="EF67" s="311" t="s">
        <v>418</v>
      </c>
      <c r="EG67" s="306" t="s">
        <v>434</v>
      </c>
      <c r="EH67" s="160">
        <f>$AP35</f>
        <v>0.80717708076718886</v>
      </c>
      <c r="EI67" s="160" t="s">
        <v>392</v>
      </c>
    </row>
    <row r="68" spans="1:139" thickTop="1" thickBot="1" x14ac:dyDescent="0.35">
      <c r="A68" s="329"/>
      <c r="B68" s="329"/>
      <c r="C68" s="329"/>
      <c r="D68" s="329"/>
      <c r="E68" s="329"/>
      <c r="DQ68" s="290" t="s">
        <v>506</v>
      </c>
      <c r="DR68" s="290" t="s">
        <v>468</v>
      </c>
      <c r="DS68" s="291">
        <v>296</v>
      </c>
      <c r="DT68" s="291">
        <v>0.121</v>
      </c>
      <c r="DU68" s="290">
        <v>2439.13</v>
      </c>
      <c r="DV68" s="290" t="s">
        <v>509</v>
      </c>
      <c r="DW68" s="291">
        <v>2E-16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28"/>
        <v>8.3099999999999993E-2</v>
      </c>
      <c r="EC68" s="212" t="s">
        <v>392</v>
      </c>
      <c r="EE68" s="160" t="s">
        <v>568</v>
      </c>
      <c r="EF68" s="311" t="s">
        <v>519</v>
      </c>
      <c r="EG68" s="306" t="s">
        <v>434</v>
      </c>
      <c r="EH68" s="160">
        <f>$AP47</f>
        <v>6.3023411142128047E-2</v>
      </c>
      <c r="EI68" s="160" t="s">
        <v>392</v>
      </c>
    </row>
    <row r="69" spans="1:139" thickTop="1" thickBot="1" x14ac:dyDescent="0.35">
      <c r="DQ69" s="290" t="s">
        <v>506</v>
      </c>
      <c r="DR69" s="290" t="s">
        <v>541</v>
      </c>
      <c r="DS69" s="291">
        <v>0.80300000000000005</v>
      </c>
      <c r="DT69" s="291">
        <v>6.9900000000000004E-2</v>
      </c>
      <c r="DU69" s="290">
        <v>11.48</v>
      </c>
      <c r="DV69" s="291" t="s">
        <v>509</v>
      </c>
      <c r="DW69" s="291">
        <v>2E-16</v>
      </c>
      <c r="DX69" s="81" t="s">
        <v>510</v>
      </c>
      <c r="EA69" s="292"/>
      <c r="EE69" s="160"/>
      <c r="EF69" s="160"/>
      <c r="EG69" s="306"/>
      <c r="EH69" s="160"/>
      <c r="EI69" s="160"/>
    </row>
    <row r="70" spans="1:139" thickTop="1" thickBot="1" x14ac:dyDescent="0.35">
      <c r="DQ70" s="290" t="s">
        <v>506</v>
      </c>
      <c r="DR70" s="290" t="s">
        <v>410</v>
      </c>
      <c r="DS70" s="291">
        <v>2.2000000000000002</v>
      </c>
      <c r="DT70" s="291">
        <v>0.13900000000000001</v>
      </c>
      <c r="DU70" s="290">
        <v>15.76</v>
      </c>
      <c r="DV70" s="290" t="s">
        <v>509</v>
      </c>
      <c r="DW70" s="291">
        <v>2E-16</v>
      </c>
      <c r="DX70" s="81" t="s">
        <v>510</v>
      </c>
      <c r="DY70" s="212" t="s">
        <v>568</v>
      </c>
      <c r="DZ70" s="297" t="s">
        <v>419</v>
      </c>
      <c r="EA70" s="292" t="s">
        <v>434</v>
      </c>
      <c r="EB70" s="293">
        <f>DS97</f>
        <v>227</v>
      </c>
      <c r="EC70" s="212" t="s">
        <v>392</v>
      </c>
      <c r="EE70" s="160" t="s">
        <v>568</v>
      </c>
      <c r="EF70" s="311" t="s">
        <v>419</v>
      </c>
      <c r="EG70" s="306" t="s">
        <v>434</v>
      </c>
      <c r="EH70" s="160">
        <f>$AP37</f>
        <v>171.57359707851492</v>
      </c>
      <c r="EI70" s="160" t="s">
        <v>392</v>
      </c>
    </row>
    <row r="71" spans="1:139" thickTop="1" thickBot="1" x14ac:dyDescent="0.35">
      <c r="DQ71" s="290" t="s">
        <v>506</v>
      </c>
      <c r="DR71" s="290" t="s">
        <v>542</v>
      </c>
      <c r="DS71" s="291">
        <v>1.85</v>
      </c>
      <c r="DT71" s="291">
        <v>2.63E-2</v>
      </c>
      <c r="DU71" s="290">
        <v>70.34</v>
      </c>
      <c r="DV71" s="290" t="s">
        <v>509</v>
      </c>
      <c r="DW71" s="291">
        <v>2E-16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29">DS98</f>
        <v>84.6</v>
      </c>
      <c r="EC71" s="212" t="s">
        <v>392</v>
      </c>
      <c r="EE71" s="160" t="s">
        <v>568</v>
      </c>
      <c r="EF71" s="311" t="s">
        <v>420</v>
      </c>
      <c r="EG71" s="306" t="s">
        <v>434</v>
      </c>
      <c r="EH71" s="160">
        <f>$AP38</f>
        <v>98.069903536977506</v>
      </c>
      <c r="EI71" s="160" t="s">
        <v>392</v>
      </c>
    </row>
    <row r="72" spans="1:139" thickTop="1" thickBot="1" x14ac:dyDescent="0.35">
      <c r="DQ72" s="290" t="s">
        <v>506</v>
      </c>
      <c r="DR72" s="290" t="s">
        <v>543</v>
      </c>
      <c r="DS72" s="291">
        <v>1.55</v>
      </c>
      <c r="DT72" s="291">
        <v>2.52E-2</v>
      </c>
      <c r="DU72" s="290">
        <v>61.42</v>
      </c>
      <c r="DV72" s="290" t="s">
        <v>509</v>
      </c>
      <c r="DW72" s="291">
        <v>2E-16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29"/>
        <v>42.9</v>
      </c>
      <c r="EC72" s="212" t="s">
        <v>392</v>
      </c>
      <c r="EE72" s="160" t="s">
        <v>568</v>
      </c>
      <c r="EF72" s="311" t="s">
        <v>421</v>
      </c>
      <c r="EG72" s="306" t="s">
        <v>434</v>
      </c>
      <c r="EH72" s="161">
        <f>$AP39</f>
        <v>53.588194736842112</v>
      </c>
      <c r="EI72" s="160" t="s">
        <v>392</v>
      </c>
    </row>
    <row r="73" spans="1:139" thickTop="1" thickBot="1" x14ac:dyDescent="0.35">
      <c r="DQ73" s="290" t="s">
        <v>506</v>
      </c>
      <c r="DR73" s="290" t="s">
        <v>544</v>
      </c>
      <c r="DS73" s="291">
        <v>0.65600000000000003</v>
      </c>
      <c r="DT73" s="291">
        <v>2.8400000000000002E-2</v>
      </c>
      <c r="DU73" s="290">
        <v>23.11</v>
      </c>
      <c r="DV73" s="290" t="s">
        <v>509</v>
      </c>
      <c r="DW73" s="291">
        <v>2E-16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84.033613445378151</v>
      </c>
      <c r="EC73" s="212" t="s">
        <v>392</v>
      </c>
      <c r="EE73" s="160" t="s">
        <v>568</v>
      </c>
      <c r="EF73" s="311" t="s">
        <v>422</v>
      </c>
      <c r="EG73" s="306" t="s">
        <v>434</v>
      </c>
      <c r="EH73" s="160">
        <f>$AP40</f>
        <v>105.77605262684855</v>
      </c>
      <c r="EI73" s="160" t="s">
        <v>392</v>
      </c>
    </row>
    <row r="74" spans="1:139" thickTop="1" thickBot="1" x14ac:dyDescent="0.35">
      <c r="DQ74" s="290" t="s">
        <v>506</v>
      </c>
      <c r="DR74" s="290" t="s">
        <v>411</v>
      </c>
      <c r="DS74" s="291">
        <v>7.5399999999999995E-2</v>
      </c>
      <c r="DT74" s="291">
        <v>6.6699999999999995E-2</v>
      </c>
      <c r="DU74" s="290">
        <v>1.1299999999999999</v>
      </c>
      <c r="DV74" s="291">
        <v>0.26</v>
      </c>
      <c r="EA74" s="292"/>
      <c r="EE74" s="160"/>
      <c r="EF74" s="160"/>
      <c r="EG74" s="306"/>
      <c r="EH74" s="160"/>
      <c r="EI74" s="160"/>
    </row>
    <row r="75" spans="1:139" thickTop="1" thickBot="1" x14ac:dyDescent="0.35">
      <c r="DQ75" s="290" t="s">
        <v>506</v>
      </c>
      <c r="DR75" s="290" t="s">
        <v>545</v>
      </c>
      <c r="DS75" s="291">
        <v>0.54800000000000004</v>
      </c>
      <c r="DT75" s="291">
        <v>1.23E-2</v>
      </c>
      <c r="DU75" s="290">
        <v>44.39</v>
      </c>
      <c r="DV75" s="290" t="s">
        <v>509</v>
      </c>
      <c r="DW75" s="291">
        <v>2E-16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997000000</v>
      </c>
      <c r="EC75" s="212" t="s">
        <v>392</v>
      </c>
      <c r="EE75" s="160" t="s">
        <v>568</v>
      </c>
      <c r="EF75" s="311" t="s">
        <v>515</v>
      </c>
      <c r="EG75" s="306" t="s">
        <v>434</v>
      </c>
      <c r="EH75" s="160">
        <f>$AP44</f>
        <v>27839291.999999993</v>
      </c>
      <c r="EI75" s="160" t="s">
        <v>392</v>
      </c>
    </row>
    <row r="76" spans="1:139" thickTop="1" thickBot="1" x14ac:dyDescent="0.35">
      <c r="DQ76" s="290" t="s">
        <v>506</v>
      </c>
      <c r="DR76" s="290" t="s">
        <v>546</v>
      </c>
      <c r="DS76" s="291">
        <v>0.376</v>
      </c>
      <c r="DT76" s="291">
        <v>1.01E-2</v>
      </c>
      <c r="DU76" s="290">
        <v>37.15</v>
      </c>
      <c r="DV76" s="290" t="s">
        <v>509</v>
      </c>
      <c r="DW76" s="291">
        <v>2E-16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992000000</v>
      </c>
      <c r="EC76" s="212" t="s">
        <v>392</v>
      </c>
      <c r="EE76" s="160" t="s">
        <v>568</v>
      </c>
      <c r="EF76" s="311" t="s">
        <v>426</v>
      </c>
      <c r="EG76" s="306" t="s">
        <v>434</v>
      </c>
      <c r="EH76" s="160">
        <f>$AP45</f>
        <v>27839291.999999993</v>
      </c>
      <c r="EI76" s="160" t="s">
        <v>392</v>
      </c>
    </row>
    <row r="77" spans="1:139" thickTop="1" thickBot="1" x14ac:dyDescent="0.35">
      <c r="DQ77" s="290" t="s">
        <v>506</v>
      </c>
      <c r="DR77" s="290" t="s">
        <v>547</v>
      </c>
      <c r="DS77" s="291">
        <v>5.7400000000000002E-12</v>
      </c>
      <c r="DT77" s="291">
        <v>9.6799999999999997E-10</v>
      </c>
      <c r="DU77" s="290">
        <v>0.01</v>
      </c>
      <c r="DV77" s="290">
        <v>1</v>
      </c>
      <c r="DY77" s="212" t="s">
        <v>568</v>
      </c>
      <c r="DZ77" s="297" t="s">
        <v>429</v>
      </c>
      <c r="EA77" s="292" t="s">
        <v>434</v>
      </c>
      <c r="EB77" s="293">
        <f>DS123</f>
        <v>148</v>
      </c>
      <c r="EC77" s="212" t="s">
        <v>392</v>
      </c>
      <c r="EE77" s="160" t="s">
        <v>568</v>
      </c>
      <c r="EF77" s="311" t="s">
        <v>429</v>
      </c>
      <c r="EG77" s="306" t="s">
        <v>434</v>
      </c>
      <c r="EH77" s="160">
        <f>$AP48</f>
        <v>696.05542725173189</v>
      </c>
      <c r="EI77" s="160" t="s">
        <v>392</v>
      </c>
    </row>
    <row r="78" spans="1:139" thickTop="1" thickBot="1" x14ac:dyDescent="0.35">
      <c r="DQ78" s="290" t="s">
        <v>506</v>
      </c>
      <c r="DR78" s="290" t="s">
        <v>412</v>
      </c>
      <c r="DS78" s="291">
        <v>6.1300000000000005E-17</v>
      </c>
      <c r="DT78" s="291">
        <v>1.4900000000000002E-14</v>
      </c>
      <c r="DU78" s="290">
        <v>0</v>
      </c>
      <c r="DV78" s="290">
        <v>1</v>
      </c>
      <c r="DY78" s="212" t="s">
        <v>568</v>
      </c>
      <c r="DZ78" s="297" t="s">
        <v>430</v>
      </c>
      <c r="EA78" s="292" t="s">
        <v>434</v>
      </c>
      <c r="EB78" s="293">
        <f t="shared" ref="EB78:EB79" si="30">DS124</f>
        <v>2.0200000000000001E-3</v>
      </c>
      <c r="EC78" s="212" t="s">
        <v>392</v>
      </c>
      <c r="EE78" s="160" t="s">
        <v>568</v>
      </c>
      <c r="EF78" s="311" t="s">
        <v>430</v>
      </c>
      <c r="EG78" s="306" t="s">
        <v>434</v>
      </c>
      <c r="EH78" s="160">
        <f>$AP49</f>
        <v>348.02771362586594</v>
      </c>
      <c r="EI78" s="160" t="s">
        <v>392</v>
      </c>
    </row>
    <row r="79" spans="1:139" thickTop="1" thickBot="1" x14ac:dyDescent="0.35">
      <c r="DQ79" s="290" t="s">
        <v>506</v>
      </c>
      <c r="DR79" s="290" t="s">
        <v>548</v>
      </c>
      <c r="DS79" s="291">
        <v>1.0199999999999999E-11</v>
      </c>
      <c r="DT79" s="291">
        <v>1.45E-9</v>
      </c>
      <c r="DU79" s="290">
        <v>0.01</v>
      </c>
      <c r="DV79" s="290">
        <v>0.99</v>
      </c>
      <c r="DY79" s="212" t="s">
        <v>568</v>
      </c>
      <c r="DZ79" s="297" t="s">
        <v>431</v>
      </c>
      <c r="EA79" s="292" t="s">
        <v>434</v>
      </c>
      <c r="EB79" s="293">
        <f t="shared" si="30"/>
        <v>87</v>
      </c>
      <c r="EC79" s="212" t="s">
        <v>392</v>
      </c>
      <c r="EE79" s="160" t="s">
        <v>568</v>
      </c>
      <c r="EF79" s="311" t="s">
        <v>431</v>
      </c>
      <c r="EG79" s="306" t="s">
        <v>434</v>
      </c>
      <c r="EH79" s="160">
        <f>$AP50</f>
        <v>696.05542725173189</v>
      </c>
      <c r="EI79" s="160" t="s">
        <v>392</v>
      </c>
    </row>
    <row r="80" spans="1:139" thickTop="1" thickBot="1" x14ac:dyDescent="0.35">
      <c r="DQ80" s="290" t="s">
        <v>506</v>
      </c>
      <c r="DR80" s="290" t="s">
        <v>549</v>
      </c>
      <c r="DS80" s="291">
        <v>0.30099999999999999</v>
      </c>
      <c r="DT80" s="291">
        <v>4.3700000000000003E-2</v>
      </c>
      <c r="DU80" s="290">
        <v>6.89</v>
      </c>
      <c r="DV80" s="291">
        <v>6.1000000000000003E-12</v>
      </c>
      <c r="DW80" s="290" t="s">
        <v>510</v>
      </c>
    </row>
    <row r="81" spans="121:128" thickTop="1" thickBot="1" x14ac:dyDescent="0.35">
      <c r="DQ81" s="290" t="s">
        <v>506</v>
      </c>
      <c r="DR81" s="290" t="s">
        <v>550</v>
      </c>
      <c r="DS81" s="291">
        <v>1.1200000000000001</v>
      </c>
      <c r="DT81" s="291">
        <v>4.7500000000000001E-2</v>
      </c>
      <c r="DU81" s="290">
        <v>23.54</v>
      </c>
      <c r="DV81" s="290" t="s">
        <v>509</v>
      </c>
      <c r="DW81" s="291">
        <v>2E-16</v>
      </c>
      <c r="DX81" s="81" t="s">
        <v>510</v>
      </c>
    </row>
    <row r="82" spans="121:128" thickTop="1" thickBot="1" x14ac:dyDescent="0.35">
      <c r="DQ82" s="290" t="s">
        <v>506</v>
      </c>
      <c r="DR82" s="290" t="s">
        <v>551</v>
      </c>
      <c r="DS82" s="291">
        <v>0.44600000000000001</v>
      </c>
      <c r="DT82" s="291">
        <v>0.107</v>
      </c>
      <c r="DU82" s="290">
        <v>4.16</v>
      </c>
      <c r="DV82" s="291">
        <v>3.1999999999999999E-5</v>
      </c>
      <c r="DW82" s="291" t="s">
        <v>510</v>
      </c>
    </row>
    <row r="83" spans="121:128" thickTop="1" thickBot="1" x14ac:dyDescent="0.35">
      <c r="DQ83" s="290" t="s">
        <v>506</v>
      </c>
      <c r="DR83" s="290" t="s">
        <v>552</v>
      </c>
      <c r="DS83" s="291">
        <v>0.86699999999999999</v>
      </c>
      <c r="DT83" s="291">
        <v>1.9900000000000001E-2</v>
      </c>
      <c r="DU83" s="290">
        <v>43.68</v>
      </c>
      <c r="DV83" s="290" t="s">
        <v>509</v>
      </c>
      <c r="DW83" s="291">
        <v>2E-16</v>
      </c>
      <c r="DX83" s="81" t="s">
        <v>510</v>
      </c>
    </row>
    <row r="84" spans="121:128" thickTop="1" thickBot="1" x14ac:dyDescent="0.35">
      <c r="DQ84" s="290" t="s">
        <v>506</v>
      </c>
      <c r="DR84" s="290" t="s">
        <v>553</v>
      </c>
      <c r="DS84" s="291">
        <v>0.53700000000000003</v>
      </c>
      <c r="DT84" s="291">
        <v>1.8200000000000001E-2</v>
      </c>
      <c r="DU84" s="290">
        <v>29.55</v>
      </c>
      <c r="DV84" s="291" t="s">
        <v>509</v>
      </c>
      <c r="DW84" s="291">
        <v>2E-16</v>
      </c>
      <c r="DX84" s="81" t="s">
        <v>510</v>
      </c>
    </row>
    <row r="85" spans="121:128" thickTop="1" thickBot="1" x14ac:dyDescent="0.35">
      <c r="DQ85" s="290" t="s">
        <v>506</v>
      </c>
      <c r="DR85" s="290" t="s">
        <v>298</v>
      </c>
      <c r="DS85" s="291">
        <v>994000000</v>
      </c>
      <c r="DT85" s="291">
        <v>44700000</v>
      </c>
      <c r="DU85" s="290">
        <v>22.21</v>
      </c>
      <c r="DV85" s="290" t="s">
        <v>509</v>
      </c>
      <c r="DW85" s="291">
        <v>2E-16</v>
      </c>
      <c r="DX85" s="81" t="s">
        <v>510</v>
      </c>
    </row>
    <row r="86" spans="121:128" thickTop="1" thickBot="1" x14ac:dyDescent="0.35">
      <c r="DQ86" s="290" t="s">
        <v>506</v>
      </c>
      <c r="DR86" s="290" t="s">
        <v>475</v>
      </c>
      <c r="DS86" s="291">
        <v>2060000</v>
      </c>
      <c r="DT86" s="291">
        <v>13700</v>
      </c>
      <c r="DU86" s="290">
        <v>150.99</v>
      </c>
      <c r="DV86" s="290" t="s">
        <v>509</v>
      </c>
      <c r="DW86" s="291">
        <v>2E-16</v>
      </c>
      <c r="DX86" s="81" t="s">
        <v>510</v>
      </c>
    </row>
    <row r="87" spans="121:128" thickTop="1" thickBot="1" x14ac:dyDescent="0.35">
      <c r="DQ87" s="290" t="s">
        <v>506</v>
      </c>
      <c r="DR87" s="290" t="s">
        <v>291</v>
      </c>
      <c r="DS87" s="291">
        <v>2900000</v>
      </c>
      <c r="DT87" s="291">
        <v>42900</v>
      </c>
      <c r="DU87" s="290">
        <v>67.5</v>
      </c>
      <c r="DV87" s="290" t="s">
        <v>509</v>
      </c>
      <c r="DW87" s="291">
        <v>2E-16</v>
      </c>
      <c r="DX87" s="81" t="s">
        <v>510</v>
      </c>
    </row>
    <row r="88" spans="121:128" thickTop="1" thickBot="1" x14ac:dyDescent="0.35">
      <c r="DQ88" s="290" t="s">
        <v>506</v>
      </c>
      <c r="DR88" s="290" t="s">
        <v>293</v>
      </c>
      <c r="DS88" s="291">
        <v>5500000</v>
      </c>
      <c r="DT88" s="291">
        <v>239000</v>
      </c>
      <c r="DU88" s="290">
        <v>22.99</v>
      </c>
      <c r="DV88" s="291" t="s">
        <v>509</v>
      </c>
      <c r="DW88" s="291">
        <v>2E-16</v>
      </c>
      <c r="DX88" s="81" t="s">
        <v>510</v>
      </c>
    </row>
    <row r="89" spans="121:128" thickTop="1" thickBot="1" x14ac:dyDescent="0.35">
      <c r="DQ89" s="290" t="s">
        <v>506</v>
      </c>
      <c r="DR89" s="290" t="s">
        <v>476</v>
      </c>
      <c r="DS89" s="291">
        <v>-38.299999999999997</v>
      </c>
      <c r="DT89" s="291">
        <v>107</v>
      </c>
      <c r="DU89" s="290">
        <v>-0.36</v>
      </c>
      <c r="DV89" s="290">
        <v>0.72</v>
      </c>
      <c r="DW89" s="291"/>
    </row>
    <row r="90" spans="121:128" thickTop="1" thickBot="1" x14ac:dyDescent="0.35">
      <c r="DQ90" s="290" t="s">
        <v>506</v>
      </c>
      <c r="DR90" s="290" t="s">
        <v>477</v>
      </c>
      <c r="DS90" s="291">
        <v>-20.2</v>
      </c>
      <c r="DT90" s="291">
        <v>67.5</v>
      </c>
      <c r="DU90" s="290">
        <v>-0.3</v>
      </c>
      <c r="DV90" s="290">
        <v>0.77</v>
      </c>
    </row>
    <row r="91" spans="121:128" thickTop="1" thickBot="1" x14ac:dyDescent="0.35">
      <c r="DQ91" s="290" t="s">
        <v>506</v>
      </c>
      <c r="DR91" s="290" t="s">
        <v>478</v>
      </c>
      <c r="DS91" s="291">
        <v>-18</v>
      </c>
      <c r="DT91" s="291">
        <v>64.3</v>
      </c>
      <c r="DU91" s="290">
        <v>-0.28000000000000003</v>
      </c>
      <c r="DV91" s="290">
        <v>0.78</v>
      </c>
    </row>
    <row r="92" spans="121:128" thickTop="1" thickBot="1" x14ac:dyDescent="0.35">
      <c r="DQ92" s="290" t="s">
        <v>506</v>
      </c>
      <c r="DR92" s="290" t="s">
        <v>479</v>
      </c>
      <c r="DS92" s="291">
        <v>-15.5</v>
      </c>
      <c r="DT92" s="291">
        <v>58</v>
      </c>
      <c r="DU92" s="290">
        <v>-0.27</v>
      </c>
      <c r="DV92" s="290">
        <v>0.79</v>
      </c>
    </row>
    <row r="93" spans="121:128" thickTop="1" thickBot="1" x14ac:dyDescent="0.35">
      <c r="DQ93" s="290" t="s">
        <v>506</v>
      </c>
      <c r="DR93" s="290" t="s">
        <v>481</v>
      </c>
      <c r="DS93" s="291">
        <v>0.16300000000000001</v>
      </c>
      <c r="DT93" s="291">
        <v>7.7300000000000003E-4</v>
      </c>
      <c r="DU93" s="290">
        <v>210.45</v>
      </c>
      <c r="DV93" s="290" t="s">
        <v>509</v>
      </c>
      <c r="DW93" s="291">
        <v>2E-16</v>
      </c>
      <c r="DX93" s="81" t="s">
        <v>510</v>
      </c>
    </row>
    <row r="94" spans="121:128" thickTop="1" thickBot="1" x14ac:dyDescent="0.35">
      <c r="DQ94" s="290" t="s">
        <v>506</v>
      </c>
      <c r="DR94" s="290" t="s">
        <v>482</v>
      </c>
      <c r="DS94" s="291">
        <v>4.4499999999999998E-2</v>
      </c>
      <c r="DT94" s="291">
        <v>2.7799999999999998E-4</v>
      </c>
      <c r="DU94" s="290">
        <v>160.19999999999999</v>
      </c>
      <c r="DV94" s="290" t="s">
        <v>509</v>
      </c>
      <c r="DW94" s="291">
        <v>2E-16</v>
      </c>
      <c r="DX94" s="81" t="s">
        <v>510</v>
      </c>
    </row>
    <row r="95" spans="121:128" thickTop="1" thickBot="1" x14ac:dyDescent="0.35">
      <c r="DQ95" s="290" t="s">
        <v>506</v>
      </c>
      <c r="DR95" s="290" t="s">
        <v>483</v>
      </c>
      <c r="DS95" s="291">
        <v>0.69799999999999995</v>
      </c>
      <c r="DT95" s="291">
        <v>2.9099999999999998E-3</v>
      </c>
      <c r="DU95" s="290">
        <v>239.68</v>
      </c>
      <c r="DV95" s="290" t="s">
        <v>509</v>
      </c>
      <c r="DW95" s="291">
        <v>2E-16</v>
      </c>
      <c r="DX95" s="81" t="s">
        <v>510</v>
      </c>
    </row>
    <row r="96" spans="121:128" thickTop="1" thickBot="1" x14ac:dyDescent="0.35">
      <c r="DQ96" s="290" t="s">
        <v>506</v>
      </c>
      <c r="DR96" s="290" t="s">
        <v>484</v>
      </c>
      <c r="DS96" s="291">
        <v>8.3099999999999993E-2</v>
      </c>
      <c r="DT96" s="291">
        <v>5.0299999999999997E-4</v>
      </c>
      <c r="DU96" s="290">
        <v>165.27</v>
      </c>
      <c r="DV96" s="290" t="s">
        <v>509</v>
      </c>
      <c r="DW96" s="291">
        <v>2E-16</v>
      </c>
      <c r="DX96" s="81" t="s">
        <v>510</v>
      </c>
    </row>
    <row r="97" spans="121:128" thickTop="1" thickBot="1" x14ac:dyDescent="0.35">
      <c r="DQ97" s="290" t="s">
        <v>506</v>
      </c>
      <c r="DR97" s="290" t="s">
        <v>486</v>
      </c>
      <c r="DS97" s="291">
        <v>227</v>
      </c>
      <c r="DT97" s="291">
        <v>2.2000000000000002</v>
      </c>
      <c r="DU97" s="290">
        <v>103.03</v>
      </c>
      <c r="DV97" s="290" t="s">
        <v>509</v>
      </c>
      <c r="DW97" s="291">
        <v>2E-16</v>
      </c>
      <c r="DX97" s="81" t="s">
        <v>510</v>
      </c>
    </row>
    <row r="98" spans="121:128" thickTop="1" thickBot="1" x14ac:dyDescent="0.35">
      <c r="DQ98" s="290" t="s">
        <v>506</v>
      </c>
      <c r="DR98" s="290" t="s">
        <v>285</v>
      </c>
      <c r="DS98" s="291">
        <v>84.6</v>
      </c>
      <c r="DT98" s="291">
        <v>0.89300000000000002</v>
      </c>
      <c r="DU98" s="290">
        <v>94.71</v>
      </c>
      <c r="DV98" s="290" t="s">
        <v>509</v>
      </c>
      <c r="DW98" s="291">
        <v>2E-16</v>
      </c>
      <c r="DX98" s="81" t="s">
        <v>510</v>
      </c>
    </row>
    <row r="99" spans="121:128" thickTop="1" thickBot="1" x14ac:dyDescent="0.35">
      <c r="DQ99" s="290" t="s">
        <v>506</v>
      </c>
      <c r="DR99" s="290" t="s">
        <v>120</v>
      </c>
      <c r="DS99" s="291">
        <v>42.9</v>
      </c>
      <c r="DT99" s="291">
        <v>0.23699999999999999</v>
      </c>
      <c r="DU99" s="290">
        <v>180.7</v>
      </c>
      <c r="DV99" s="290" t="s">
        <v>509</v>
      </c>
      <c r="DW99" s="291">
        <v>2E-16</v>
      </c>
      <c r="DX99" s="81" t="s">
        <v>510</v>
      </c>
    </row>
    <row r="100" spans="121:128" thickTop="1" thickBot="1" x14ac:dyDescent="0.35">
      <c r="DQ100" s="290" t="s">
        <v>506</v>
      </c>
      <c r="DR100" s="290" t="s">
        <v>488</v>
      </c>
      <c r="DS100" s="291">
        <v>-7.19</v>
      </c>
      <c r="DT100" s="291">
        <v>1.7500000000000002E-2</v>
      </c>
      <c r="DU100" s="290">
        <v>-411.4</v>
      </c>
      <c r="DV100" s="290" t="s">
        <v>509</v>
      </c>
      <c r="DW100" s="291">
        <v>2E-16</v>
      </c>
      <c r="DX100" s="81" t="s">
        <v>510</v>
      </c>
    </row>
    <row r="101" spans="121:128" thickTop="1" thickBot="1" x14ac:dyDescent="0.35">
      <c r="DQ101" s="290" t="s">
        <v>506</v>
      </c>
      <c r="DR101" s="290" t="s">
        <v>489</v>
      </c>
      <c r="DS101" s="291">
        <v>-6.52</v>
      </c>
      <c r="DT101" s="291">
        <v>1.6899999999999998E-2</v>
      </c>
      <c r="DU101" s="290">
        <v>-387.04</v>
      </c>
      <c r="DV101" s="290" t="s">
        <v>509</v>
      </c>
      <c r="DW101" s="291">
        <v>2E-16</v>
      </c>
      <c r="DX101" s="81" t="s">
        <v>510</v>
      </c>
    </row>
    <row r="102" spans="121:128" thickTop="1" thickBot="1" x14ac:dyDescent="0.35">
      <c r="DQ102" s="290" t="s">
        <v>506</v>
      </c>
      <c r="DR102" s="290" t="s">
        <v>490</v>
      </c>
      <c r="DS102" s="291">
        <v>-6.56</v>
      </c>
      <c r="DT102" s="291">
        <v>1.7299999999999999E-2</v>
      </c>
      <c r="DU102" s="290">
        <v>-379.52</v>
      </c>
      <c r="DV102" s="290" t="s">
        <v>509</v>
      </c>
      <c r="DW102" s="291">
        <v>2E-16</v>
      </c>
      <c r="DX102" s="81" t="s">
        <v>510</v>
      </c>
    </row>
    <row r="103" spans="121:128" thickTop="1" thickBot="1" x14ac:dyDescent="0.35">
      <c r="DQ103" s="290" t="s">
        <v>506</v>
      </c>
      <c r="DR103" s="290" t="s">
        <v>491</v>
      </c>
      <c r="DS103" s="291">
        <v>-5.99</v>
      </c>
      <c r="DT103" s="291">
        <v>2.3800000000000002E-2</v>
      </c>
      <c r="DU103" s="290">
        <v>-251.84</v>
      </c>
      <c r="DV103" s="290" t="s">
        <v>509</v>
      </c>
      <c r="DW103" s="291">
        <v>2E-16</v>
      </c>
      <c r="DX103" s="81" t="s">
        <v>510</v>
      </c>
    </row>
    <row r="104" spans="121:128" thickTop="1" thickBot="1" x14ac:dyDescent="0.35">
      <c r="DQ104" s="290" t="s">
        <v>506</v>
      </c>
      <c r="DR104" s="290" t="s">
        <v>493</v>
      </c>
      <c r="DS104" s="291">
        <v>1.1900000000000001E-2</v>
      </c>
      <c r="DT104" s="291">
        <v>4.7500000000000003E-5</v>
      </c>
      <c r="DU104" s="290">
        <v>250.11</v>
      </c>
      <c r="DV104" s="290" t="s">
        <v>509</v>
      </c>
      <c r="DW104" s="291">
        <v>2E-16</v>
      </c>
      <c r="DX104" s="81" t="s">
        <v>510</v>
      </c>
    </row>
    <row r="105" spans="121:128" thickTop="1" thickBot="1" x14ac:dyDescent="0.35">
      <c r="DQ105" s="290" t="s">
        <v>506</v>
      </c>
      <c r="DR105" s="290" t="s">
        <v>494</v>
      </c>
      <c r="DS105" s="291">
        <v>85.4</v>
      </c>
      <c r="DT105" s="291">
        <v>1.61</v>
      </c>
      <c r="DU105" s="290">
        <v>52.91</v>
      </c>
      <c r="DV105" s="290" t="s">
        <v>509</v>
      </c>
      <c r="DW105" s="291">
        <v>2E-16</v>
      </c>
      <c r="DX105" s="81" t="s">
        <v>510</v>
      </c>
    </row>
    <row r="106" spans="121:128" thickTop="1" thickBot="1" x14ac:dyDescent="0.35">
      <c r="DQ106" s="290" t="s">
        <v>506</v>
      </c>
      <c r="DR106" s="290" t="s">
        <v>495</v>
      </c>
      <c r="DS106" s="291">
        <v>7.7200000000000003E-3</v>
      </c>
      <c r="DT106" s="291">
        <v>0.81100000000000005</v>
      </c>
      <c r="DU106" s="290">
        <v>0.01</v>
      </c>
      <c r="DV106" s="290">
        <v>0.99</v>
      </c>
    </row>
    <row r="107" spans="121:128" thickTop="1" thickBot="1" x14ac:dyDescent="0.35">
      <c r="DS107" s="291"/>
      <c r="DT107" s="291"/>
    </row>
    <row r="108" spans="121:128" thickTop="1" thickBot="1" x14ac:dyDescent="0.35">
      <c r="DQ108" s="290" t="s">
        <v>565</v>
      </c>
    </row>
    <row r="109" spans="121:128" thickTop="1" thickBot="1" x14ac:dyDescent="0.35">
      <c r="DQ109" s="290" t="s">
        <v>506</v>
      </c>
      <c r="DR109" s="290" t="s">
        <v>499</v>
      </c>
    </row>
    <row r="110" spans="121:128" thickTop="1" thickBot="1" x14ac:dyDescent="0.35">
      <c r="DQ110" s="290" t="s">
        <v>506</v>
      </c>
      <c r="DR110" s="290" t="s">
        <v>500</v>
      </c>
      <c r="DS110" s="290" t="s">
        <v>501</v>
      </c>
      <c r="DT110" s="290" t="s">
        <v>502</v>
      </c>
      <c r="DU110" s="290" t="s">
        <v>503</v>
      </c>
      <c r="DV110" s="290" t="s">
        <v>504</v>
      </c>
      <c r="DW110" s="290" t="s">
        <v>508</v>
      </c>
      <c r="DX110" s="81" t="s">
        <v>510</v>
      </c>
    </row>
    <row r="111" spans="121:128" thickTop="1" thickBot="1" x14ac:dyDescent="0.35">
      <c r="DQ111" s="290" t="s">
        <v>506</v>
      </c>
      <c r="DR111" s="290" t="s">
        <v>513</v>
      </c>
      <c r="DS111" s="291">
        <v>292</v>
      </c>
      <c r="DT111" s="291">
        <v>6.08E-2</v>
      </c>
      <c r="DU111" s="290">
        <v>4810.16</v>
      </c>
      <c r="DV111" s="290" t="s">
        <v>505</v>
      </c>
      <c r="DW111" s="290" t="s">
        <v>510</v>
      </c>
      <c r="DX111" s="81" t="s">
        <v>510</v>
      </c>
    </row>
    <row r="112" spans="121:128" thickTop="1" thickBot="1" x14ac:dyDescent="0.35">
      <c r="DQ112" s="290" t="s">
        <v>506</v>
      </c>
      <c r="DR112" s="290" t="s">
        <v>514</v>
      </c>
      <c r="DS112" s="291">
        <v>296</v>
      </c>
      <c r="DT112" s="291">
        <v>0.151</v>
      </c>
      <c r="DU112" s="290">
        <v>1956.66</v>
      </c>
      <c r="DV112" s="290" t="s">
        <v>505</v>
      </c>
      <c r="DW112" s="291" t="s">
        <v>510</v>
      </c>
      <c r="DX112" s="81" t="s">
        <v>510</v>
      </c>
    </row>
    <row r="113" spans="121:134" thickTop="1" thickBot="1" x14ac:dyDescent="0.35">
      <c r="DQ113" s="290" t="s">
        <v>506</v>
      </c>
      <c r="DR113" s="290" t="s">
        <v>423</v>
      </c>
      <c r="DS113" s="291">
        <v>0.156</v>
      </c>
      <c r="DT113" s="291">
        <v>1.8500000000000001E-3</v>
      </c>
      <c r="DU113" s="290">
        <v>84.78</v>
      </c>
      <c r="DV113" s="290" t="s">
        <v>505</v>
      </c>
      <c r="DW113" s="291" t="s">
        <v>510</v>
      </c>
    </row>
    <row r="114" spans="121:134" thickTop="1" thickBot="1" x14ac:dyDescent="0.35">
      <c r="DQ114" s="290" t="s">
        <v>506</v>
      </c>
      <c r="DR114" s="290" t="s">
        <v>424</v>
      </c>
      <c r="DS114" s="291">
        <v>0.27200000000000002</v>
      </c>
      <c r="DT114" s="291">
        <v>3.96E-3</v>
      </c>
      <c r="DU114" s="290">
        <v>68.67</v>
      </c>
      <c r="DV114" s="290" t="s">
        <v>505</v>
      </c>
      <c r="DW114" s="291" t="s">
        <v>510</v>
      </c>
      <c r="DX114" s="81" t="s">
        <v>510</v>
      </c>
    </row>
    <row r="115" spans="121:134" thickTop="1" thickBot="1" x14ac:dyDescent="0.35">
      <c r="DQ115" s="290" t="s">
        <v>506</v>
      </c>
      <c r="DR115" s="290" t="s">
        <v>515</v>
      </c>
      <c r="DS115" s="291">
        <v>997000000</v>
      </c>
      <c r="DT115" s="291">
        <v>9960000</v>
      </c>
      <c r="DU115" s="290">
        <v>100.1</v>
      </c>
      <c r="DV115" s="291" t="s">
        <v>505</v>
      </c>
      <c r="DW115" s="290" t="s">
        <v>510</v>
      </c>
    </row>
    <row r="116" spans="121:134" thickTop="1" thickBot="1" x14ac:dyDescent="0.35">
      <c r="DQ116" s="290" t="s">
        <v>506</v>
      </c>
      <c r="DR116" s="290" t="s">
        <v>426</v>
      </c>
      <c r="DS116" s="291">
        <v>992000000</v>
      </c>
      <c r="DT116" s="291">
        <v>43300000</v>
      </c>
      <c r="DU116" s="290">
        <v>22.9</v>
      </c>
      <c r="DV116" s="290" t="s">
        <v>505</v>
      </c>
      <c r="DW116" s="291" t="s">
        <v>510</v>
      </c>
    </row>
    <row r="117" spans="121:134" thickTop="1" thickBot="1" x14ac:dyDescent="0.35">
      <c r="DQ117" s="290" t="s">
        <v>506</v>
      </c>
      <c r="DR117" s="290" t="s">
        <v>480</v>
      </c>
      <c r="DS117" s="291">
        <v>-15.6</v>
      </c>
      <c r="DT117" s="291">
        <v>12.2</v>
      </c>
      <c r="DU117" s="290">
        <v>-1.28</v>
      </c>
      <c r="DV117" s="290">
        <v>0.2</v>
      </c>
      <c r="DX117" s="81" t="s">
        <v>510</v>
      </c>
    </row>
    <row r="118" spans="121:134" thickTop="1" thickBot="1" x14ac:dyDescent="0.35">
      <c r="DQ118" s="290" t="s">
        <v>506</v>
      </c>
      <c r="DR118" s="290" t="s">
        <v>517</v>
      </c>
      <c r="DS118" s="291">
        <v>-15.8</v>
      </c>
      <c r="DT118" s="291">
        <v>47</v>
      </c>
      <c r="DU118" s="290">
        <v>-0.34</v>
      </c>
      <c r="DV118" s="290">
        <v>0.74</v>
      </c>
      <c r="DX118" s="81" t="s">
        <v>510</v>
      </c>
    </row>
    <row r="119" spans="121:134" thickTop="1" thickBot="1" x14ac:dyDescent="0.35">
      <c r="DQ119" s="290" t="s">
        <v>506</v>
      </c>
      <c r="DR119" s="290" t="s">
        <v>518</v>
      </c>
      <c r="DS119" s="291">
        <v>4.3799999999999999E-2</v>
      </c>
      <c r="DT119" s="291">
        <v>1.6200000000000001E-4</v>
      </c>
      <c r="DU119" s="290">
        <v>270.29000000000002</v>
      </c>
      <c r="DV119" s="290" t="s">
        <v>505</v>
      </c>
      <c r="DW119" s="291" t="s">
        <v>510</v>
      </c>
      <c r="DX119" s="81" t="s">
        <v>510</v>
      </c>
    </row>
    <row r="120" spans="121:134" thickTop="1" thickBot="1" x14ac:dyDescent="0.35">
      <c r="DQ120" s="290" t="s">
        <v>506</v>
      </c>
      <c r="DR120" s="290" t="s">
        <v>519</v>
      </c>
      <c r="DS120" s="291">
        <v>8.1600000000000006E-2</v>
      </c>
      <c r="DT120" s="291">
        <v>3.5300000000000002E-4</v>
      </c>
      <c r="DU120" s="290">
        <v>231.16</v>
      </c>
      <c r="DV120" s="290" t="s">
        <v>505</v>
      </c>
      <c r="DW120" s="291" t="s">
        <v>510</v>
      </c>
      <c r="DX120" s="81" t="s">
        <v>510</v>
      </c>
    </row>
    <row r="121" spans="121:134" thickTop="1" thickBot="1" x14ac:dyDescent="0.35">
      <c r="DQ121" s="290" t="s">
        <v>506</v>
      </c>
      <c r="DR121" s="290" t="s">
        <v>492</v>
      </c>
      <c r="DS121" s="291">
        <v>-5.84</v>
      </c>
      <c r="DT121" s="291">
        <v>2.8799999999999999E-2</v>
      </c>
      <c r="DU121" s="290">
        <v>-202.43</v>
      </c>
      <c r="DV121" s="290" t="s">
        <v>505</v>
      </c>
      <c r="DW121" s="291" t="s">
        <v>510</v>
      </c>
      <c r="DX121" s="81" t="s">
        <v>510</v>
      </c>
    </row>
    <row r="122" spans="121:134" thickTop="1" thickBot="1" x14ac:dyDescent="0.35">
      <c r="DQ122" s="290" t="s">
        <v>506</v>
      </c>
      <c r="DR122" s="290" t="s">
        <v>520</v>
      </c>
      <c r="DS122" s="291">
        <v>-6.21</v>
      </c>
      <c r="DT122" s="291">
        <v>1.6799999999999999E-2</v>
      </c>
      <c r="DU122" s="290">
        <v>-370.36</v>
      </c>
      <c r="DV122" s="290" t="s">
        <v>505</v>
      </c>
      <c r="DW122" s="291" t="s">
        <v>510</v>
      </c>
      <c r="DX122" s="81" t="s">
        <v>510</v>
      </c>
    </row>
    <row r="123" spans="121:134" thickTop="1" thickBot="1" x14ac:dyDescent="0.35">
      <c r="DQ123" s="290" t="s">
        <v>506</v>
      </c>
      <c r="DR123" s="290" t="s">
        <v>429</v>
      </c>
      <c r="DS123" s="291">
        <v>148</v>
      </c>
      <c r="DT123" s="291">
        <v>0.93300000000000005</v>
      </c>
      <c r="DU123" s="290">
        <v>158.61000000000001</v>
      </c>
      <c r="DV123" s="290" t="s">
        <v>505</v>
      </c>
      <c r="DW123" s="291" t="s">
        <v>510</v>
      </c>
      <c r="DX123" s="81" t="s">
        <v>510</v>
      </c>
    </row>
    <row r="124" spans="121:134" thickTop="1" thickBot="1" x14ac:dyDescent="0.35">
      <c r="DQ124" s="290" t="s">
        <v>506</v>
      </c>
      <c r="DR124" s="290" t="s">
        <v>430</v>
      </c>
      <c r="DS124" s="291">
        <v>2.0200000000000001E-3</v>
      </c>
      <c r="DT124" s="291">
        <v>0.41399999999999998</v>
      </c>
      <c r="DU124" s="290">
        <v>0</v>
      </c>
      <c r="DV124" s="290">
        <v>1</v>
      </c>
      <c r="DW124" s="291"/>
    </row>
    <row r="125" spans="121:134" thickTop="1" thickBot="1" x14ac:dyDescent="0.35">
      <c r="DQ125" s="290" t="s">
        <v>506</v>
      </c>
      <c r="DR125" s="290" t="s">
        <v>431</v>
      </c>
      <c r="DS125" s="291">
        <v>87</v>
      </c>
      <c r="DT125" s="291">
        <v>2.23</v>
      </c>
      <c r="DU125" s="290">
        <v>39.020000000000003</v>
      </c>
      <c r="DV125" s="290" t="s">
        <v>505</v>
      </c>
      <c r="DW125" s="291" t="s">
        <v>510</v>
      </c>
      <c r="DX125" s="81">
        <v>0.01</v>
      </c>
      <c r="ED125" s="81" t="s">
        <v>564</v>
      </c>
    </row>
    <row r="126" spans="121:134" thickTop="1" thickBot="1" x14ac:dyDescent="0.35">
      <c r="DQ126" s="290" t="s">
        <v>506</v>
      </c>
      <c r="DR126" s="290" t="s">
        <v>559</v>
      </c>
    </row>
    <row r="127" spans="121:134" thickTop="1" thickBot="1" x14ac:dyDescent="0.35">
      <c r="DQ127" s="290" t="s">
        <v>506</v>
      </c>
      <c r="DR127" s="290" t="s">
        <v>560</v>
      </c>
      <c r="DS127" s="290" t="s">
        <v>561</v>
      </c>
      <c r="DT127" s="290">
        <v>0</v>
      </c>
      <c r="DU127" s="290" t="s">
        <v>562</v>
      </c>
      <c r="DV127" s="290">
        <v>1E-3</v>
      </c>
      <c r="DW127" s="290" t="s">
        <v>563</v>
      </c>
    </row>
  </sheetData>
  <mergeCells count="7">
    <mergeCell ref="E36:F36"/>
    <mergeCell ref="A1:G1"/>
    <mergeCell ref="A3:H3"/>
    <mergeCell ref="K3:U3"/>
    <mergeCell ref="W3:AH3"/>
    <mergeCell ref="L4:P4"/>
    <mergeCell ref="E33:F33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127"/>
  <sheetViews>
    <sheetView tabSelected="1" topLeftCell="A36" zoomScale="55" zoomScaleNormal="55" workbookViewId="0">
      <selection activeCell="B65" sqref="B65"/>
    </sheetView>
  </sheetViews>
  <sheetFormatPr defaultColWidth="9.109375" defaultRowHeight="15.6" thickTop="1" thickBottom="1" x14ac:dyDescent="0.35"/>
  <cols>
    <col min="1" max="5" width="9.109375" style="81"/>
    <col min="6" max="6" width="8.33203125" style="81" bestFit="1" customWidth="1"/>
    <col min="7" max="7" width="6.88671875" style="81" bestFit="1" customWidth="1"/>
    <col min="8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3"/>
    <col min="19" max="21" width="9.109375" style="81"/>
    <col min="22" max="22" width="9.109375" style="1"/>
    <col min="23" max="35" width="9.109375" style="81"/>
    <col min="36" max="37" width="9.109375" style="173"/>
    <col min="38" max="38" width="9.109375" style="154"/>
    <col min="39" max="39" width="10.33203125" style="154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99"/>
    <col min="52" max="52" width="16.109375" style="206" customWidth="1"/>
    <col min="53" max="53" width="9.109375" style="199"/>
    <col min="54" max="65" width="9.109375" style="81" customWidth="1"/>
    <col min="66" max="67" width="9.109375" style="173"/>
    <col min="68" max="68" width="9.109375" style="154"/>
    <col min="69" max="69" width="10.33203125" style="154" bestFit="1" customWidth="1"/>
    <col min="70" max="71" width="9.109375" style="81"/>
    <col min="72" max="72" width="12.6640625" style="81" bestFit="1" customWidth="1"/>
    <col min="73" max="74" width="12.6640625" style="81" customWidth="1"/>
    <col min="75" max="77" width="9.109375" style="81"/>
    <col min="78" max="78" width="10.44140625" style="210" bestFit="1" customWidth="1"/>
    <col min="79" max="79" width="10.44140625" style="210" customWidth="1"/>
    <col min="80" max="80" width="9.109375" style="81"/>
    <col min="81" max="81" width="10.5546875" style="81" bestFit="1" customWidth="1"/>
    <col min="82" max="86" width="9.109375" style="81"/>
    <col min="87" max="87" width="11" style="81" customWidth="1"/>
    <col min="88" max="92" width="9.109375" style="81"/>
    <col min="93" max="93" width="19.44140625" style="81" bestFit="1" customWidth="1"/>
    <col min="94" max="94" width="12" style="81" customWidth="1"/>
    <col min="95" max="95" width="11" style="81" customWidth="1"/>
    <col min="96" max="99" width="9.109375" style="81"/>
    <col min="100" max="100" width="9.109375" style="212"/>
    <col min="101" max="101" width="9.109375" style="81"/>
    <col min="102" max="102" width="19.44140625" style="81" bestFit="1" customWidth="1"/>
    <col min="103" max="113" width="9.109375" style="81"/>
    <col min="114" max="114" width="9.6640625" style="81" bestFit="1" customWidth="1"/>
    <col min="115" max="116" width="9.109375" style="81"/>
    <col min="117" max="119" width="9.88671875" style="81" bestFit="1" customWidth="1"/>
    <col min="120" max="120" width="9.109375" style="81"/>
    <col min="121" max="127" width="9.109375" style="290"/>
    <col min="128" max="128" width="9.109375" style="81"/>
    <col min="129" max="129" width="15.5546875" style="212" bestFit="1" customWidth="1"/>
    <col min="130" max="133" width="9.109375" style="212"/>
    <col min="134" max="16384" width="9.109375" style="81"/>
  </cols>
  <sheetData>
    <row r="1" spans="1:139" ht="20.25" customHeight="1" thickTop="1" thickBot="1" x14ac:dyDescent="0.45">
      <c r="A1" s="315" t="s">
        <v>0</v>
      </c>
      <c r="B1" s="315"/>
      <c r="C1" s="315"/>
      <c r="D1" s="315"/>
      <c r="E1" s="315"/>
      <c r="F1" s="315"/>
      <c r="G1" s="315"/>
      <c r="AO1" s="191" t="s">
        <v>384</v>
      </c>
      <c r="BD1" s="81" t="s">
        <v>435</v>
      </c>
      <c r="BE1" s="191"/>
      <c r="BF1" s="191" t="s">
        <v>436</v>
      </c>
      <c r="BS1" s="191" t="s">
        <v>384</v>
      </c>
      <c r="EE1" s="160"/>
      <c r="EF1" s="160"/>
      <c r="EG1" s="160"/>
      <c r="EH1" s="160"/>
      <c r="EI1" s="160"/>
    </row>
    <row r="2" spans="1:139" thickTop="1" thickBot="1" x14ac:dyDescent="0.35">
      <c r="AO2" s="81" t="s">
        <v>385</v>
      </c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  <c r="EE2" s="160"/>
      <c r="EF2" s="160"/>
      <c r="EG2" s="160"/>
      <c r="EH2" s="160"/>
      <c r="EI2" s="160"/>
    </row>
    <row r="3" spans="1:139" thickTop="1" thickBot="1" x14ac:dyDescent="0.35">
      <c r="A3" s="321" t="s">
        <v>1</v>
      </c>
      <c r="B3" s="322"/>
      <c r="C3" s="322"/>
      <c r="D3" s="322"/>
      <c r="E3" s="322"/>
      <c r="F3" s="322"/>
      <c r="G3" s="322"/>
      <c r="H3" s="323"/>
      <c r="I3" s="305"/>
      <c r="K3" s="312" t="s">
        <v>2</v>
      </c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4"/>
      <c r="W3" s="312" t="s">
        <v>3</v>
      </c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E3" s="208"/>
      <c r="BF3" s="208" t="s">
        <v>437</v>
      </c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0.21369000387775008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610</v>
      </c>
      <c r="EF3" s="160"/>
      <c r="EG3" s="160"/>
      <c r="EH3" s="160"/>
      <c r="EI3" s="160"/>
    </row>
    <row r="4" spans="1:139" ht="15.75" customHeight="1" thickTop="1" thickBot="1" x14ac:dyDescent="0.35">
      <c r="A4" s="214" t="s">
        <v>6</v>
      </c>
      <c r="B4" s="215">
        <f>'Tabula data'!B5</f>
        <v>710.5</v>
      </c>
      <c r="C4" s="215" t="s">
        <v>7</v>
      </c>
      <c r="D4" s="214" t="s">
        <v>8</v>
      </c>
      <c r="E4" s="215"/>
      <c r="F4" s="215"/>
      <c r="G4" s="216">
        <f>SUM(H6:H13)</f>
        <v>45.4</v>
      </c>
      <c r="H4" s="217" t="s">
        <v>9</v>
      </c>
      <c r="I4" s="225"/>
      <c r="L4" s="324" t="s">
        <v>2</v>
      </c>
      <c r="M4" s="325"/>
      <c r="N4" s="325"/>
      <c r="O4" s="325"/>
      <c r="P4" s="326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SUM(O6:O9)/SUM($O$6:$O$14,$O$26,2*$O$27)</f>
        <v>0.21369000387775008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F4" s="81" t="s">
        <v>281</v>
      </c>
      <c r="BG4" s="81">
        <f>1/(1/AP19+1/AP23)</f>
        <v>62.992234568807334</v>
      </c>
      <c r="BJ4" s="81" t="s">
        <v>439</v>
      </c>
      <c r="BK4" s="81">
        <f>BG4</f>
        <v>62.992234568807334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s="81" t="s">
        <v>498</v>
      </c>
      <c r="CN4" s="81" t="s">
        <v>497</v>
      </c>
      <c r="CO4" s="81" t="s">
        <v>507</v>
      </c>
      <c r="DL4" s="81" t="s">
        <v>393</v>
      </c>
      <c r="DM4" s="286">
        <f t="shared" ref="DM4:DM49" si="0">AP5</f>
        <v>0.42738000775550017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  <c r="EE4" s="160"/>
      <c r="EF4" s="160"/>
      <c r="EG4" s="160"/>
      <c r="EH4" s="160"/>
      <c r="EI4" s="160"/>
    </row>
    <row r="5" spans="1:139" ht="15" customHeight="1" thickTop="1" thickBot="1" x14ac:dyDescent="0.35">
      <c r="A5" s="218"/>
      <c r="B5" s="219"/>
      <c r="C5" s="219"/>
      <c r="D5" s="220"/>
      <c r="E5" s="221"/>
      <c r="F5" s="221"/>
      <c r="G5" s="221"/>
      <c r="H5" s="222"/>
      <c r="I5" s="221"/>
      <c r="K5" s="81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0.27062537995411134</v>
      </c>
      <c r="AB5" s="261" t="s">
        <v>5</v>
      </c>
      <c r="AC5" s="261"/>
      <c r="AD5" s="261" t="s">
        <v>22</v>
      </c>
      <c r="AE5" s="264">
        <f>SUM(AE7:AE10)</f>
        <v>66192</v>
      </c>
      <c r="AF5" s="14" t="s">
        <v>23</v>
      </c>
      <c r="AG5" s="14">
        <f>SUM(AE9:AE10)</f>
        <v>30492</v>
      </c>
      <c r="AH5" s="14"/>
      <c r="AM5" s="154" t="s">
        <v>389</v>
      </c>
      <c r="AN5" s="81" t="s">
        <v>390</v>
      </c>
      <c r="AO5" s="81" t="s">
        <v>393</v>
      </c>
      <c r="AP5" s="81">
        <f>SUM(2*O27)/SUM($O$6:$O$14,$O$26,2*$O$27)</f>
        <v>0.42738000775550017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F5" s="81" t="s">
        <v>291</v>
      </c>
      <c r="BG5" s="204">
        <f>AP10</f>
        <v>23146317.810000002</v>
      </c>
      <c r="BJ5" s="81" t="s">
        <v>440</v>
      </c>
      <c r="BK5" s="81">
        <f>BG24</f>
        <v>61.679846714866159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N5" s="81" t="s">
        <v>499</v>
      </c>
      <c r="DL5" s="81" t="s">
        <v>394</v>
      </c>
      <c r="DM5" s="286">
        <f t="shared" si="0"/>
        <v>3.9309377042853776E-2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Y5" s="212" t="s">
        <v>568</v>
      </c>
      <c r="DZ5" s="292" t="s">
        <v>569</v>
      </c>
      <c r="EA5" s="292" t="s">
        <v>434</v>
      </c>
      <c r="EB5" s="293">
        <f>DS12</f>
        <v>1.1000000000000001</v>
      </c>
      <c r="EC5" s="212" t="s">
        <v>392</v>
      </c>
      <c r="EE5" s="160" t="s">
        <v>568</v>
      </c>
      <c r="EF5" s="306" t="s">
        <v>569</v>
      </c>
      <c r="EG5" s="306" t="s">
        <v>434</v>
      </c>
      <c r="EH5" s="160">
        <f>$O$11*$Z$37*$AP$4</f>
        <v>0.78037452516115546</v>
      </c>
      <c r="EI5" s="160" t="s">
        <v>392</v>
      </c>
    </row>
    <row r="6" spans="1:139" ht="15" customHeight="1" thickTop="1" thickBot="1" x14ac:dyDescent="0.35">
      <c r="A6" s="223" t="s">
        <v>34</v>
      </c>
      <c r="B6" s="224">
        <f>'Tabula data'!B4</f>
        <v>258.39999999999998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0.1526431718061674</v>
      </c>
      <c r="G6" s="221"/>
      <c r="H6" s="228">
        <f>'Tabula data'!B16*'Tabula RefULG 2'!C45</f>
        <v>6.93</v>
      </c>
      <c r="I6" s="240"/>
      <c r="K6" s="81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54.722250000000003</v>
      </c>
      <c r="P6" s="249" t="s">
        <v>26</v>
      </c>
      <c r="Q6" s="30">
        <f t="shared" ref="Q6:Q28" si="6">VLOOKUP(N6,$X$5:$AA$391,4,0)</f>
        <v>0.36462385321100915</v>
      </c>
      <c r="R6" s="30">
        <f t="shared" ref="R6:R28" si="7">Q6*O6</f>
        <v>19.953037651376146</v>
      </c>
      <c r="S6" s="30">
        <f t="shared" ref="S6:S14" si="8">VLOOKUP(N6,$X$5:$AE$391,8,0)*O6</f>
        <v>13934342.4066</v>
      </c>
      <c r="T6" s="30">
        <f t="shared" ref="T6:T14" si="9">S6/O6</f>
        <v>254637.6</v>
      </c>
      <c r="U6" s="30">
        <f t="shared" ref="U6:U14" si="10">VLOOKUP(N6,$X$5:$AG$391,10,0)*O6</f>
        <v>7331687.0550000006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SUM(O10:O13)/SUM($O$6:$O$14,$O$26,2*$O$27)</f>
        <v>3.9309377042853776E-2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F6" s="81" t="s">
        <v>282</v>
      </c>
      <c r="BG6" s="3">
        <f>AP22</f>
        <v>94.138005263157908</v>
      </c>
      <c r="BJ6" s="81" t="s">
        <v>441</v>
      </c>
      <c r="BK6" s="3">
        <f>BG6</f>
        <v>94.138005263157908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s="81" t="s">
        <v>501</v>
      </c>
      <c r="CJ6" s="81" t="s">
        <v>502</v>
      </c>
      <c r="CK6" s="81" t="s">
        <v>503</v>
      </c>
      <c r="CL6" s="81" t="s">
        <v>504</v>
      </c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V6" s="212" t="s">
        <v>506</v>
      </c>
      <c r="CW6" s="81" t="s">
        <v>497</v>
      </c>
      <c r="CX6" s="81" t="s">
        <v>521</v>
      </c>
      <c r="DL6" s="81" t="s">
        <v>395</v>
      </c>
      <c r="DM6" s="286">
        <f t="shared" si="0"/>
        <v>0.17168475561825378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Y6" s="212" t="s">
        <v>568</v>
      </c>
      <c r="DZ6" s="292" t="s">
        <v>570</v>
      </c>
      <c r="EA6" s="292" t="s">
        <v>434</v>
      </c>
      <c r="EB6" s="293">
        <f t="shared" ref="EB6:EB24" si="11">DS13</f>
        <v>0.81100000000000005</v>
      </c>
      <c r="EC6" s="212" t="s">
        <v>392</v>
      </c>
      <c r="EE6" s="160" t="s">
        <v>568</v>
      </c>
      <c r="EF6" s="306" t="s">
        <v>570</v>
      </c>
      <c r="EG6" s="306" t="s">
        <v>434</v>
      </c>
      <c r="EH6" s="160">
        <f>$O$10*$Z$37*$AP$4</f>
        <v>0.69600971163021974</v>
      </c>
      <c r="EI6" s="160" t="s">
        <v>392</v>
      </c>
    </row>
    <row r="7" spans="1:139" ht="15" customHeight="1" thickTop="1" thickBot="1" x14ac:dyDescent="0.35">
      <c r="A7" s="226" t="s">
        <v>42</v>
      </c>
      <c r="B7" s="229">
        <f>'Tabula data'!B14</f>
        <v>138.80000000000001</v>
      </c>
      <c r="C7" s="230" t="s">
        <v>9</v>
      </c>
      <c r="D7" s="226" t="s">
        <v>43</v>
      </c>
      <c r="E7" s="221" t="s">
        <v>36</v>
      </c>
      <c r="F7" s="227">
        <f t="shared" si="5"/>
        <v>0.17114537444933919</v>
      </c>
      <c r="G7" s="221"/>
      <c r="H7" s="228">
        <f>'Tabula data'!B17*'Tabula RefULG 2'!C45</f>
        <v>7.77</v>
      </c>
      <c r="I7" s="240"/>
      <c r="K7" s="81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31.657499999999995</v>
      </c>
      <c r="P7" s="253" t="s">
        <v>39</v>
      </c>
      <c r="Q7" s="30">
        <f t="shared" si="6"/>
        <v>0.36462385321100915</v>
      </c>
      <c r="R7" s="30">
        <f t="shared" si="7"/>
        <v>11.543079633027521</v>
      </c>
      <c r="S7" s="30">
        <f t="shared" si="8"/>
        <v>8061189.8219999988</v>
      </c>
      <c r="T7" s="30">
        <f t="shared" si="9"/>
        <v>254637.6</v>
      </c>
      <c r="U7" s="30">
        <f t="shared" si="10"/>
        <v>4241471.8499999996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SUM(O14)/SUM($O$6:$O$14,$O$26,2*$O$27)</f>
        <v>0.17168475561825378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F7" s="81" t="s">
        <v>122</v>
      </c>
      <c r="BG7" s="204">
        <f>AP9</f>
        <v>2008375.4092879263</v>
      </c>
      <c r="BJ7" s="81" t="s">
        <v>442</v>
      </c>
      <c r="BK7" s="3">
        <f>BG25</f>
        <v>53.588194736842112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 s="81">
        <v>2836.8</v>
      </c>
      <c r="CL7" s="81" t="s">
        <v>505</v>
      </c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292</v>
      </c>
      <c r="DT7" s="291">
        <v>0.11</v>
      </c>
      <c r="DU7" s="290">
        <v>2660.75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1"/>
        <v>1.17</v>
      </c>
      <c r="EC7" s="212" t="s">
        <v>392</v>
      </c>
      <c r="EE7" s="160" t="s">
        <v>568</v>
      </c>
      <c r="EF7" s="307" t="s">
        <v>571</v>
      </c>
      <c r="EG7" s="306" t="s">
        <v>434</v>
      </c>
      <c r="EH7" s="160">
        <f>$O$12*$Z$37*$AP$4</f>
        <v>0.9139521465851369</v>
      </c>
      <c r="EI7" s="160" t="s">
        <v>392</v>
      </c>
    </row>
    <row r="8" spans="1:139" ht="15" customHeight="1" thickTop="1" thickBot="1" x14ac:dyDescent="0.35">
      <c r="A8" s="226" t="s">
        <v>47</v>
      </c>
      <c r="B8" s="229">
        <f>B6-B7</f>
        <v>119.59999999999997</v>
      </c>
      <c r="C8" s="221"/>
      <c r="D8" s="226" t="s">
        <v>48</v>
      </c>
      <c r="E8" s="221" t="s">
        <v>36</v>
      </c>
      <c r="F8" s="227">
        <f t="shared" si="5"/>
        <v>0.20044052863436124</v>
      </c>
      <c r="G8" s="221"/>
      <c r="H8" s="228">
        <f>'Tabula data'!B18*C45</f>
        <v>9.1</v>
      </c>
      <c r="I8" s="240"/>
      <c r="K8" s="81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54.722250000000003</v>
      </c>
      <c r="P8" s="253" t="s">
        <v>45</v>
      </c>
      <c r="Q8" s="30">
        <f t="shared" si="6"/>
        <v>0.36462385321100915</v>
      </c>
      <c r="R8" s="30">
        <f t="shared" si="7"/>
        <v>19.953037651376146</v>
      </c>
      <c r="S8" s="30">
        <f t="shared" si="8"/>
        <v>13934342.4066</v>
      </c>
      <c r="T8" s="30">
        <f t="shared" si="9"/>
        <v>254637.6</v>
      </c>
      <c r="U8" s="30">
        <f t="shared" si="10"/>
        <v>7331687.0550000006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 s="81">
        <v>2780.29</v>
      </c>
      <c r="CL8" s="81" t="s">
        <v>505</v>
      </c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2008375.4092879263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291</v>
      </c>
      <c r="DT8" s="291">
        <v>9.2899999999999996E-2</v>
      </c>
      <c r="DU8" s="290">
        <v>3129.74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1"/>
        <v>0.99</v>
      </c>
      <c r="EC8" s="212" t="s">
        <v>392</v>
      </c>
      <c r="EE8" s="160" t="s">
        <v>568</v>
      </c>
      <c r="EF8" s="308" t="s">
        <v>572</v>
      </c>
      <c r="EG8" s="306" t="s">
        <v>434</v>
      </c>
      <c r="EH8" s="160">
        <f>$O$13*$Z$37*$AP$4</f>
        <v>0.80146572854388931</v>
      </c>
      <c r="EI8" s="160" t="s">
        <v>392</v>
      </c>
    </row>
    <row r="9" spans="1:139" ht="15" customHeight="1" thickTop="1" thickBot="1" x14ac:dyDescent="0.35">
      <c r="A9" s="220"/>
      <c r="B9" s="221"/>
      <c r="C9" s="221"/>
      <c r="D9" s="226" t="s">
        <v>52</v>
      </c>
      <c r="E9" s="231" t="s">
        <v>36</v>
      </c>
      <c r="F9" s="227">
        <f t="shared" si="5"/>
        <v>0.17577092511013215</v>
      </c>
      <c r="G9" s="221"/>
      <c r="H9" s="228">
        <f>'Tabula data'!B19*'Tabula RefULG 2'!C45</f>
        <v>7.9799999999999995</v>
      </c>
      <c r="I9" s="240"/>
      <c r="K9" s="81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31.657499999999995</v>
      </c>
      <c r="P9" s="253" t="s">
        <v>50</v>
      </c>
      <c r="Q9" s="30">
        <f t="shared" si="6"/>
        <v>0.36462385321100915</v>
      </c>
      <c r="R9" s="30">
        <f t="shared" si="7"/>
        <v>11.543079633027521</v>
      </c>
      <c r="S9" s="30">
        <f t="shared" si="8"/>
        <v>8061189.8219999988</v>
      </c>
      <c r="T9" s="30">
        <f t="shared" si="9"/>
        <v>254637.6</v>
      </c>
      <c r="U9" s="30">
        <f t="shared" si="10"/>
        <v>4241471.8499999996</v>
      </c>
      <c r="V9" s="31"/>
      <c r="W9" s="3"/>
      <c r="X9" s="220"/>
      <c r="Y9" s="231" t="s">
        <v>267</v>
      </c>
      <c r="Z9" s="303">
        <v>0.12</v>
      </c>
      <c r="AA9" s="221">
        <v>3.5999999999999997E-2</v>
      </c>
      <c r="AB9" s="221">
        <v>80</v>
      </c>
      <c r="AC9" s="221">
        <v>1470</v>
      </c>
      <c r="AD9" s="268">
        <f>Z9/AA9</f>
        <v>3.3333333333333335</v>
      </c>
      <c r="AE9" s="222">
        <f>Z9*AB9*AC9</f>
        <v>14112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2008375.4092879263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F9" s="81" t="s">
        <v>285</v>
      </c>
      <c r="BG9" s="81">
        <f>AP21</f>
        <v>599.93652733118972</v>
      </c>
      <c r="BJ9" s="81" t="s">
        <v>443</v>
      </c>
      <c r="BK9" s="204">
        <f>BG5</f>
        <v>23146317.810000002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 s="81">
        <v>5435.78</v>
      </c>
      <c r="CL9" s="81" t="s">
        <v>505</v>
      </c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23146317.810000002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294</v>
      </c>
      <c r="DT9" s="291">
        <v>4.9799999999999997E-2</v>
      </c>
      <c r="DU9" s="290">
        <v>5913.11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1"/>
        <v>2.17</v>
      </c>
      <c r="EC9" s="212" t="s">
        <v>392</v>
      </c>
      <c r="EE9" s="160" t="s">
        <v>568</v>
      </c>
      <c r="EF9" s="308" t="s">
        <v>573</v>
      </c>
      <c r="EG9" s="306" t="s">
        <v>434</v>
      </c>
      <c r="EH9" s="160">
        <f>$O$11*$Z$37*$AP$5</f>
        <v>1.5607490503223109</v>
      </c>
      <c r="EI9" s="160" t="s">
        <v>392</v>
      </c>
    </row>
    <row r="10" spans="1:139" ht="15" customHeight="1" thickTop="1" thickBot="1" x14ac:dyDescent="0.35">
      <c r="A10" s="220"/>
      <c r="B10" s="221"/>
      <c r="C10" s="221"/>
      <c r="D10" s="226" t="s">
        <v>35</v>
      </c>
      <c r="E10" s="231" t="s">
        <v>56</v>
      </c>
      <c r="F10" s="227">
        <f t="shared" si="5"/>
        <v>6.5418502202643183E-2</v>
      </c>
      <c r="G10" s="221"/>
      <c r="H10" s="232">
        <f>'Tabula data'!B16*(1-C45)</f>
        <v>2.9700000000000006</v>
      </c>
      <c r="I10" s="238"/>
      <c r="K10" s="81" t="s">
        <v>53</v>
      </c>
      <c r="L10" s="250">
        <v>0</v>
      </c>
      <c r="M10" s="251">
        <v>1</v>
      </c>
      <c r="N10" s="251" t="s">
        <v>54</v>
      </c>
      <c r="O10" s="252">
        <f>H6</f>
        <v>6.93</v>
      </c>
      <c r="P10" s="253" t="s">
        <v>26</v>
      </c>
      <c r="Q10" s="30">
        <f t="shared" si="6"/>
        <v>2</v>
      </c>
      <c r="R10" s="30">
        <f t="shared" si="7"/>
        <v>13.86</v>
      </c>
      <c r="S10" s="30">
        <f t="shared" si="8"/>
        <v>0</v>
      </c>
      <c r="T10" s="30">
        <f t="shared" si="9"/>
        <v>0</v>
      </c>
      <c r="U10" s="30">
        <f t="shared" si="10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23146317.810000002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F10" s="81" t="s">
        <v>293</v>
      </c>
      <c r="BG10" s="204">
        <f>AP11</f>
        <v>34102725.300000004</v>
      </c>
      <c r="BJ10" s="81" t="s">
        <v>444</v>
      </c>
      <c r="BK10" s="204">
        <f>BG26</f>
        <v>14285844.090000004</v>
      </c>
      <c r="BQ10" s="154" t="s">
        <v>389</v>
      </c>
      <c r="BR10" s="81" t="s">
        <v>390</v>
      </c>
      <c r="BS10" s="81" t="s">
        <v>397</v>
      </c>
      <c r="BT10" s="204">
        <f t="shared" ref="BT10:BT12" si="12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 s="81">
        <v>2606.75</v>
      </c>
      <c r="CL10" s="81" t="s">
        <v>505</v>
      </c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s="81" t="s">
        <v>389</v>
      </c>
      <c r="DG10" s="81" t="s">
        <v>390</v>
      </c>
      <c r="DH10" s="81" t="str">
        <f>CW17</f>
        <v>abs1D</v>
      </c>
      <c r="DI10" s="81" t="s">
        <v>434</v>
      </c>
      <c r="DJ10" s="204">
        <f>CX17</f>
        <v>0.17</v>
      </c>
      <c r="DK10" s="81" t="s">
        <v>392</v>
      </c>
      <c r="DL10" s="81" t="s">
        <v>398</v>
      </c>
      <c r="DM10" s="288">
        <f t="shared" si="0"/>
        <v>34102725.300000004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290</v>
      </c>
      <c r="DT10" s="291">
        <v>8.9300000000000004E-2</v>
      </c>
      <c r="DU10" s="290">
        <v>3249.93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1"/>
        <v>1.49</v>
      </c>
      <c r="EC10" s="212" t="s">
        <v>392</v>
      </c>
      <c r="EE10" s="160" t="s">
        <v>568</v>
      </c>
      <c r="EF10" s="308" t="s">
        <v>574</v>
      </c>
      <c r="EG10" s="306" t="s">
        <v>434</v>
      </c>
      <c r="EH10" s="160">
        <f>$O$10*$Z$37*$AP$5</f>
        <v>1.3920194232604395</v>
      </c>
      <c r="EI10" s="160" t="s">
        <v>392</v>
      </c>
    </row>
    <row r="11" spans="1:139" ht="15" customHeight="1" thickTop="1" thickBot="1" x14ac:dyDescent="0.35">
      <c r="A11" s="220"/>
      <c r="B11" s="221"/>
      <c r="C11" s="221"/>
      <c r="D11" s="226" t="s">
        <v>43</v>
      </c>
      <c r="E11" s="231" t="s">
        <v>56</v>
      </c>
      <c r="F11" s="227">
        <f t="shared" si="5"/>
        <v>7.3348017621145387E-2</v>
      </c>
      <c r="G11" s="221"/>
      <c r="H11" s="232">
        <f>'Tabula data'!B17*(1-'Tabula RefULG 2'!C45)</f>
        <v>3.3300000000000005</v>
      </c>
      <c r="I11" s="238"/>
      <c r="K11" s="81" t="s">
        <v>57</v>
      </c>
      <c r="L11" s="250">
        <v>0</v>
      </c>
      <c r="M11" s="251">
        <v>1</v>
      </c>
      <c r="N11" s="251" t="s">
        <v>54</v>
      </c>
      <c r="O11" s="252">
        <f>H7</f>
        <v>7.77</v>
      </c>
      <c r="P11" s="253" t="s">
        <v>39</v>
      </c>
      <c r="Q11" s="30">
        <f t="shared" si="6"/>
        <v>2</v>
      </c>
      <c r="R11" s="30">
        <f t="shared" si="7"/>
        <v>15.54</v>
      </c>
      <c r="S11" s="30">
        <f t="shared" si="8"/>
        <v>0</v>
      </c>
      <c r="T11" s="30">
        <f t="shared" si="9"/>
        <v>0</v>
      </c>
      <c r="U11" s="30">
        <f t="shared" si="10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</f>
        <v>34102725.300000004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F11" s="81" t="s">
        <v>297</v>
      </c>
      <c r="BG11" s="81">
        <f>1/(1/AP48+1/AP49+1/AP50)</f>
        <v>125.37104825291179</v>
      </c>
      <c r="BJ11" s="81" t="s">
        <v>445</v>
      </c>
      <c r="BK11" s="204">
        <f>BG10</f>
        <v>34102725.300000004</v>
      </c>
      <c r="BQ11" s="154" t="s">
        <v>389</v>
      </c>
      <c r="BR11" s="81" t="s">
        <v>390</v>
      </c>
      <c r="BS11" s="81" t="s">
        <v>398</v>
      </c>
      <c r="BT11" s="204">
        <f t="shared" si="12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 s="81">
        <v>4411.26</v>
      </c>
      <c r="CL11" s="81" t="s">
        <v>505</v>
      </c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3">CW18</f>
        <v>abs1N</v>
      </c>
      <c r="DI11" s="81" t="s">
        <v>434</v>
      </c>
      <c r="DJ11" s="204">
        <f t="shared" ref="DJ11:DJ56" si="14">CX18</f>
        <v>0.45</v>
      </c>
      <c r="DK11" s="81" t="s">
        <v>392</v>
      </c>
      <c r="DL11" s="81" t="s">
        <v>399</v>
      </c>
      <c r="DM11" s="288">
        <f t="shared" si="0"/>
        <v>15401248.000000002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292</v>
      </c>
      <c r="DT11" s="291">
        <v>5.7599999999999998E-2</v>
      </c>
      <c r="DU11" s="290">
        <v>5073.26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1"/>
        <v>2.33</v>
      </c>
      <c r="EC11" s="212" t="s">
        <v>392</v>
      </c>
      <c r="EE11" s="160" t="s">
        <v>568</v>
      </c>
      <c r="EF11" s="308" t="s">
        <v>575</v>
      </c>
      <c r="EG11" s="306" t="s">
        <v>434</v>
      </c>
      <c r="EH11" s="160">
        <f>$O$12*$Z$37*$AP$5</f>
        <v>1.8279042931702738</v>
      </c>
      <c r="EI11" s="160" t="s">
        <v>392</v>
      </c>
    </row>
    <row r="12" spans="1:139" ht="15" customHeight="1" thickTop="1" thickBot="1" x14ac:dyDescent="0.35">
      <c r="A12" s="220"/>
      <c r="B12" s="221"/>
      <c r="C12" s="221"/>
      <c r="D12" s="226" t="s">
        <v>48</v>
      </c>
      <c r="E12" s="231" t="s">
        <v>56</v>
      </c>
      <c r="F12" s="227">
        <f t="shared" si="5"/>
        <v>8.5903083700440544E-2</v>
      </c>
      <c r="G12" s="221"/>
      <c r="H12" s="232">
        <f>'Tabula data'!B18*(1-'Tabula RefULG 2'!C45)</f>
        <v>3.9000000000000004</v>
      </c>
      <c r="I12" s="238"/>
      <c r="K12" s="81" t="s">
        <v>59</v>
      </c>
      <c r="L12" s="250">
        <v>0</v>
      </c>
      <c r="M12" s="251">
        <v>1</v>
      </c>
      <c r="N12" s="251" t="s">
        <v>54</v>
      </c>
      <c r="O12" s="252">
        <f>H8</f>
        <v>9.1</v>
      </c>
      <c r="P12" s="253" t="s">
        <v>45</v>
      </c>
      <c r="Q12" s="30">
        <f t="shared" si="6"/>
        <v>2</v>
      </c>
      <c r="R12" s="30">
        <f t="shared" si="7"/>
        <v>18.2</v>
      </c>
      <c r="S12" s="30">
        <f t="shared" si="8"/>
        <v>0</v>
      </c>
      <c r="T12" s="30">
        <f t="shared" si="9"/>
        <v>0</v>
      </c>
      <c r="U12" s="30">
        <f t="shared" si="10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15401248.000000002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F12" s="81" t="s">
        <v>298</v>
      </c>
      <c r="BG12" s="81">
        <f>AP44+AP45</f>
        <v>55678583.999999985</v>
      </c>
      <c r="BJ12" s="81" t="s">
        <v>446</v>
      </c>
      <c r="BK12" s="204">
        <f>BG26</f>
        <v>14285844.090000004</v>
      </c>
      <c r="BQ12" s="154" t="s">
        <v>389</v>
      </c>
      <c r="BR12" s="81" t="s">
        <v>390</v>
      </c>
      <c r="BS12" s="81" t="s">
        <v>399</v>
      </c>
      <c r="BT12" s="204">
        <f t="shared" si="12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 s="81">
        <v>184.38</v>
      </c>
      <c r="CL12" s="81" t="s">
        <v>505</v>
      </c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3"/>
        <v>abs2D</v>
      </c>
      <c r="DI12" s="81" t="s">
        <v>434</v>
      </c>
      <c r="DJ12" s="204">
        <f t="shared" si="14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1.1000000000000001</v>
      </c>
      <c r="DT12" s="291">
        <v>2.7099999999999999E-2</v>
      </c>
      <c r="DU12" s="290">
        <v>40.450000000000003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1"/>
        <v>2.0099999999999998</v>
      </c>
      <c r="EC12" s="212" t="s">
        <v>392</v>
      </c>
      <c r="EE12" s="160" t="s">
        <v>568</v>
      </c>
      <c r="EF12" s="307" t="s">
        <v>576</v>
      </c>
      <c r="EG12" s="306" t="s">
        <v>434</v>
      </c>
      <c r="EH12" s="160">
        <f>$O$13*$Z$37*$AP$5</f>
        <v>1.6029314570877786</v>
      </c>
      <c r="EI12" s="160" t="s">
        <v>392</v>
      </c>
    </row>
    <row r="13" spans="1:139" ht="15" customHeight="1" thickTop="1" thickBot="1" x14ac:dyDescent="0.35">
      <c r="A13" s="220"/>
      <c r="B13" s="221"/>
      <c r="C13" s="221"/>
      <c r="D13" s="226" t="s">
        <v>52</v>
      </c>
      <c r="E13" s="231" t="s">
        <v>56</v>
      </c>
      <c r="F13" s="227">
        <f t="shared" si="5"/>
        <v>7.5330396475770944E-2</v>
      </c>
      <c r="G13" s="221"/>
      <c r="H13" s="232">
        <f>'Tabula data'!B19*(1-'Tabula RefULG 2'!C45)</f>
        <v>3.4200000000000008</v>
      </c>
      <c r="I13" s="238"/>
      <c r="K13" s="81" t="s">
        <v>60</v>
      </c>
      <c r="L13" s="250">
        <v>0</v>
      </c>
      <c r="M13" s="251">
        <v>1</v>
      </c>
      <c r="N13" s="251" t="s">
        <v>54</v>
      </c>
      <c r="O13" s="252">
        <f>H9</f>
        <v>7.9799999999999995</v>
      </c>
      <c r="P13" s="253" t="s">
        <v>50</v>
      </c>
      <c r="Q13" s="30">
        <f t="shared" si="6"/>
        <v>2</v>
      </c>
      <c r="R13" s="30">
        <f t="shared" si="7"/>
        <v>15.959999999999999</v>
      </c>
      <c r="S13" s="30">
        <f t="shared" si="8"/>
        <v>0</v>
      </c>
      <c r="T13" s="30">
        <f t="shared" si="9"/>
        <v>0</v>
      </c>
      <c r="U13" s="30">
        <f t="shared" si="10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0.36462385321100915</v>
      </c>
      <c r="AB13" s="261" t="s">
        <v>5</v>
      </c>
      <c r="AC13" s="261"/>
      <c r="AD13" s="261" t="s">
        <v>22</v>
      </c>
      <c r="AE13" s="264">
        <f>SUM(AE15:AE20)</f>
        <v>254637.6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 s="81">
        <v>338.41</v>
      </c>
      <c r="CL13" s="81" t="s">
        <v>505</v>
      </c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3"/>
        <v>abs2N</v>
      </c>
      <c r="DI13" s="81" t="s">
        <v>434</v>
      </c>
      <c r="DJ13" s="204">
        <f t="shared" si="14"/>
        <v>0.15</v>
      </c>
      <c r="DK13" s="81" t="s">
        <v>392</v>
      </c>
      <c r="DL13" s="81" t="s">
        <v>400</v>
      </c>
      <c r="DM13" s="286">
        <f t="shared" si="0"/>
        <v>4.2738000775550018E-2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0.81100000000000005</v>
      </c>
      <c r="DT13" s="291">
        <v>0.109</v>
      </c>
      <c r="DU13" s="290">
        <v>7.44</v>
      </c>
      <c r="DV13" s="291">
        <v>1.1999999999999999E-13</v>
      </c>
      <c r="DW13" s="290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1"/>
        <v>0.85799999999999998</v>
      </c>
      <c r="EC13" s="212" t="s">
        <v>392</v>
      </c>
      <c r="EE13" s="160" t="s">
        <v>568</v>
      </c>
      <c r="EF13" s="309" t="s">
        <v>577</v>
      </c>
      <c r="EG13" s="306" t="s">
        <v>434</v>
      </c>
      <c r="EH13" s="160">
        <f>$O$11*$Z$37*$AP$6</f>
        <v>0.14355391402279769</v>
      </c>
      <c r="EI13" s="160" t="s">
        <v>392</v>
      </c>
    </row>
    <row r="14" spans="1:139" ht="15" customHeight="1" thickTop="1" thickBot="1" x14ac:dyDescent="0.35">
      <c r="A14" s="220"/>
      <c r="B14" s="221"/>
      <c r="C14" s="221"/>
      <c r="D14" s="233" t="s">
        <v>65</v>
      </c>
      <c r="E14" s="234"/>
      <c r="F14" s="234"/>
      <c r="G14" s="234"/>
      <c r="H14" s="235"/>
      <c r="I14" s="225"/>
      <c r="K14" s="81" t="s">
        <v>61</v>
      </c>
      <c r="L14" s="250" t="s">
        <v>62</v>
      </c>
      <c r="M14" s="251">
        <v>1</v>
      </c>
      <c r="N14" s="251" t="s">
        <v>63</v>
      </c>
      <c r="O14" s="252">
        <f>B7</f>
        <v>138.80000000000001</v>
      </c>
      <c r="P14" s="253"/>
      <c r="Q14" s="30">
        <f t="shared" si="6"/>
        <v>0.28445648493057907</v>
      </c>
      <c r="R14" s="30">
        <f t="shared" si="7"/>
        <v>39.482560108364375</v>
      </c>
      <c r="S14" s="30">
        <f t="shared" si="8"/>
        <v>64767758.200000003</v>
      </c>
      <c r="T14" s="30">
        <f t="shared" si="9"/>
        <v>466626.5</v>
      </c>
      <c r="U14" s="30">
        <f t="shared" si="10"/>
        <v>15401248.000000002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AP4*0.2</f>
        <v>4.2738000775550018E-2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F14" s="81" t="s">
        <v>286</v>
      </c>
      <c r="BG14" s="81">
        <f>1/(1/AP20+1/AP24)</f>
        <v>38.747756729810568</v>
      </c>
      <c r="BJ14" s="81" t="s">
        <v>447</v>
      </c>
      <c r="BK14" s="81">
        <f>BG9</f>
        <v>599.93652733118972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 s="81">
        <v>11.07</v>
      </c>
      <c r="CL14" s="81" t="s">
        <v>505</v>
      </c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3"/>
        <v>abs3D</v>
      </c>
      <c r="DI14" s="81" t="s">
        <v>434</v>
      </c>
      <c r="DJ14" s="204">
        <f t="shared" si="14"/>
        <v>0.14000000000000001</v>
      </c>
      <c r="DK14" s="81" t="s">
        <v>392</v>
      </c>
      <c r="DL14" s="81" t="s">
        <v>401</v>
      </c>
      <c r="DM14" s="286">
        <f t="shared" si="0"/>
        <v>8.5476001551100037E-2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1.17</v>
      </c>
      <c r="DT14" s="291">
        <v>1.52E-2</v>
      </c>
      <c r="DU14" s="290">
        <v>76.77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1"/>
        <v>8.8800000000000001E-7</v>
      </c>
      <c r="EC14" s="212" t="s">
        <v>392</v>
      </c>
      <c r="EE14" s="160" t="s">
        <v>568</v>
      </c>
      <c r="EF14" s="309" t="s">
        <v>578</v>
      </c>
      <c r="EG14" s="306" t="s">
        <v>434</v>
      </c>
      <c r="EH14" s="160">
        <f>$O$10*$Z$37*$AP$6</f>
        <v>0.12803457196627901</v>
      </c>
      <c r="EI14" s="160" t="s">
        <v>392</v>
      </c>
    </row>
    <row r="15" spans="1:139" ht="15" customHeight="1" thickTop="1" thickBot="1" x14ac:dyDescent="0.35">
      <c r="A15" s="220"/>
      <c r="B15" s="221"/>
      <c r="C15" s="221"/>
      <c r="D15" s="236"/>
      <c r="E15" s="221"/>
      <c r="F15" s="221"/>
      <c r="G15" s="221"/>
      <c r="H15" s="222"/>
      <c r="I15" s="221"/>
      <c r="K15" s="81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6"/>
        <v>0.27062537995411134</v>
      </c>
      <c r="R15" s="30">
        <f t="shared" si="7"/>
        <v>0</v>
      </c>
      <c r="S15" s="30">
        <v>0</v>
      </c>
      <c r="T15" s="30">
        <f>S15/O25</f>
        <v>0</v>
      </c>
      <c r="U15" s="30">
        <f>VLOOKUP(N15,$X$5:$AG$391,10,0)*O25</f>
        <v>4927507.2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AP5*0.2</f>
        <v>8.5476001551100037E-2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F15" s="81" t="s">
        <v>294</v>
      </c>
      <c r="BG15" s="204">
        <f>AP12</f>
        <v>15401248.000000002</v>
      </c>
      <c r="BJ15" s="81" t="s">
        <v>448</v>
      </c>
      <c r="BK15" s="81">
        <f>AP38</f>
        <v>98.069903536977506</v>
      </c>
      <c r="BQ15" s="154" t="s">
        <v>389</v>
      </c>
      <c r="BR15" s="81" t="s">
        <v>390</v>
      </c>
      <c r="BS15" s="81" t="s">
        <v>401</v>
      </c>
      <c r="BT15" s="204">
        <f t="shared" ref="BT15:BT17" si="15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 s="81">
        <v>322.19</v>
      </c>
      <c r="CL15" s="81" t="s">
        <v>505</v>
      </c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3"/>
        <v>abs3N</v>
      </c>
      <c r="DI15" s="81" t="s">
        <v>434</v>
      </c>
      <c r="DJ15" s="204">
        <f t="shared" si="14"/>
        <v>0.11</v>
      </c>
      <c r="DK15" s="81" t="s">
        <v>392</v>
      </c>
      <c r="DL15" s="81" t="s">
        <v>402</v>
      </c>
      <c r="DM15" s="286">
        <f t="shared" si="0"/>
        <v>0.8078618754085708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0.99</v>
      </c>
      <c r="DT15" s="291">
        <v>2.8199999999999999E-2</v>
      </c>
      <c r="DU15" s="290">
        <v>35.17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1"/>
        <v>0.32600000000000001</v>
      </c>
      <c r="EC15" s="212" t="s">
        <v>392</v>
      </c>
      <c r="EE15" s="160" t="s">
        <v>568</v>
      </c>
      <c r="EF15" s="309" t="s">
        <v>579</v>
      </c>
      <c r="EG15" s="306" t="s">
        <v>434</v>
      </c>
      <c r="EH15" s="160">
        <f>$O$12*$Z$37*$AP$6</f>
        <v>0.16812620561228556</v>
      </c>
      <c r="EI15" s="160" t="s">
        <v>392</v>
      </c>
    </row>
    <row r="16" spans="1:139" ht="15" customHeight="1" thickTop="1" thickBot="1" x14ac:dyDescent="0.35">
      <c r="A16" s="237"/>
      <c r="B16" s="219"/>
      <c r="C16" s="219"/>
      <c r="D16" s="226" t="s">
        <v>69</v>
      </c>
      <c r="E16" s="221"/>
      <c r="F16" s="238">
        <f>B4/B26</f>
        <v>1.2730693424117541</v>
      </c>
      <c r="G16" s="231" t="s">
        <v>70</v>
      </c>
      <c r="H16" s="222"/>
      <c r="I16" s="221"/>
      <c r="K16" s="81" t="s">
        <v>67</v>
      </c>
      <c r="L16" s="250">
        <v>0</v>
      </c>
      <c r="M16" s="251">
        <v>1</v>
      </c>
      <c r="N16" s="251" t="s">
        <v>68</v>
      </c>
      <c r="O16" s="252">
        <f>'Tabula data'!B15</f>
        <v>11.5</v>
      </c>
      <c r="P16" s="253"/>
      <c r="Q16" s="30">
        <f t="shared" si="6"/>
        <v>3.5</v>
      </c>
      <c r="R16" s="30">
        <f t="shared" si="7"/>
        <v>40.25</v>
      </c>
      <c r="S16" s="30">
        <f t="shared" ref="S16:S28" si="16">VLOOKUP(N16,$X$5:$AE$391,8,0)*O16</f>
        <v>419980</v>
      </c>
      <c r="T16" s="30">
        <f t="shared" ref="T16:T28" si="17">S16/O16</f>
        <v>36520</v>
      </c>
      <c r="U16" s="30">
        <f t="shared" ref="U16:U28" si="18">VLOOKUP(N16,$X$5:$AG$391,10,0)*O16</f>
        <v>0</v>
      </c>
      <c r="V16" s="31"/>
      <c r="W16" s="3"/>
      <c r="X16" s="220"/>
      <c r="Y16" s="221" t="s">
        <v>46</v>
      </c>
      <c r="Z16" s="221">
        <v>0</v>
      </c>
      <c r="AA16" s="221"/>
      <c r="AB16" s="221"/>
      <c r="AC16" s="221"/>
      <c r="AD16" s="268"/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AP6*0.2+0.8</f>
        <v>0.8078618754085708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Q16" s="154" t="s">
        <v>389</v>
      </c>
      <c r="BR16" s="81" t="s">
        <v>390</v>
      </c>
      <c r="BS16" s="81" t="s">
        <v>402</v>
      </c>
      <c r="BT16" s="204">
        <f t="shared" si="15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 s="81">
        <v>221.71</v>
      </c>
      <c r="CL16" s="81" t="s">
        <v>505</v>
      </c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J16" s="204"/>
      <c r="DL16" s="81" t="s">
        <v>403</v>
      </c>
      <c r="DM16" s="286">
        <f t="shared" si="0"/>
        <v>3.4336951123650754E-2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2.17</v>
      </c>
      <c r="DT16" s="291">
        <v>2.8899999999999999E-2</v>
      </c>
      <c r="DU16" s="290">
        <v>74.87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1"/>
        <v>0.28599999999999998</v>
      </c>
      <c r="EC16" s="212" t="s">
        <v>392</v>
      </c>
      <c r="EE16" s="160" t="s">
        <v>568</v>
      </c>
      <c r="EF16" s="309" t="s">
        <v>580</v>
      </c>
      <c r="EG16" s="306" t="s">
        <v>434</v>
      </c>
      <c r="EH16" s="160">
        <f>$O$13*$Z$37*$AP$6</f>
        <v>0.14743374953692734</v>
      </c>
      <c r="EI16" s="160" t="s">
        <v>392</v>
      </c>
    </row>
    <row r="17" spans="1:139" ht="15" customHeight="1" thickTop="1" thickBot="1" x14ac:dyDescent="0.35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2.1598297213622293</v>
      </c>
      <c r="G17" s="231"/>
      <c r="H17" s="222"/>
      <c r="I17" s="221"/>
      <c r="K17" s="81" t="s">
        <v>71</v>
      </c>
      <c r="L17" s="250">
        <v>0</v>
      </c>
      <c r="M17" s="251">
        <v>2</v>
      </c>
      <c r="N17" s="251" t="s">
        <v>25</v>
      </c>
      <c r="O17" s="252">
        <f>'Tabula data'!B10*'Tabula RefULG 2'!C42/2*(1-'Tabula RefULG 2'!C43)</f>
        <v>0.55275000000000052</v>
      </c>
      <c r="P17" s="253" t="s">
        <v>26</v>
      </c>
      <c r="Q17" s="30">
        <f t="shared" si="6"/>
        <v>0.36462385321100915</v>
      </c>
      <c r="R17" s="30">
        <f t="shared" si="7"/>
        <v>0.2015458348623855</v>
      </c>
      <c r="S17" s="30">
        <f t="shared" si="16"/>
        <v>140750.93340000013</v>
      </c>
      <c r="T17" s="30">
        <f t="shared" si="17"/>
        <v>254637.59999999998</v>
      </c>
      <c r="U17" s="30">
        <f t="shared" si="18"/>
        <v>74057.445000000065</v>
      </c>
      <c r="V17" s="31"/>
      <c r="W17" s="3"/>
      <c r="X17" s="220"/>
      <c r="Y17" s="221" t="s">
        <v>269</v>
      </c>
      <c r="Z17" s="302">
        <v>0.08</v>
      </c>
      <c r="AA17" s="302">
        <v>3.5999999999999997E-2</v>
      </c>
      <c r="AB17" s="221">
        <v>26</v>
      </c>
      <c r="AC17" s="221">
        <v>1470</v>
      </c>
      <c r="AD17" s="268">
        <f>Z17/AA17</f>
        <v>2.2222222222222223</v>
      </c>
      <c r="AE17" s="222">
        <f>Z17*AB17*AC17</f>
        <v>3057.6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AP7*0.2</f>
        <v>3.4336951123650754E-2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F17" s="81" t="s">
        <v>295</v>
      </c>
      <c r="BG17" s="204">
        <f>SUM(BG12+BG5+BG10)</f>
        <v>112927627.10999998</v>
      </c>
      <c r="BJ17" s="81" t="s">
        <v>297</v>
      </c>
      <c r="BK17" s="81">
        <f>BG11</f>
        <v>125.37104825291179</v>
      </c>
      <c r="BQ17" s="154" t="s">
        <v>389</v>
      </c>
      <c r="BR17" s="81" t="s">
        <v>390</v>
      </c>
      <c r="BS17" s="81" t="s">
        <v>403</v>
      </c>
      <c r="BT17" s="204">
        <f t="shared" si="15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 s="81">
        <v>44.3</v>
      </c>
      <c r="CL17" s="81" t="s">
        <v>505</v>
      </c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3"/>
        <v>abs5D</v>
      </c>
      <c r="DI17" s="81" t="s">
        <v>434</v>
      </c>
      <c r="DJ17" s="204">
        <f t="shared" si="14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1.49</v>
      </c>
      <c r="DT17" s="291">
        <v>8.77E-2</v>
      </c>
      <c r="DU17" s="290">
        <v>17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1"/>
        <v>1</v>
      </c>
      <c r="EC17" s="212" t="s">
        <v>392</v>
      </c>
      <c r="EE17" s="160" t="s">
        <v>568</v>
      </c>
      <c r="EF17" s="309" t="s">
        <v>581</v>
      </c>
      <c r="EG17" s="306" t="s">
        <v>434</v>
      </c>
      <c r="EH17" s="160">
        <f>$O$11*$Z$37*$AP$7</f>
        <v>0.62697555904230085</v>
      </c>
      <c r="EI17" s="160" t="s">
        <v>392</v>
      </c>
    </row>
    <row r="18" spans="1:139" ht="15" customHeight="1" thickTop="1" thickBot="1" x14ac:dyDescent="0.35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2.1598297213622293</v>
      </c>
      <c r="G18" s="231"/>
      <c r="H18" s="222"/>
      <c r="I18" s="221"/>
      <c r="K18" s="81" t="s">
        <v>75</v>
      </c>
      <c r="L18" s="250">
        <v>0</v>
      </c>
      <c r="M18" s="251">
        <v>2</v>
      </c>
      <c r="N18" s="251" t="s">
        <v>25</v>
      </c>
      <c r="O18" s="252">
        <f>'Tabula data'!B10*(1-'Tabula RefULG 2'!C42)/2*(1-'Tabula RefULG 2'!C44)</f>
        <v>13.567500000000001</v>
      </c>
      <c r="P18" s="253" t="s">
        <v>39</v>
      </c>
      <c r="Q18" s="30">
        <f t="shared" si="6"/>
        <v>0.36462385321100915</v>
      </c>
      <c r="R18" s="30">
        <f t="shared" si="7"/>
        <v>4.9470341284403672</v>
      </c>
      <c r="S18" s="30">
        <f t="shared" si="16"/>
        <v>3454795.6380000003</v>
      </c>
      <c r="T18" s="30">
        <f t="shared" si="17"/>
        <v>254637.6</v>
      </c>
      <c r="U18" s="30">
        <f t="shared" si="18"/>
        <v>1817773.6500000001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F18" s="81" t="s">
        <v>449</v>
      </c>
      <c r="BG18" s="204">
        <f>BG17+BG7</f>
        <v>114936002.51928791</v>
      </c>
      <c r="BJ18" s="81" t="s">
        <v>298</v>
      </c>
      <c r="BK18" s="81">
        <f>BG12</f>
        <v>55678583.999999985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 s="81">
        <v>48.77</v>
      </c>
      <c r="CL18" s="81" t="s">
        <v>505</v>
      </c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3"/>
        <v>abs5N</v>
      </c>
      <c r="DI18" s="81" t="s">
        <v>434</v>
      </c>
      <c r="DJ18" s="204">
        <f t="shared" si="14"/>
        <v>0.34</v>
      </c>
      <c r="DK18" s="81" t="s">
        <v>392</v>
      </c>
      <c r="DL18" s="81" t="s">
        <v>404</v>
      </c>
      <c r="DM18" s="289">
        <f t="shared" si="0"/>
        <v>502.91175202156336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2.33</v>
      </c>
      <c r="DT18" s="291">
        <v>1.6899999999999998E-2</v>
      </c>
      <c r="DU18" s="290">
        <v>137.82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1"/>
        <v>0.107</v>
      </c>
      <c r="EC18" s="212" t="s">
        <v>392</v>
      </c>
      <c r="EE18" s="160" t="s">
        <v>568</v>
      </c>
      <c r="EF18" s="309" t="s">
        <v>582</v>
      </c>
      <c r="EG18" s="306" t="s">
        <v>434</v>
      </c>
      <c r="EH18" s="160">
        <f>$O$10*$Z$37*$AP$7</f>
        <v>0.55919441752421439</v>
      </c>
      <c r="EI18" s="160" t="s">
        <v>392</v>
      </c>
    </row>
    <row r="19" spans="1:139" ht="15" customHeight="1" thickTop="1" thickBot="1" x14ac:dyDescent="0.35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I19" s="231"/>
      <c r="K19" s="81" t="s">
        <v>79</v>
      </c>
      <c r="L19" s="250">
        <v>0</v>
      </c>
      <c r="M19" s="251">
        <v>2</v>
      </c>
      <c r="N19" s="251" t="s">
        <v>25</v>
      </c>
      <c r="O19" s="252">
        <f>'Tabula data'!B10*'Tabula RefULG 2'!C42/2*(1-'Tabula RefULG 2'!C43)</f>
        <v>0.55275000000000052</v>
      </c>
      <c r="P19" s="253" t="s">
        <v>45</v>
      </c>
      <c r="Q19" s="30">
        <f t="shared" si="6"/>
        <v>0.36462385321100915</v>
      </c>
      <c r="R19" s="30">
        <f t="shared" si="7"/>
        <v>0.2015458348623855</v>
      </c>
      <c r="S19" s="30">
        <f t="shared" si="16"/>
        <v>140750.93340000013</v>
      </c>
      <c r="T19" s="30">
        <f t="shared" si="17"/>
        <v>254637.59999999998</v>
      </c>
      <c r="U19" s="30">
        <f t="shared" si="18"/>
        <v>74057.445000000065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SUM(O6:O9)*(1/(SUM(AD18:AD19)+1/8))</f>
        <v>502.91175202156336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F19" s="81" t="s">
        <v>450</v>
      </c>
      <c r="BG19" s="3">
        <f>BG4+BG6</f>
        <v>157.13023983196524</v>
      </c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437.39511721366375</v>
      </c>
      <c r="BU19" s="81" t="s">
        <v>392</v>
      </c>
      <c r="BV19" s="204">
        <v>654</v>
      </c>
      <c r="BX19" s="81" t="s">
        <v>459</v>
      </c>
      <c r="BY19" s="81">
        <f>AVERAGE(SUM(O6:O9),2*O27)*(1/(1/8+SUM(AD18:AD19)/2+SUM(AD23:AD25)/4))</f>
        <v>820.73428152492681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 s="81">
        <v>71.56</v>
      </c>
      <c r="CL19" s="81" t="s">
        <v>505</v>
      </c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3"/>
        <v>CfiD</v>
      </c>
      <c r="DI19" s="81" t="s">
        <v>434</v>
      </c>
      <c r="DJ19" s="204">
        <f t="shared" si="14"/>
        <v>31500000</v>
      </c>
      <c r="DK19" s="81" t="s">
        <v>392</v>
      </c>
      <c r="DL19" s="81" t="s">
        <v>405</v>
      </c>
      <c r="DM19" s="289">
        <f t="shared" si="0"/>
        <v>441.63636363636368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2.0099999999999998</v>
      </c>
      <c r="DT19" s="291">
        <v>3.2099999999999997E-2</v>
      </c>
      <c r="DU19" s="290">
        <v>62.53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1"/>
        <v>1.0900000000000001</v>
      </c>
      <c r="EC19" s="212" t="s">
        <v>392</v>
      </c>
      <c r="EE19" s="160" t="s">
        <v>568</v>
      </c>
      <c r="EF19" s="307" t="s">
        <v>583</v>
      </c>
      <c r="EG19" s="306" t="s">
        <v>434</v>
      </c>
      <c r="EH19" s="160">
        <f>$O$12*$Z$37*$AP$7</f>
        <v>0.73429569977927123</v>
      </c>
      <c r="EI19" s="160" t="s">
        <v>392</v>
      </c>
    </row>
    <row r="20" spans="1:139" ht="15" customHeight="1" thickTop="1" thickBot="1" x14ac:dyDescent="0.35">
      <c r="A20" s="220"/>
      <c r="B20" s="221"/>
      <c r="C20" s="221"/>
      <c r="D20" s="226" t="s">
        <v>83</v>
      </c>
      <c r="E20" s="231"/>
      <c r="F20" s="239">
        <f>G4/B23</f>
        <v>0.17569659442724458</v>
      </c>
      <c r="G20" s="231"/>
      <c r="H20" s="222"/>
      <c r="I20" s="221"/>
      <c r="K20" s="81" t="s">
        <v>82</v>
      </c>
      <c r="L20" s="250">
        <v>0</v>
      </c>
      <c r="M20" s="251">
        <v>2</v>
      </c>
      <c r="N20" s="251" t="s">
        <v>25</v>
      </c>
      <c r="O20" s="252">
        <f>'Tabula data'!B10*(1-'Tabula RefULG 2'!C42)/2*(1-'Tabula RefULG 2'!C44)</f>
        <v>13.567500000000001</v>
      </c>
      <c r="P20" s="253" t="s">
        <v>50</v>
      </c>
      <c r="Q20" s="30">
        <f t="shared" si="6"/>
        <v>0.36462385321100915</v>
      </c>
      <c r="R20" s="30">
        <f t="shared" si="7"/>
        <v>4.9470341284403672</v>
      </c>
      <c r="S20" s="30">
        <f t="shared" si="16"/>
        <v>3454795.6380000003</v>
      </c>
      <c r="T20" s="30">
        <f t="shared" si="17"/>
        <v>254637.6</v>
      </c>
      <c r="U20" s="30">
        <f t="shared" si="18"/>
        <v>1817773.6500000001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SUM(O14)*1/(SUM(AD42:AD43)+1/6)</f>
        <v>441.63636363636368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J20" s="81" t="s">
        <v>451</v>
      </c>
      <c r="BK20" s="204">
        <f>BG7</f>
        <v>2008375.4092879263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386.06622516556297</v>
      </c>
      <c r="BU20" s="81" t="s">
        <v>392</v>
      </c>
      <c r="BV20" s="204">
        <v>701</v>
      </c>
      <c r="BX20" s="81" t="s">
        <v>460</v>
      </c>
      <c r="BY20" s="81">
        <f>AVERAGE(SUM(O6:O9),O26)*(1/(1/8+SUM(AD31:AD32)/2+SUM(AD18:AD19)/2))</f>
        <v>453.4751374640951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 s="81">
        <v>32.450000000000003</v>
      </c>
      <c r="CL20" s="81" t="s">
        <v>505</v>
      </c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3"/>
        <v>CfiN</v>
      </c>
      <c r="DI20" s="81" t="s">
        <v>434</v>
      </c>
      <c r="DJ20" s="204">
        <f t="shared" si="14"/>
        <v>67000000</v>
      </c>
      <c r="DK20" s="81" t="s">
        <v>392</v>
      </c>
      <c r="DL20" s="81" t="s">
        <v>406</v>
      </c>
      <c r="DM20" s="289">
        <f t="shared" si="0"/>
        <v>599.93652733118972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0.85799999999999998</v>
      </c>
      <c r="DT20" s="291">
        <v>0.17399999999999999</v>
      </c>
      <c r="DU20" s="290">
        <v>4.92</v>
      </c>
      <c r="DV20" s="291">
        <v>8.9999999999999996E-7</v>
      </c>
      <c r="DW20" s="290" t="s">
        <v>510</v>
      </c>
      <c r="DY20" s="212" t="s">
        <v>568</v>
      </c>
      <c r="DZ20" s="295" t="s">
        <v>584</v>
      </c>
      <c r="EA20" s="292" t="s">
        <v>434</v>
      </c>
      <c r="EB20" s="293">
        <f t="shared" si="11"/>
        <v>0.95799999999999996</v>
      </c>
      <c r="EC20" s="212" t="s">
        <v>392</v>
      </c>
      <c r="EE20" s="160" t="s">
        <v>568</v>
      </c>
      <c r="EF20" s="308" t="s">
        <v>584</v>
      </c>
      <c r="EG20" s="306" t="s">
        <v>434</v>
      </c>
      <c r="EH20" s="160">
        <f>$O$13*$Z$37*$AP$7</f>
        <v>0.64392084442182251</v>
      </c>
      <c r="EI20" s="160" t="s">
        <v>392</v>
      </c>
    </row>
    <row r="21" spans="1:139" ht="15" customHeight="1" thickTop="1" thickBot="1" x14ac:dyDescent="0.35">
      <c r="A21" s="220"/>
      <c r="B21" s="221"/>
      <c r="C21" s="221"/>
      <c r="D21" s="226" t="s">
        <v>86</v>
      </c>
      <c r="E21" s="231"/>
      <c r="F21" s="239">
        <f>G4/B6</f>
        <v>0.17569659442724458</v>
      </c>
      <c r="G21" s="231"/>
      <c r="H21" s="222"/>
      <c r="I21" s="221"/>
      <c r="K21" s="81" t="s">
        <v>84</v>
      </c>
      <c r="L21" s="250">
        <v>0</v>
      </c>
      <c r="M21" s="251">
        <v>2</v>
      </c>
      <c r="N21" s="251" t="s">
        <v>54</v>
      </c>
      <c r="O21" s="252">
        <f>H10</f>
        <v>2.9700000000000006</v>
      </c>
      <c r="P21" s="253" t="s">
        <v>26</v>
      </c>
      <c r="Q21" s="30">
        <f t="shared" si="6"/>
        <v>2</v>
      </c>
      <c r="R21" s="30">
        <f t="shared" si="7"/>
        <v>5.9400000000000013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3"/>
      <c r="X21" s="260" t="s">
        <v>85</v>
      </c>
      <c r="Y21" s="261"/>
      <c r="Z21" s="262" t="s">
        <v>21</v>
      </c>
      <c r="AA21" s="263">
        <f>(1/(1/8+SUM(AD23:AD25)+1/8))</f>
        <v>1.7363344051446945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</f>
        <v>599.93652733118972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J21" s="81" t="s">
        <v>452</v>
      </c>
      <c r="BK21" s="204">
        <f>BG27</f>
        <v>1730559.7907120739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770.08362028301883</v>
      </c>
      <c r="BU21" s="81" t="s">
        <v>392</v>
      </c>
      <c r="BV21" s="204">
        <v>1380</v>
      </c>
      <c r="BX21" s="81" t="s">
        <v>461</v>
      </c>
      <c r="BY21" s="81">
        <f>AVERAGE(SUM(O6:O9),O14)*(1/(1/8+SUM(AD42:AD43)/2+SUM(AD18:AD19)/2))</f>
        <v>505.66548303993136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 s="81">
        <v>88.56</v>
      </c>
      <c r="CL21" s="81" t="s">
        <v>505</v>
      </c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3"/>
        <v>CiD</v>
      </c>
      <c r="DI21" s="81" t="s">
        <v>434</v>
      </c>
      <c r="DJ21" s="204">
        <f t="shared" si="14"/>
        <v>2700000</v>
      </c>
      <c r="DK21" s="81" t="s">
        <v>392</v>
      </c>
      <c r="DL21" s="81" t="s">
        <v>407</v>
      </c>
      <c r="DM21" s="289">
        <f t="shared" si="0"/>
        <v>94.138005263157908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8.8800000000000001E-7</v>
      </c>
      <c r="DT21" s="291">
        <v>6.4099999999999996E-6</v>
      </c>
      <c r="DU21" s="290">
        <v>0.14000000000000001</v>
      </c>
      <c r="DV21" s="290">
        <v>0.88970000000000005</v>
      </c>
      <c r="DY21" s="212" t="s">
        <v>568</v>
      </c>
      <c r="DZ21" s="295" t="s">
        <v>585</v>
      </c>
      <c r="EA21" s="292" t="s">
        <v>434</v>
      </c>
      <c r="EB21" s="293">
        <f t="shared" si="11"/>
        <v>0.78400000000000003</v>
      </c>
      <c r="EC21" s="212" t="s">
        <v>392</v>
      </c>
      <c r="EE21" s="160" t="s">
        <v>568</v>
      </c>
      <c r="EF21" s="308" t="s">
        <v>585</v>
      </c>
      <c r="EG21" s="306" t="s">
        <v>434</v>
      </c>
      <c r="EH21" s="160">
        <f>$O$11*$Z$37*$AP$42</f>
        <v>0.54024695145143486</v>
      </c>
      <c r="EI21" s="160" t="s">
        <v>392</v>
      </c>
    </row>
    <row r="22" spans="1:139" ht="15" customHeight="1" thickTop="1" thickBot="1" x14ac:dyDescent="0.35">
      <c r="A22" s="237"/>
      <c r="B22" s="219"/>
      <c r="C22" s="219"/>
      <c r="D22" s="220" t="s">
        <v>88</v>
      </c>
      <c r="E22" s="221"/>
      <c r="F22" s="227">
        <f>G4/B26</f>
        <v>8.1347428776204975E-2</v>
      </c>
      <c r="G22" s="221"/>
      <c r="H22" s="222"/>
      <c r="I22" s="221"/>
      <c r="K22" s="81" t="s">
        <v>87</v>
      </c>
      <c r="L22" s="250">
        <v>0</v>
      </c>
      <c r="M22" s="251">
        <v>2</v>
      </c>
      <c r="N22" s="251" t="s">
        <v>54</v>
      </c>
      <c r="O22" s="252">
        <f>H11</f>
        <v>3.3300000000000005</v>
      </c>
      <c r="P22" s="253" t="s">
        <v>39</v>
      </c>
      <c r="Q22" s="30">
        <f t="shared" si="6"/>
        <v>2</v>
      </c>
      <c r="R22" s="30">
        <f t="shared" si="7"/>
        <v>6.660000000000001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 Ref 1'!B60+SUM(R10:R13)</f>
        <v>94.138005263157908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Q22" s="154" t="s">
        <v>389</v>
      </c>
      <c r="BR22" s="81" t="s">
        <v>390</v>
      </c>
      <c r="BS22" s="81" t="s">
        <v>407</v>
      </c>
      <c r="BT22" s="204">
        <f t="shared" ref="BT22" si="19">AR22</f>
        <v>259</v>
      </c>
      <c r="BU22" s="81" t="s">
        <v>392</v>
      </c>
      <c r="BV22" s="204">
        <v>259</v>
      </c>
      <c r="BX22" s="81" t="s">
        <v>462</v>
      </c>
      <c r="BY22" s="81">
        <f>AVERAGE(SUM(O27),O26)*(1/(1/8+SUM(AD31:AD32)/2+SUM(AD23:AD25)/4))</f>
        <v>496.23660080826215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 s="81">
        <v>-73.040000000000006</v>
      </c>
      <c r="CL22" s="81" t="s">
        <v>505</v>
      </c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3"/>
        <v>CiN</v>
      </c>
      <c r="DI22" s="81" t="s">
        <v>434</v>
      </c>
      <c r="DJ22" s="204">
        <f t="shared" si="14"/>
        <v>1700000</v>
      </c>
      <c r="DK22" s="81" t="s">
        <v>392</v>
      </c>
      <c r="DL22" s="81" t="s">
        <v>408</v>
      </c>
      <c r="DM22" s="289">
        <f t="shared" si="0"/>
        <v>72.012115384615385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0.32600000000000001</v>
      </c>
      <c r="DT22" s="291">
        <v>0.105</v>
      </c>
      <c r="DU22" s="290">
        <v>3.11</v>
      </c>
      <c r="DV22" s="290">
        <v>1.9E-3</v>
      </c>
      <c r="DW22" s="290" t="s">
        <v>516</v>
      </c>
      <c r="DY22" s="212" t="s">
        <v>568</v>
      </c>
      <c r="DZ22" s="295" t="s">
        <v>586</v>
      </c>
      <c r="EA22" s="292" t="s">
        <v>434</v>
      </c>
      <c r="EB22" s="293">
        <f t="shared" si="11"/>
        <v>1.16E-8</v>
      </c>
      <c r="EC22" s="212" t="s">
        <v>392</v>
      </c>
      <c r="EE22" s="160" t="s">
        <v>568</v>
      </c>
      <c r="EF22" s="308" t="s">
        <v>586</v>
      </c>
      <c r="EG22" s="306" t="s">
        <v>434</v>
      </c>
      <c r="EH22" s="160">
        <f>$O$10*$Z$37*$AP$42</f>
        <v>0.48184187561884734</v>
      </c>
      <c r="EI22" s="160" t="s">
        <v>392</v>
      </c>
    </row>
    <row r="23" spans="1:139" ht="15" customHeight="1" thickTop="1" thickBot="1" x14ac:dyDescent="0.35">
      <c r="A23" s="223" t="s">
        <v>91</v>
      </c>
      <c r="B23" s="224">
        <f>B17+B6</f>
        <v>258.39999999999998</v>
      </c>
      <c r="C23" s="234" t="s">
        <v>9</v>
      </c>
      <c r="D23" s="220"/>
      <c r="E23" s="221"/>
      <c r="F23" s="221"/>
      <c r="G23" s="221"/>
      <c r="H23" s="222"/>
      <c r="I23" s="221"/>
      <c r="K23" s="81" t="s">
        <v>89</v>
      </c>
      <c r="L23" s="250">
        <v>0</v>
      </c>
      <c r="M23" s="251">
        <v>2</v>
      </c>
      <c r="N23" s="251" t="s">
        <v>54</v>
      </c>
      <c r="O23" s="252">
        <f>H12</f>
        <v>3.9000000000000004</v>
      </c>
      <c r="P23" s="253" t="s">
        <v>45</v>
      </c>
      <c r="Q23" s="30">
        <f t="shared" si="6"/>
        <v>2</v>
      </c>
      <c r="R23" s="30">
        <f t="shared" si="7"/>
        <v>7.8000000000000007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72.012115384615385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E23" s="208"/>
      <c r="BF23" s="208" t="s">
        <v>453</v>
      </c>
      <c r="BJ23" s="81" t="s">
        <v>295</v>
      </c>
      <c r="BK23" s="204">
        <f>BK9+BK10+BK11+BK12+BK18</f>
        <v>141499315.29000002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s="81" t="s">
        <v>463</v>
      </c>
      <c r="BY23" s="81">
        <f>AVERAGE(SUM(O27),O14)*(1/(1/8+SUM(AD42:AD43)/2+SUM(AD23:AD25)/4))</f>
        <v>555.7786267107125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 s="81">
        <v>-0.02</v>
      </c>
      <c r="CL23" s="81">
        <v>0.99</v>
      </c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DF23" s="81" t="s">
        <v>389</v>
      </c>
      <c r="DG23" s="81" t="s">
        <v>390</v>
      </c>
      <c r="DH23" s="81" t="str">
        <f t="shared" si="13"/>
        <v>CwD</v>
      </c>
      <c r="DI23" s="81" t="s">
        <v>434</v>
      </c>
      <c r="DJ23" s="204">
        <f t="shared" si="14"/>
        <v>16300000</v>
      </c>
      <c r="DK23" s="81" t="s">
        <v>392</v>
      </c>
      <c r="DL23" s="81" t="s">
        <v>409</v>
      </c>
      <c r="DM23" s="289">
        <f t="shared" si="0"/>
        <v>42.474316939890713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0.28599999999999998</v>
      </c>
      <c r="DT23" s="291">
        <v>0.19400000000000001</v>
      </c>
      <c r="DU23" s="290">
        <v>1.47</v>
      </c>
      <c r="DV23" s="290">
        <v>0.1406</v>
      </c>
      <c r="DY23" s="212" t="s">
        <v>568</v>
      </c>
      <c r="DZ23" s="294" t="s">
        <v>587</v>
      </c>
      <c r="EA23" s="292" t="s">
        <v>434</v>
      </c>
      <c r="EB23" s="293">
        <f t="shared" si="11"/>
        <v>0.88800000000000001</v>
      </c>
      <c r="EC23" s="212" t="s">
        <v>392</v>
      </c>
      <c r="EE23" s="160" t="s">
        <v>568</v>
      </c>
      <c r="EF23" s="307" t="s">
        <v>587</v>
      </c>
      <c r="EG23" s="306" t="s">
        <v>434</v>
      </c>
      <c r="EH23" s="160">
        <f>$O$12*$Z$37*$AP$42</f>
        <v>0.63272165485303178</v>
      </c>
      <c r="EI23" s="160" t="s">
        <v>392</v>
      </c>
    </row>
    <row r="24" spans="1:139" ht="15" customHeight="1" thickTop="1" thickBot="1" x14ac:dyDescent="0.35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0.4628482972136222</v>
      </c>
      <c r="G24" s="221"/>
      <c r="H24" s="222"/>
      <c r="I24" s="221"/>
      <c r="K24" s="81" t="s">
        <v>92</v>
      </c>
      <c r="L24" s="250">
        <v>0</v>
      </c>
      <c r="M24" s="251">
        <v>2</v>
      </c>
      <c r="N24" s="251" t="s">
        <v>54</v>
      </c>
      <c r="O24" s="252">
        <f>H13</f>
        <v>3.4200000000000008</v>
      </c>
      <c r="P24" s="253" t="s">
        <v>50</v>
      </c>
      <c r="Q24" s="30">
        <f t="shared" si="6"/>
        <v>2</v>
      </c>
      <c r="R24" s="30">
        <f t="shared" si="7"/>
        <v>6.8400000000000016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SUM(O14)*1/(SUM(AD44:AD46))</f>
        <v>42.474316939890713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F24" s="81" t="s">
        <v>281</v>
      </c>
      <c r="BG24" s="81">
        <f>1/(1/AP37+1/AP40)</f>
        <v>61.679846714866159</v>
      </c>
      <c r="BJ24" s="81" t="s">
        <v>122</v>
      </c>
      <c r="BK24" s="204">
        <f>BK20+BK21</f>
        <v>3738935.2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s="81" t="s">
        <v>464</v>
      </c>
      <c r="BY24" s="81">
        <f>AVERAGE(SUM(O26),O14)*(1/(1/8+SUM(AD42:AD43)/2+SUM(AD31:AD32)/4))</f>
        <v>531.99999999999989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 s="81">
        <v>-0.08</v>
      </c>
      <c r="CL24" s="81">
        <v>0.93</v>
      </c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3"/>
        <v>CwiD</v>
      </c>
      <c r="DI24" s="81" t="s">
        <v>434</v>
      </c>
      <c r="DJ24" s="204">
        <f t="shared" si="14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1</v>
      </c>
      <c r="DT24" s="291">
        <v>1.38E-2</v>
      </c>
      <c r="DU24" s="290">
        <v>72.400000000000006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1"/>
        <v>0.73599999999999999</v>
      </c>
      <c r="EC24" s="212" t="s">
        <v>392</v>
      </c>
      <c r="EE24" s="160" t="s">
        <v>568</v>
      </c>
      <c r="EF24" s="306" t="s">
        <v>588</v>
      </c>
      <c r="EG24" s="306" t="s">
        <v>434</v>
      </c>
      <c r="EH24" s="160">
        <f>$O$13*$Z$37*$AP$42</f>
        <v>0.5548482204095817</v>
      </c>
      <c r="EI24" s="160" t="s">
        <v>392</v>
      </c>
    </row>
    <row r="25" spans="1:139" ht="15" customHeight="1" thickTop="1" thickBot="1" x14ac:dyDescent="0.35">
      <c r="A25" s="237"/>
      <c r="B25" s="219"/>
      <c r="C25" s="219"/>
      <c r="D25" s="220"/>
      <c r="E25" s="221"/>
      <c r="F25" s="221"/>
      <c r="G25" s="221"/>
      <c r="H25" s="222"/>
      <c r="I25" s="221"/>
      <c r="K25" s="81" t="s">
        <v>96</v>
      </c>
      <c r="L25" s="250">
        <v>0</v>
      </c>
      <c r="M25" s="251">
        <v>2</v>
      </c>
      <c r="N25" s="251" t="s">
        <v>20</v>
      </c>
      <c r="O25" s="252">
        <f>'Tabula data'!B7</f>
        <v>161.6</v>
      </c>
      <c r="P25" s="253" t="s">
        <v>97</v>
      </c>
      <c r="Q25" s="30">
        <f t="shared" si="6"/>
        <v>0.27062537995411134</v>
      </c>
      <c r="R25" s="30">
        <f t="shared" si="7"/>
        <v>43.73306140058439</v>
      </c>
      <c r="S25" s="30">
        <f t="shared" si="16"/>
        <v>10696627.199999999</v>
      </c>
      <c r="T25" s="30">
        <f t="shared" si="17"/>
        <v>66192</v>
      </c>
      <c r="U25" s="30">
        <f t="shared" si="18"/>
        <v>4927507.2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F25" s="81" t="s">
        <v>282</v>
      </c>
      <c r="BG25" s="3">
        <f>AP39</f>
        <v>53.588194736842112</v>
      </c>
      <c r="BJ25" s="81" t="s">
        <v>454</v>
      </c>
      <c r="BK25" s="204">
        <f>BK23+BK24</f>
        <v>145238250.49000001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 s="81">
        <v>-7.0000000000000007E-2</v>
      </c>
      <c r="CL25" s="81">
        <v>0.94</v>
      </c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3"/>
        <v>CwiN</v>
      </c>
      <c r="DI25" s="81" t="s">
        <v>434</v>
      </c>
      <c r="DJ25" s="204">
        <f t="shared" si="14"/>
        <v>5730000</v>
      </c>
      <c r="DK25" s="81" t="s">
        <v>392</v>
      </c>
      <c r="DL25" s="81" t="s">
        <v>410</v>
      </c>
      <c r="DM25" s="286">
        <f t="shared" si="0"/>
        <v>0.50018377436986472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0.107</v>
      </c>
      <c r="DT25" s="291">
        <v>4.2500000000000003E-2</v>
      </c>
      <c r="DU25" s="290">
        <v>2.5099999999999998</v>
      </c>
      <c r="DV25" s="290">
        <v>1.21E-2</v>
      </c>
      <c r="DW25" s="290" t="s">
        <v>511</v>
      </c>
      <c r="EA25" s="292"/>
      <c r="EE25" s="160"/>
      <c r="EF25" s="160"/>
      <c r="EG25" s="306"/>
      <c r="EH25" s="160"/>
      <c r="EI25" s="160"/>
    </row>
    <row r="26" spans="1:139" ht="15" customHeight="1" thickTop="1" thickBot="1" x14ac:dyDescent="0.35">
      <c r="A26" s="223" t="s">
        <v>100</v>
      </c>
      <c r="B26" s="241">
        <f>'Tabula data'!B6</f>
        <v>558.1</v>
      </c>
      <c r="C26" s="235" t="s">
        <v>9</v>
      </c>
      <c r="D26" s="220"/>
      <c r="E26" s="221"/>
      <c r="F26" s="221"/>
      <c r="G26" s="221"/>
      <c r="H26" s="222"/>
      <c r="I26" s="221"/>
      <c r="K26" s="81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119.59999999999997</v>
      </c>
      <c r="P26" s="253"/>
      <c r="Q26" s="30">
        <f t="shared" si="6"/>
        <v>1.0482529118136439</v>
      </c>
      <c r="R26" s="30">
        <f t="shared" si="7"/>
        <v>125.37104825291178</v>
      </c>
      <c r="S26" s="30">
        <f t="shared" si="16"/>
        <v>55678583.999999985</v>
      </c>
      <c r="T26" s="30">
        <f t="shared" si="17"/>
        <v>465540</v>
      </c>
      <c r="U26" s="30">
        <f t="shared" si="18"/>
        <v>55678583.999999985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SUM(O17:O20,O25)/SUM(O$17:O$25,2*O$28,O$26)</f>
        <v>0.50018377436986472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F26" s="81" t="s">
        <v>295</v>
      </c>
      <c r="BG26" s="204">
        <f>AP31+AP32</f>
        <v>14285844.090000004</v>
      </c>
      <c r="BQ26" s="154" t="s">
        <v>389</v>
      </c>
      <c r="BR26" s="81" t="s">
        <v>390</v>
      </c>
      <c r="BS26" s="81" t="s">
        <v>410</v>
      </c>
      <c r="BT26" s="204">
        <f t="shared" ref="BT26:BT50" si="20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 s="81">
        <v>-7.0000000000000007E-2</v>
      </c>
      <c r="CL26" s="81">
        <v>0.94</v>
      </c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3"/>
        <v>CwN</v>
      </c>
      <c r="DI26" s="81" t="s">
        <v>434</v>
      </c>
      <c r="DJ26" s="204">
        <f t="shared" si="14"/>
        <v>5800000</v>
      </c>
      <c r="DK26" s="81" t="s">
        <v>392</v>
      </c>
      <c r="DL26" s="81" t="s">
        <v>411</v>
      </c>
      <c r="DM26" s="286">
        <f t="shared" si="0"/>
        <v>0.14881376608355085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1.0900000000000001</v>
      </c>
      <c r="DT26" s="291">
        <v>7.7499999999999999E-3</v>
      </c>
      <c r="DU26" s="290">
        <v>140.09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E26" s="160"/>
      <c r="EF26" s="306"/>
      <c r="EG26" s="306"/>
      <c r="EH26" s="160"/>
      <c r="EI26" s="160"/>
    </row>
    <row r="27" spans="1:139" ht="15" customHeight="1" thickTop="1" thickBot="1" x14ac:dyDescent="0.35">
      <c r="A27" s="220"/>
      <c r="B27" s="240">
        <f>SUM(O6:O25)</f>
        <v>558.30000000000007</v>
      </c>
      <c r="C27" s="222"/>
      <c r="D27" s="220"/>
      <c r="E27" s="221"/>
      <c r="F27" s="221"/>
      <c r="G27" s="221"/>
      <c r="H27" s="222"/>
      <c r="I27" s="221"/>
      <c r="K27" s="81" t="s">
        <v>101</v>
      </c>
      <c r="L27" s="250">
        <v>1</v>
      </c>
      <c r="M27" s="251">
        <v>1</v>
      </c>
      <c r="N27" s="251" t="s">
        <v>85</v>
      </c>
      <c r="O27" s="252">
        <f>SUM(O6:O9)</f>
        <v>172.7595</v>
      </c>
      <c r="P27" s="253"/>
      <c r="Q27" s="30">
        <f t="shared" si="6"/>
        <v>1.7363344051446945</v>
      </c>
      <c r="R27" s="30">
        <f t="shared" si="7"/>
        <v>299.96826366559486</v>
      </c>
      <c r="S27" s="30">
        <f t="shared" si="16"/>
        <v>34102725.300000004</v>
      </c>
      <c r="T27" s="30">
        <f t="shared" si="17"/>
        <v>197400.00000000003</v>
      </c>
      <c r="U27" s="30">
        <f t="shared" si="18"/>
        <v>34102725.300000004</v>
      </c>
      <c r="V27" s="31"/>
      <c r="W27" s="3"/>
      <c r="X27" s="260" t="s">
        <v>99</v>
      </c>
      <c r="Y27" s="261"/>
      <c r="Z27" s="262" t="s">
        <v>21</v>
      </c>
      <c r="AA27" s="263">
        <f>1/(1/5+SUM(AD29:AD32)+1/3)</f>
        <v>1.0482529118136439</v>
      </c>
      <c r="AB27" s="261" t="s">
        <v>5</v>
      </c>
      <c r="AC27" s="261"/>
      <c r="AD27" s="261" t="s">
        <v>22</v>
      </c>
      <c r="AE27" s="264">
        <f>SUM(AE29:AE33)</f>
        <v>465540</v>
      </c>
      <c r="AF27" s="14" t="s">
        <v>23</v>
      </c>
      <c r="AG27" s="14">
        <f>SUM(AE29:AE32)</f>
        <v>465540</v>
      </c>
      <c r="AH27" s="14"/>
      <c r="AM27" s="154" t="s">
        <v>389</v>
      </c>
      <c r="AN27" s="81" t="s">
        <v>390</v>
      </c>
      <c r="AO27" s="81" t="s">
        <v>411</v>
      </c>
      <c r="AP27" s="81">
        <f>SUM(2*O28)/SUM(O$17:O$25,2*O$28,O$26)</f>
        <v>0.14881376608355085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F27" s="81" t="s">
        <v>122</v>
      </c>
      <c r="BG27" s="204">
        <f>AP30</f>
        <v>1730559.7907120739</v>
      </c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0"/>
        <v>0.111</v>
      </c>
      <c r="BU27" s="81" t="s">
        <v>392</v>
      </c>
      <c r="BV27" s="204">
        <v>0.111</v>
      </c>
      <c r="BZ27" s="211">
        <f t="shared" ref="BZ27:BZ28" si="21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 s="81">
        <v>89.38</v>
      </c>
      <c r="CL27" s="81" t="s">
        <v>505</v>
      </c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J27" s="204"/>
      <c r="DL27" s="81" t="s">
        <v>412</v>
      </c>
      <c r="DM27" s="286">
        <f t="shared" si="0"/>
        <v>3.5885403835944164E-2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0.95799999999999996</v>
      </c>
      <c r="DT27" s="291">
        <v>1.46E-2</v>
      </c>
      <c r="DU27" s="290">
        <v>65.599999999999994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14200000</v>
      </c>
      <c r="EC27" s="212" t="s">
        <v>392</v>
      </c>
      <c r="EE27" s="160" t="s">
        <v>568</v>
      </c>
      <c r="EF27" s="306" t="s">
        <v>399</v>
      </c>
      <c r="EG27" s="306" t="s">
        <v>434</v>
      </c>
      <c r="EH27" s="310">
        <f>$AP12</f>
        <v>15401248.000000002</v>
      </c>
      <c r="EI27" s="160" t="s">
        <v>392</v>
      </c>
    </row>
    <row r="28" spans="1:139" ht="15" customHeight="1" thickTop="1" thickBot="1" x14ac:dyDescent="0.35">
      <c r="A28" s="220"/>
      <c r="B28" s="221"/>
      <c r="C28" s="222"/>
      <c r="D28" s="220"/>
      <c r="E28" s="221"/>
      <c r="F28" s="221"/>
      <c r="G28" s="221"/>
      <c r="H28" s="222"/>
      <c r="I28" s="221"/>
      <c r="K28" s="81" t="s">
        <v>102</v>
      </c>
      <c r="L28" s="250">
        <v>2</v>
      </c>
      <c r="M28" s="251">
        <v>2</v>
      </c>
      <c r="N28" s="251" t="s">
        <v>85</v>
      </c>
      <c r="O28" s="252">
        <f>SUM(O17:O20)</f>
        <v>28.240500000000004</v>
      </c>
      <c r="P28" s="253"/>
      <c r="Q28" s="30">
        <f t="shared" si="6"/>
        <v>1.7363344051446945</v>
      </c>
      <c r="R28" s="30">
        <f t="shared" si="7"/>
        <v>49.034951768488753</v>
      </c>
      <c r="S28" s="30">
        <f t="shared" si="16"/>
        <v>5574674.700000002</v>
      </c>
      <c r="T28" s="30">
        <f t="shared" si="17"/>
        <v>197400.00000000003</v>
      </c>
      <c r="U28" s="30">
        <f t="shared" si="18"/>
        <v>5574674.700000002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SUM(O21:O24)/SUM(O$17:O$25,2*O$28,O$26)</f>
        <v>3.5885403835944164E-2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F28" s="81" t="s">
        <v>449</v>
      </c>
      <c r="BG28" s="204">
        <f>BG26+BG27</f>
        <v>16016403.880712077</v>
      </c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0"/>
        <v>0.251</v>
      </c>
      <c r="BU28" s="81" t="s">
        <v>392</v>
      </c>
      <c r="BV28" s="204">
        <v>0.251</v>
      </c>
      <c r="BZ28" s="211">
        <f t="shared" si="21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 s="81">
        <v>148.78</v>
      </c>
      <c r="CL28" s="81" t="s">
        <v>505</v>
      </c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J28" s="204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0.78400000000000003</v>
      </c>
      <c r="DT28" s="291">
        <v>1.4E-2</v>
      </c>
      <c r="DU28" s="290">
        <v>55.96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2">DS34</f>
        <v>3420000</v>
      </c>
      <c r="EC28" s="212" t="s">
        <v>392</v>
      </c>
      <c r="EE28" s="160" t="s">
        <v>568</v>
      </c>
      <c r="EF28" s="308" t="s">
        <v>396</v>
      </c>
      <c r="EG28" s="306" t="s">
        <v>434</v>
      </c>
      <c r="EH28" s="310">
        <f>$AP9</f>
        <v>2008375.4092879263</v>
      </c>
      <c r="EI28" s="160" t="s">
        <v>392</v>
      </c>
    </row>
    <row r="29" spans="1:139" ht="15" customHeight="1" thickTop="1" thickBot="1" x14ac:dyDescent="0.35">
      <c r="A29" s="220"/>
      <c r="B29" s="221"/>
      <c r="C29" s="222"/>
      <c r="D29" s="220"/>
      <c r="E29" s="221"/>
      <c r="F29" s="221"/>
      <c r="G29" s="221"/>
      <c r="H29" s="222"/>
      <c r="I29" s="221"/>
      <c r="L29" s="255"/>
      <c r="M29" s="256"/>
      <c r="N29" s="256"/>
      <c r="O29" s="256"/>
      <c r="P29" s="257"/>
      <c r="X29" s="271"/>
      <c r="Y29" s="272" t="s">
        <v>103</v>
      </c>
      <c r="Z29" s="272">
        <v>0.02</v>
      </c>
      <c r="AA29" s="272">
        <v>0.18</v>
      </c>
      <c r="AB29" s="272">
        <v>550</v>
      </c>
      <c r="AC29" s="272">
        <v>1880</v>
      </c>
      <c r="AD29" s="273">
        <f>Z29/AA29</f>
        <v>0.11111111111111112</v>
      </c>
      <c r="AE29" s="274">
        <f>Z29*AB29*AC29</f>
        <v>20680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F29" s="81" t="s">
        <v>450</v>
      </c>
      <c r="BG29" s="3">
        <f>BG24+BG25</f>
        <v>115.26804145170827</v>
      </c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 s="81">
        <v>192.86</v>
      </c>
      <c r="CL29" s="81" t="s">
        <v>505</v>
      </c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J29" s="204"/>
      <c r="DL29" s="81" t="s">
        <v>413</v>
      </c>
      <c r="DM29" s="288">
        <f t="shared" si="0"/>
        <v>1730559.7907120739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1.16E-8</v>
      </c>
      <c r="DT29" s="291">
        <v>1.3799999999999999E-6</v>
      </c>
      <c r="DU29" s="290">
        <v>0.01</v>
      </c>
      <c r="DV29" s="290">
        <v>0.99329999999999996</v>
      </c>
      <c r="DY29" s="212" t="s">
        <v>568</v>
      </c>
      <c r="DZ29" s="295" t="s">
        <v>397</v>
      </c>
      <c r="EA29" s="292" t="s">
        <v>434</v>
      </c>
      <c r="EB29" s="293">
        <f t="shared" si="22"/>
        <v>22400000</v>
      </c>
      <c r="EC29" s="212" t="s">
        <v>392</v>
      </c>
      <c r="EE29" s="160" t="s">
        <v>568</v>
      </c>
      <c r="EF29" s="308" t="s">
        <v>397</v>
      </c>
      <c r="EG29" s="306" t="s">
        <v>434</v>
      </c>
      <c r="EH29" s="310">
        <f>$AP10</f>
        <v>23146317.810000002</v>
      </c>
      <c r="EI29" s="160" t="s">
        <v>392</v>
      </c>
    </row>
    <row r="30" spans="1:139" ht="15" customHeight="1" thickTop="1" thickBot="1" x14ac:dyDescent="0.35">
      <c r="A30" s="237"/>
      <c r="B30" s="219"/>
      <c r="C30" s="242"/>
      <c r="D30" s="237"/>
      <c r="E30" s="219"/>
      <c r="F30" s="219"/>
      <c r="G30" s="219"/>
      <c r="H30" s="242"/>
      <c r="I30" s="221"/>
      <c r="L30" s="81"/>
      <c r="M30" s="81"/>
      <c r="N30" s="81"/>
      <c r="Q30" s="81"/>
      <c r="R30" s="81"/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1730559.7907120739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0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 s="81">
        <v>148.13</v>
      </c>
      <c r="CL30" s="81" t="s">
        <v>505</v>
      </c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J30" s="204"/>
      <c r="DL30" s="81" t="s">
        <v>414</v>
      </c>
      <c r="DM30" s="288">
        <f t="shared" si="0"/>
        <v>8711169.3900000006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0.88800000000000001</v>
      </c>
      <c r="DT30" s="291">
        <v>7.79E-3</v>
      </c>
      <c r="DU30" s="290">
        <v>114.1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2"/>
        <v>28100000</v>
      </c>
      <c r="EC30" s="212" t="s">
        <v>392</v>
      </c>
      <c r="EE30" s="160" t="s">
        <v>568</v>
      </c>
      <c r="EF30" s="308" t="s">
        <v>398</v>
      </c>
      <c r="EG30" s="306" t="s">
        <v>434</v>
      </c>
      <c r="EH30" s="310">
        <f>$AP11</f>
        <v>34102725.300000004</v>
      </c>
      <c r="EI30" s="160" t="s">
        <v>392</v>
      </c>
    </row>
    <row r="31" spans="1:139" ht="15" customHeight="1" thickTop="1" thickBot="1" x14ac:dyDescent="0.35">
      <c r="L31" s="81"/>
      <c r="M31" s="81"/>
      <c r="N31" s="81"/>
      <c r="Q31" s="69" t="s">
        <v>106</v>
      </c>
      <c r="R31" s="70">
        <f>SUM(R6:R9)+SUM(R10:R13)+0.5*R14+R16+SUM(R17:R24)+R25</f>
        <v>267.81373595017942</v>
      </c>
      <c r="S31" s="69" t="s">
        <v>107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8711169.3900000006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Q31" s="154" t="s">
        <v>389</v>
      </c>
      <c r="BR31" s="81" t="s">
        <v>390</v>
      </c>
      <c r="BS31" s="81" t="s">
        <v>414</v>
      </c>
      <c r="BT31" s="204">
        <f t="shared" si="20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 s="81">
        <v>122.4</v>
      </c>
      <c r="CL31" s="81" t="s">
        <v>505</v>
      </c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3"/>
        <v>f1D</v>
      </c>
      <c r="DI31" s="81" t="s">
        <v>434</v>
      </c>
      <c r="DJ31" s="204">
        <f t="shared" si="14"/>
        <v>0.06</v>
      </c>
      <c r="DK31" s="81" t="s">
        <v>392</v>
      </c>
      <c r="DL31" s="81" t="s">
        <v>415</v>
      </c>
      <c r="DM31" s="288">
        <f t="shared" si="0"/>
        <v>5574674.700000002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0.73599999999999999</v>
      </c>
      <c r="DT31" s="291">
        <v>1.46E-2</v>
      </c>
      <c r="DU31" s="290">
        <v>50.47</v>
      </c>
      <c r="DV31" s="290" t="s">
        <v>509</v>
      </c>
      <c r="DW31" s="291">
        <v>2E-16</v>
      </c>
      <c r="DX31" s="81" t="s">
        <v>510</v>
      </c>
      <c r="EA31" s="292"/>
      <c r="EE31" s="160"/>
      <c r="EF31" s="160"/>
      <c r="EG31" s="306"/>
      <c r="EH31" s="160"/>
      <c r="EI31" s="160"/>
    </row>
    <row r="32" spans="1:139" ht="15" customHeight="1" thickTop="1" thickBot="1" x14ac:dyDescent="0.35">
      <c r="L32" s="81"/>
      <c r="M32" s="81"/>
      <c r="N32" s="81"/>
      <c r="Q32" s="81"/>
      <c r="R32" s="81">
        <f>G4*Z37</f>
        <v>21.337999999999997</v>
      </c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SUM(U28,U31)</f>
        <v>5574674.700000002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J32" s="81" t="s">
        <v>281</v>
      </c>
      <c r="BK32" s="81">
        <f>BK4+BK5</f>
        <v>124.67208128367349</v>
      </c>
      <c r="BQ32" s="154" t="s">
        <v>389</v>
      </c>
      <c r="BR32" s="81" t="s">
        <v>390</v>
      </c>
      <c r="BS32" s="81" t="s">
        <v>415</v>
      </c>
      <c r="BT32" s="204">
        <f t="shared" si="20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 s="81">
        <v>98.59</v>
      </c>
      <c r="CL32" s="81" t="s">
        <v>505</v>
      </c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3"/>
        <v>f1N</v>
      </c>
      <c r="DI32" s="81" t="s">
        <v>434</v>
      </c>
      <c r="DJ32" s="204">
        <f t="shared" si="14"/>
        <v>0.16</v>
      </c>
      <c r="DK32" s="81" t="s">
        <v>392</v>
      </c>
      <c r="DL32" s="81" t="s">
        <v>416</v>
      </c>
      <c r="DM32" s="286">
        <f t="shared" si="0"/>
        <v>0.10003675487397296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993000000</v>
      </c>
      <c r="DT32" s="291">
        <v>31400000</v>
      </c>
      <c r="DU32" s="290">
        <v>31.6</v>
      </c>
      <c r="DV32" s="290" t="s">
        <v>509</v>
      </c>
      <c r="DW32" s="291">
        <v>2E-16</v>
      </c>
      <c r="DX32" s="81" t="s">
        <v>510</v>
      </c>
      <c r="DY32" s="212" t="s">
        <v>568</v>
      </c>
      <c r="DZ32" s="295" t="s">
        <v>589</v>
      </c>
      <c r="EA32" s="292" t="s">
        <v>434</v>
      </c>
      <c r="EB32" s="293">
        <f>DS47</f>
        <v>262</v>
      </c>
      <c r="EC32" s="212" t="s">
        <v>392</v>
      </c>
      <c r="EE32" s="160" t="s">
        <v>568</v>
      </c>
      <c r="EF32" s="308" t="s">
        <v>404</v>
      </c>
      <c r="EG32" s="306" t="s">
        <v>434</v>
      </c>
      <c r="EH32" s="160">
        <f>$AP19</f>
        <v>502.91175202156336</v>
      </c>
      <c r="EI32" s="160" t="s">
        <v>392</v>
      </c>
    </row>
    <row r="33" spans="1:139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318" t="s">
        <v>112</v>
      </c>
      <c r="F33" s="319"/>
      <c r="G33" s="72" t="s">
        <v>113</v>
      </c>
      <c r="L33" s="81"/>
      <c r="M33" s="81"/>
      <c r="N33" s="81"/>
      <c r="Q33" s="81"/>
      <c r="R33" s="81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AP26*0.2</f>
        <v>0.10003675487397296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J33" s="81" t="s">
        <v>282</v>
      </c>
      <c r="BK33" s="3">
        <f>BK6+BK7</f>
        <v>147.72620000000001</v>
      </c>
      <c r="BQ33" s="154" t="s">
        <v>389</v>
      </c>
      <c r="BR33" s="81" t="s">
        <v>390</v>
      </c>
      <c r="BS33" s="81" t="s">
        <v>416</v>
      </c>
      <c r="BT33" s="204">
        <f t="shared" si="20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 s="81">
        <v>136.51</v>
      </c>
      <c r="CL33" s="81" t="s">
        <v>505</v>
      </c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3"/>
        <v>f2N</v>
      </c>
      <c r="DI33" s="81" t="s">
        <v>434</v>
      </c>
      <c r="DJ33" s="204">
        <f t="shared" si="14"/>
        <v>5.2999999999999999E-2</v>
      </c>
      <c r="DK33" s="81" t="s">
        <v>392</v>
      </c>
      <c r="DL33" s="81" t="s">
        <v>417</v>
      </c>
      <c r="DM33" s="286">
        <f t="shared" si="0"/>
        <v>2.976275321671017E-2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14200000</v>
      </c>
      <c r="DT33" s="291">
        <v>226000</v>
      </c>
      <c r="DU33" s="290">
        <v>62.67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3">DS48</f>
        <v>204</v>
      </c>
      <c r="EC33" s="212" t="s">
        <v>392</v>
      </c>
      <c r="EE33" s="160" t="s">
        <v>568</v>
      </c>
      <c r="EF33" s="308" t="s">
        <v>405</v>
      </c>
      <c r="EG33" s="306" t="s">
        <v>434</v>
      </c>
      <c r="EH33" s="160">
        <f>$AP20</f>
        <v>441.63636363636368</v>
      </c>
      <c r="EI33" s="160" t="s">
        <v>392</v>
      </c>
    </row>
    <row r="34" spans="1:139" ht="15" customHeight="1" thickTop="1" thickBot="1" x14ac:dyDescent="0.35">
      <c r="A34" s="73">
        <v>1</v>
      </c>
      <c r="B34" s="74">
        <f>B7*B38</f>
        <v>381.64628482972142</v>
      </c>
      <c r="C34" s="73"/>
      <c r="D34" s="73" t="s">
        <v>42</v>
      </c>
      <c r="E34" s="195">
        <v>21</v>
      </c>
      <c r="F34" s="195"/>
      <c r="G34" s="76">
        <f>VLOOKUP(D34,A6:B22,2,0)</f>
        <v>138.80000000000001</v>
      </c>
      <c r="L34" s="81"/>
      <c r="M34" s="81"/>
      <c r="N34" s="81"/>
      <c r="Q34" s="81">
        <f>25+13+18</f>
        <v>56</v>
      </c>
      <c r="R34" s="81"/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AP27*0.2</f>
        <v>2.976275321671017E-2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J34" s="81" t="s">
        <v>291</v>
      </c>
      <c r="BK34" s="204">
        <f>BK10+BK9</f>
        <v>37432161.900000006</v>
      </c>
      <c r="BQ34" s="154" t="s">
        <v>389</v>
      </c>
      <c r="BR34" s="81" t="s">
        <v>390</v>
      </c>
      <c r="BS34" s="81" t="s">
        <v>417</v>
      </c>
      <c r="BT34" s="204">
        <f t="shared" si="20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 s="81">
        <v>186.01</v>
      </c>
      <c r="CL34" s="81" t="s">
        <v>505</v>
      </c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3"/>
        <v>f3D</v>
      </c>
      <c r="DI34" s="81" t="s">
        <v>434</v>
      </c>
      <c r="DJ34" s="204">
        <f t="shared" si="14"/>
        <v>0.65</v>
      </c>
      <c r="DK34" s="81" t="s">
        <v>392</v>
      </c>
      <c r="DL34" s="81" t="s">
        <v>418</v>
      </c>
      <c r="DM34" s="286">
        <f t="shared" si="0"/>
        <v>0.80717708076718886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3420000</v>
      </c>
      <c r="DT34" s="291">
        <v>44500</v>
      </c>
      <c r="DU34" s="290">
        <v>76.92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3"/>
        <v>497</v>
      </c>
      <c r="EC34" s="212" t="s">
        <v>392</v>
      </c>
      <c r="EE34" s="160" t="s">
        <v>568</v>
      </c>
      <c r="EF34" s="309" t="s">
        <v>406</v>
      </c>
      <c r="EG34" s="306" t="s">
        <v>434</v>
      </c>
      <c r="EH34" s="160">
        <f>$AP21</f>
        <v>599.93652733118972</v>
      </c>
      <c r="EI34" s="160" t="s">
        <v>392</v>
      </c>
    </row>
    <row r="35" spans="1:139" ht="15" customHeight="1" thickTop="1" thickBot="1" x14ac:dyDescent="0.35">
      <c r="A35" s="73">
        <v>2</v>
      </c>
      <c r="B35" s="74">
        <f>B4-B34</f>
        <v>328.85371517027858</v>
      </c>
      <c r="C35" s="73"/>
      <c r="D35" s="73" t="s">
        <v>116</v>
      </c>
      <c r="E35" s="77">
        <v>18</v>
      </c>
      <c r="F35" s="77"/>
      <c r="G35" s="76">
        <f>VLOOKUP(D35,A7:B23,2,0)</f>
        <v>119.59999999999997</v>
      </c>
      <c r="L35" s="81"/>
      <c r="M35" s="81"/>
      <c r="N35" s="81" t="s">
        <v>114</v>
      </c>
      <c r="O35" s="3">
        <f>SUM(R6:R9,R15,R17:R20,R25)</f>
        <v>117.02245589599723</v>
      </c>
      <c r="P35" s="3"/>
      <c r="Q35" s="81">
        <f>Q34/5</f>
        <v>11.2</v>
      </c>
      <c r="R35" s="81"/>
      <c r="X35" s="260" t="s">
        <v>115</v>
      </c>
      <c r="Y35" s="261"/>
      <c r="Z35" s="262" t="s">
        <v>21</v>
      </c>
      <c r="AA35" s="275">
        <v>2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AP28*0.2+0.8</f>
        <v>0.80717708076718886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J35" s="81" t="s">
        <v>285</v>
      </c>
      <c r="BK35" s="81">
        <f>BK15+BK14</f>
        <v>698.00643086816717</v>
      </c>
      <c r="BQ35" s="154" t="s">
        <v>389</v>
      </c>
      <c r="BR35" s="81" t="s">
        <v>390</v>
      </c>
      <c r="BS35" s="81" t="s">
        <v>418</v>
      </c>
      <c r="BT35" s="204">
        <f t="shared" si="20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 s="81">
        <v>200.04</v>
      </c>
      <c r="CL35" s="81" t="s">
        <v>505</v>
      </c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3"/>
        <v>f3N</v>
      </c>
      <c r="DI35" s="81" t="s">
        <v>434</v>
      </c>
      <c r="DJ35" s="204">
        <f t="shared" si="14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22400000</v>
      </c>
      <c r="DT35" s="291">
        <v>673000</v>
      </c>
      <c r="DU35" s="290">
        <v>33.29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3"/>
        <v>274</v>
      </c>
      <c r="EC35" s="212" t="s">
        <v>392</v>
      </c>
      <c r="EE35" s="160" t="s">
        <v>568</v>
      </c>
      <c r="EF35" s="309" t="s">
        <v>407</v>
      </c>
      <c r="EG35" s="306" t="s">
        <v>434</v>
      </c>
      <c r="EH35" s="161">
        <f>$AP22</f>
        <v>94.138005263157908</v>
      </c>
      <c r="EI35" s="160" t="s">
        <v>392</v>
      </c>
    </row>
    <row r="36" spans="1:139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320" t="s">
        <v>119</v>
      </c>
      <c r="F36" s="314"/>
      <c r="G36" s="76">
        <f>B17</f>
        <v>0</v>
      </c>
      <c r="L36" s="81"/>
      <c r="M36" s="81"/>
      <c r="N36" s="81" t="s">
        <v>117</v>
      </c>
      <c r="O36" s="3">
        <f>SUM(R10:R13,R21:R24)</f>
        <v>90.8</v>
      </c>
      <c r="Q36" s="81"/>
      <c r="R36" s="81"/>
      <c r="X36" s="271"/>
      <c r="Y36" s="272" t="s">
        <v>16</v>
      </c>
      <c r="Z36" s="272">
        <v>1.361</v>
      </c>
      <c r="AA36" s="272" t="s">
        <v>5</v>
      </c>
      <c r="AB36" s="272"/>
      <c r="AC36" s="272" t="s">
        <v>608</v>
      </c>
      <c r="AD36" s="272">
        <f>(AA35-(1-AD37)*Z36)/0.25</f>
        <v>3.9169999999999998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J36" s="81" t="s">
        <v>457</v>
      </c>
      <c r="BK36" s="3">
        <f>BK32+BK33</f>
        <v>272.3982812836735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 s="81">
        <v>-244.53</v>
      </c>
      <c r="CL36" s="81" t="s">
        <v>505</v>
      </c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3"/>
        <v>f5D</v>
      </c>
      <c r="DI36" s="81" t="s">
        <v>434</v>
      </c>
      <c r="DJ36" s="204">
        <f t="shared" si="14"/>
        <v>7.0000000000000007E-2</v>
      </c>
      <c r="DK36" s="81" t="s">
        <v>392</v>
      </c>
      <c r="DL36" s="81" t="s">
        <v>419</v>
      </c>
      <c r="DM36" s="289">
        <f t="shared" si="0"/>
        <v>171.57359707851492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28100000</v>
      </c>
      <c r="DT36" s="291">
        <v>259000</v>
      </c>
      <c r="DU36" s="290">
        <v>108.17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58.9</v>
      </c>
      <c r="EC36" s="212" t="s">
        <v>392</v>
      </c>
      <c r="EE36" s="160" t="s">
        <v>568</v>
      </c>
      <c r="EF36" s="311" t="s">
        <v>409</v>
      </c>
      <c r="EG36" s="306" t="s">
        <v>434</v>
      </c>
      <c r="EH36" s="160">
        <f>$AP24</f>
        <v>42.474316939890713</v>
      </c>
      <c r="EI36" s="160" t="s">
        <v>392</v>
      </c>
    </row>
    <row r="37" spans="1:139" ht="15" customHeight="1" thickTop="1" thickBot="1" x14ac:dyDescent="0.35">
      <c r="L37" s="81"/>
      <c r="M37" s="81"/>
      <c r="N37" s="81" t="s">
        <v>120</v>
      </c>
      <c r="O37" s="3">
        <f>'Verwarming Tabula'!B60</f>
        <v>138.03320000000002</v>
      </c>
      <c r="Q37" s="81"/>
      <c r="R37" s="81"/>
      <c r="X37" s="237"/>
      <c r="Y37" s="219" t="s">
        <v>121</v>
      </c>
      <c r="Z37" s="219">
        <v>0.47</v>
      </c>
      <c r="AA37" s="219"/>
      <c r="AB37" s="219"/>
      <c r="AC37" s="219" t="s">
        <v>607</v>
      </c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SUM(O17:O20)*(1/(SUM(AD18:AD19)+1/8))+O25*(1/(SUM(AD9:AD10)/2+1/8))</f>
        <v>171.57359707851492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0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 s="81">
        <v>-234.52</v>
      </c>
      <c r="CL37" s="81" t="s">
        <v>505</v>
      </c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3"/>
        <v>f5N</v>
      </c>
      <c r="DI37" s="81" t="s">
        <v>434</v>
      </c>
      <c r="DJ37" s="204">
        <f t="shared" si="14"/>
        <v>0.13</v>
      </c>
      <c r="DK37" s="81" t="s">
        <v>392</v>
      </c>
      <c r="DL37" s="81" t="s">
        <v>420</v>
      </c>
      <c r="DM37" s="289">
        <f t="shared" si="0"/>
        <v>98.069903536977506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-5.83</v>
      </c>
      <c r="DT37" s="291">
        <v>6.25E-2</v>
      </c>
      <c r="DU37" s="290">
        <v>-93.3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154.08320493066256</v>
      </c>
      <c r="EC37" s="212" t="s">
        <v>392</v>
      </c>
      <c r="EE37" s="160" t="s">
        <v>568</v>
      </c>
      <c r="EF37" s="311" t="s">
        <v>408</v>
      </c>
      <c r="EG37" s="306" t="s">
        <v>434</v>
      </c>
      <c r="EH37" s="160">
        <f>$AP23</f>
        <v>72.012115384615385</v>
      </c>
      <c r="EI37" s="160" t="s">
        <v>392</v>
      </c>
    </row>
    <row r="38" spans="1:139" ht="15" customHeight="1" thickTop="1" thickBot="1" x14ac:dyDescent="0.35">
      <c r="B38" s="3">
        <f>B4/B6</f>
        <v>2.7496130030959756</v>
      </c>
      <c r="L38" s="81"/>
      <c r="M38" s="81"/>
      <c r="N38" s="81"/>
      <c r="O38" s="3"/>
      <c r="Q38" s="81"/>
      <c r="R38" s="81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</f>
        <v>98.069903536977506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0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 s="81">
        <v>-191.49</v>
      </c>
      <c r="CL38" s="81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3"/>
        <v>hwD</v>
      </c>
      <c r="DI38" s="81" t="s">
        <v>434</v>
      </c>
      <c r="DJ38" s="204">
        <f t="shared" si="14"/>
        <v>281</v>
      </c>
      <c r="DK38" s="81" t="s">
        <v>392</v>
      </c>
      <c r="DL38" s="81" t="s">
        <v>421</v>
      </c>
      <c r="DM38" s="289">
        <f t="shared" si="0"/>
        <v>53.588194736842112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-16.3</v>
      </c>
      <c r="DT38" s="291">
        <v>116</v>
      </c>
      <c r="DU38" s="290">
        <v>-0.14000000000000001</v>
      </c>
      <c r="DV38" s="290">
        <v>0.8881</v>
      </c>
      <c r="DY38" s="212" t="s">
        <v>568</v>
      </c>
      <c r="DZ38" s="294" t="s">
        <v>400</v>
      </c>
      <c r="EA38" s="292" t="s">
        <v>434</v>
      </c>
      <c r="EB38" s="293">
        <f>DS42</f>
        <v>6.8099999999999994E-2</v>
      </c>
      <c r="EC38" s="212" t="s">
        <v>392</v>
      </c>
      <c r="EE38" s="160" t="s">
        <v>568</v>
      </c>
      <c r="EF38" s="307" t="s">
        <v>400</v>
      </c>
      <c r="EG38" s="306" t="s">
        <v>434</v>
      </c>
      <c r="EH38" s="160">
        <f>$AP14</f>
        <v>4.2738000775550018E-2</v>
      </c>
      <c r="EI38" s="160" t="s">
        <v>392</v>
      </c>
    </row>
    <row r="39" spans="1:139" ht="15" customHeight="1" thickTop="1" thickBot="1" x14ac:dyDescent="0.35">
      <c r="L39" s="81"/>
      <c r="M39" s="81"/>
      <c r="N39" s="81" t="s">
        <v>122</v>
      </c>
      <c r="O39" s="3">
        <f>B4*1.204*1012*5/1000000</f>
        <v>4.3285365199999992</v>
      </c>
      <c r="P39" s="81" t="s">
        <v>123</v>
      </c>
      <c r="R39" s="81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 Ref 1'!B139+SUM(R21:R24)</f>
        <v>53.588194736842112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0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 s="81">
        <v>-254.34</v>
      </c>
      <c r="CL39" s="81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3"/>
        <v>hwiD</v>
      </c>
      <c r="DI39" s="81" t="s">
        <v>434</v>
      </c>
      <c r="DJ39" s="204">
        <f t="shared" si="14"/>
        <v>705</v>
      </c>
      <c r="DK39" s="81" t="s">
        <v>392</v>
      </c>
      <c r="DL39" s="81" t="s">
        <v>422</v>
      </c>
      <c r="DM39" s="289">
        <f t="shared" si="0"/>
        <v>96.298771614419195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-11</v>
      </c>
      <c r="DT39" s="291">
        <v>6.63</v>
      </c>
      <c r="DU39" s="290">
        <v>-1.65</v>
      </c>
      <c r="DV39" s="290">
        <v>9.8199999999999996E-2</v>
      </c>
      <c r="DW39" s="290" t="s">
        <v>557</v>
      </c>
      <c r="DY39" s="212" t="s">
        <v>568</v>
      </c>
      <c r="DZ39" s="295" t="s">
        <v>401</v>
      </c>
      <c r="EA39" s="292" t="s">
        <v>434</v>
      </c>
      <c r="EB39" s="293">
        <f t="shared" ref="EB39:EB42" si="24">DS43</f>
        <v>0.13700000000000001</v>
      </c>
      <c r="EC39" s="212" t="s">
        <v>392</v>
      </c>
      <c r="EE39" s="160" t="s">
        <v>568</v>
      </c>
      <c r="EF39" s="308" t="s">
        <v>401</v>
      </c>
      <c r="EG39" s="306" t="s">
        <v>434</v>
      </c>
      <c r="EH39" s="160">
        <f>$AP15</f>
        <v>8.5476001551100037E-2</v>
      </c>
      <c r="EI39" s="160" t="s">
        <v>392</v>
      </c>
    </row>
    <row r="40" spans="1:139" ht="15" customHeight="1" thickTop="1" thickBot="1" x14ac:dyDescent="0.35">
      <c r="A40" s="81" t="s">
        <v>271</v>
      </c>
      <c r="L40" s="81"/>
      <c r="M40" s="81"/>
      <c r="N40" s="81" t="s">
        <v>124</v>
      </c>
      <c r="O40" s="3">
        <f>SUM(S6:S9,S15)/1000000</f>
        <v>43.991064457199997</v>
      </c>
      <c r="P40" s="81" t="s">
        <v>125</v>
      </c>
      <c r="Q40" s="3">
        <f>SUM(U6:U9,U15)/1000000</f>
        <v>28.07382501</v>
      </c>
      <c r="R40" s="81"/>
      <c r="X40" s="260" t="s">
        <v>63</v>
      </c>
      <c r="Y40" s="261"/>
      <c r="Z40" s="262" t="s">
        <v>21</v>
      </c>
      <c r="AA40" s="263">
        <f>1/(1/10+SUM(AD42:AD46))</f>
        <v>0.28445648493057907</v>
      </c>
      <c r="AB40" s="261" t="s">
        <v>5</v>
      </c>
      <c r="AC40" s="261"/>
      <c r="AD40" s="261" t="s">
        <v>22</v>
      </c>
      <c r="AE40" s="264">
        <f>SUM(AE42:AE46)</f>
        <v>466626.5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SUM(O17:O20)*1/(SUM(AD15:AD17)+1/23)+O25*1/(SUM(AD7:AD8)+SUM(AD9:AD10)/2+1/23)</f>
        <v>96.298771614419195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0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 s="81">
        <v>-250.67</v>
      </c>
      <c r="CL40" s="81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3"/>
        <v>hwiN</v>
      </c>
      <c r="DI40" s="81" t="s">
        <v>434</v>
      </c>
      <c r="DJ40" s="204">
        <f t="shared" si="14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-15</v>
      </c>
      <c r="DT40" s="291">
        <v>39.4</v>
      </c>
      <c r="DU40" s="290">
        <v>-0.38</v>
      </c>
      <c r="DV40" s="290">
        <v>0.70269999999999999</v>
      </c>
      <c r="DY40" s="212" t="s">
        <v>568</v>
      </c>
      <c r="DZ40" s="295" t="s">
        <v>402</v>
      </c>
      <c r="EA40" s="292" t="s">
        <v>434</v>
      </c>
      <c r="EB40" s="293">
        <f t="shared" si="24"/>
        <v>0.76700000000000002</v>
      </c>
      <c r="EC40" s="212" t="s">
        <v>392</v>
      </c>
      <c r="EE40" s="160" t="s">
        <v>568</v>
      </c>
      <c r="EF40" s="308" t="s">
        <v>402</v>
      </c>
      <c r="EG40" s="306" t="s">
        <v>434</v>
      </c>
      <c r="EH40" s="160">
        <f>$AP16</f>
        <v>0.8078618754085708</v>
      </c>
      <c r="EI40" s="160" t="s">
        <v>392</v>
      </c>
    </row>
    <row r="41" spans="1:139" ht="15" customHeight="1" thickTop="1" thickBot="1" x14ac:dyDescent="0.35">
      <c r="A41" s="148" t="s">
        <v>272</v>
      </c>
      <c r="L41" s="81"/>
      <c r="M41" s="81"/>
      <c r="N41" s="81" t="s">
        <v>126</v>
      </c>
      <c r="O41" s="3">
        <f>SUM(S26:S27)/1000000</f>
        <v>89.781309299999975</v>
      </c>
      <c r="P41" s="81" t="s">
        <v>125</v>
      </c>
      <c r="Q41" s="3">
        <f>SUM(U26:U27)/1000000</f>
        <v>89.781309299999975</v>
      </c>
      <c r="R41" s="8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 s="81">
        <v>47.2</v>
      </c>
      <c r="CL41" s="8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3"/>
        <v>hwN</v>
      </c>
      <c r="DI41" s="81" t="s">
        <v>434</v>
      </c>
      <c r="DJ41" s="204">
        <f t="shared" si="14"/>
        <v>384</v>
      </c>
      <c r="DK41" s="81" t="s">
        <v>392</v>
      </c>
      <c r="DL41" s="81" t="s">
        <v>423</v>
      </c>
      <c r="DM41" s="286">
        <f t="shared" si="0"/>
        <v>0.14793585570564224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-15.6</v>
      </c>
      <c r="DT41" s="291">
        <v>71.400000000000006</v>
      </c>
      <c r="DU41" s="290">
        <v>-0.22</v>
      </c>
      <c r="DV41" s="290">
        <v>0.82769999999999999</v>
      </c>
      <c r="DY41" s="212" t="s">
        <v>568</v>
      </c>
      <c r="DZ41" s="292" t="s">
        <v>403</v>
      </c>
      <c r="EA41" s="292" t="s">
        <v>434</v>
      </c>
      <c r="EB41" s="293">
        <f t="shared" si="24"/>
        <v>6.2199999999999998E-2</v>
      </c>
      <c r="EC41" s="212" t="s">
        <v>392</v>
      </c>
      <c r="EE41" s="160" t="s">
        <v>568</v>
      </c>
      <c r="EF41" s="306" t="s">
        <v>403</v>
      </c>
      <c r="EG41" s="306" t="s">
        <v>434</v>
      </c>
      <c r="EH41" s="160">
        <f>$AP17</f>
        <v>3.4336951123650754E-2</v>
      </c>
      <c r="EI41" s="160" t="s">
        <v>392</v>
      </c>
    </row>
    <row r="42" spans="1:139" ht="15" customHeight="1" thickTop="1" thickBot="1" x14ac:dyDescent="0.35">
      <c r="A42" s="81" t="s">
        <v>273</v>
      </c>
      <c r="C42" s="81">
        <f>0.55</f>
        <v>0.55000000000000004</v>
      </c>
      <c r="L42" s="81"/>
      <c r="M42" s="81"/>
      <c r="N42" s="81" t="s">
        <v>127</v>
      </c>
      <c r="O42" s="3">
        <f>S14/1000000</f>
        <v>64.767758200000003</v>
      </c>
      <c r="Q42" s="3">
        <f>U14/1000000</f>
        <v>15.401248000000002</v>
      </c>
      <c r="R42" s="81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SUM(O26)/SUM($O$6:$O$14,$O$26,2*$O$27)</f>
        <v>0.14793585570564224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0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 s="81">
        <v>105.13</v>
      </c>
      <c r="CL42" s="81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3"/>
        <v>infD</v>
      </c>
      <c r="DI42" s="81" t="s">
        <v>434</v>
      </c>
      <c r="DJ42" s="204">
        <f t="shared" si="14"/>
        <v>53</v>
      </c>
      <c r="DK42" s="81" t="s">
        <v>392</v>
      </c>
      <c r="DL42" s="81" t="s">
        <v>424</v>
      </c>
      <c r="DM42" s="286">
        <f t="shared" si="0"/>
        <v>0.31511705571064025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6.8099999999999994E-2</v>
      </c>
      <c r="DT42" s="291">
        <v>8.4900000000000004E-4</v>
      </c>
      <c r="DU42" s="290">
        <v>80.2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24"/>
        <v>5.3100000000000001E-2</v>
      </c>
      <c r="EC42" s="212" t="s">
        <v>392</v>
      </c>
      <c r="EE42" s="160" t="s">
        <v>568</v>
      </c>
      <c r="EF42" s="306" t="s">
        <v>518</v>
      </c>
      <c r="EG42" s="306" t="s">
        <v>434</v>
      </c>
      <c r="EH42" s="160">
        <f>$AP46</f>
        <v>2.9587171141128452E-2</v>
      </c>
      <c r="EI42" s="160" t="s">
        <v>392</v>
      </c>
    </row>
    <row r="43" spans="1:139" ht="15" customHeight="1" thickTop="1" thickBot="1" x14ac:dyDescent="0.35">
      <c r="A43" s="81" t="s">
        <v>274</v>
      </c>
      <c r="C43" s="81">
        <v>0.99</v>
      </c>
      <c r="D43" s="81" t="s">
        <v>275</v>
      </c>
      <c r="L43" s="81"/>
      <c r="M43" s="81"/>
      <c r="N43" s="81"/>
      <c r="Q43" s="81"/>
      <c r="R43" s="81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SUM(O26)/SUM(O$17:O$25,2*O$28,O$26)</f>
        <v>0.31511705571064025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0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 s="81">
        <v>0.11</v>
      </c>
      <c r="CL43" s="81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3"/>
        <v>infN</v>
      </c>
      <c r="DI43" s="81" t="s">
        <v>434</v>
      </c>
      <c r="DJ43" s="204">
        <f t="shared" si="14"/>
        <v>36.9</v>
      </c>
      <c r="DK43" s="81" t="s">
        <v>392</v>
      </c>
      <c r="DL43" s="81" t="s">
        <v>425</v>
      </c>
      <c r="DM43" s="288">
        <f t="shared" si="0"/>
        <v>27839291.999999993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0.13700000000000001</v>
      </c>
      <c r="DT43" s="291">
        <v>1.0399999999999999E-3</v>
      </c>
      <c r="DU43" s="290">
        <v>132.03</v>
      </c>
      <c r="DV43" s="290" t="s">
        <v>509</v>
      </c>
      <c r="DW43" s="291">
        <v>2E-16</v>
      </c>
      <c r="DX43" s="81" t="s">
        <v>510</v>
      </c>
      <c r="EA43" s="292"/>
      <c r="EE43" s="160"/>
      <c r="EF43" s="160"/>
      <c r="EG43" s="306"/>
      <c r="EH43" s="160"/>
      <c r="EI43" s="160"/>
    </row>
    <row r="44" spans="1:139" ht="15" customHeight="1" thickTop="1" thickBot="1" x14ac:dyDescent="0.35">
      <c r="A44" s="81" t="s">
        <v>277</v>
      </c>
      <c r="C44" s="81">
        <v>0.7</v>
      </c>
      <c r="E44" s="79"/>
      <c r="L44" s="81"/>
      <c r="M44" s="81"/>
      <c r="N44" s="81"/>
      <c r="Q44" s="81"/>
      <c r="R44" s="81"/>
      <c r="X44" s="220"/>
      <c r="Y44" s="221" t="s">
        <v>276</v>
      </c>
      <c r="Z44" s="303">
        <v>7.4999999999999997E-2</v>
      </c>
      <c r="AA44" s="303">
        <v>2.4E-2</v>
      </c>
      <c r="AB44" s="221">
        <v>26</v>
      </c>
      <c r="AC44" s="221">
        <v>1470</v>
      </c>
      <c r="AD44" s="268">
        <f>Z44/AA44</f>
        <v>3.125</v>
      </c>
      <c r="AE44" s="222">
        <f>Z44*AB44*AC44</f>
        <v>2866.5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27839291.999999993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0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 s="81">
        <v>35.75</v>
      </c>
      <c r="CL44" s="81" t="s">
        <v>505</v>
      </c>
      <c r="CN44" s="81" t="s">
        <v>497</v>
      </c>
      <c r="CO44" s="81" t="s">
        <v>512</v>
      </c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J44" s="204"/>
      <c r="DL44" s="81" t="s">
        <v>426</v>
      </c>
      <c r="DM44" s="288">
        <f t="shared" si="0"/>
        <v>27839291.999999993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0.76700000000000002</v>
      </c>
      <c r="DT44" s="291">
        <v>3.8999999999999998E-3</v>
      </c>
      <c r="DU44" s="290">
        <v>196.97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0.33600000000000002</v>
      </c>
      <c r="EC44" s="212" t="s">
        <v>392</v>
      </c>
      <c r="EE44" s="160" t="s">
        <v>568</v>
      </c>
      <c r="EF44" s="311" t="s">
        <v>590</v>
      </c>
      <c r="EG44" s="306" t="s">
        <v>434</v>
      </c>
      <c r="EH44" s="160">
        <f>$O$22*$Z$37*$AP$26</f>
        <v>0.78283762526627532</v>
      </c>
      <c r="EI44" s="160" t="s">
        <v>392</v>
      </c>
    </row>
    <row r="45" spans="1:139" ht="15" customHeight="1" thickTop="1" thickBot="1" x14ac:dyDescent="0.35">
      <c r="A45" s="81" t="s">
        <v>278</v>
      </c>
      <c r="C45" s="81">
        <v>0.7</v>
      </c>
      <c r="E45" s="79"/>
      <c r="L45" s="81"/>
      <c r="M45" s="81"/>
      <c r="N45" s="81"/>
      <c r="Q45" s="81"/>
      <c r="R45" s="81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27839291.999999993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0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J45" s="204"/>
      <c r="DL45" s="81" t="s">
        <v>427</v>
      </c>
      <c r="DM45" s="286">
        <f t="shared" si="0"/>
        <v>2.9587171141128452E-2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6.2199999999999998E-2</v>
      </c>
      <c r="DT45" s="291">
        <v>4.7800000000000002E-4</v>
      </c>
      <c r="DU45" s="290">
        <v>130.32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25">DS70</f>
        <v>1.17E-14</v>
      </c>
      <c r="EC45" s="212" t="s">
        <v>392</v>
      </c>
      <c r="EE45" s="160" t="s">
        <v>568</v>
      </c>
      <c r="EF45" s="311" t="s">
        <v>591</v>
      </c>
      <c r="EG45" s="306" t="s">
        <v>434</v>
      </c>
      <c r="EH45" s="160">
        <f>$O$21*$Z$37*$AP$26</f>
        <v>0.69820653064289429</v>
      </c>
      <c r="EI45" s="160" t="s">
        <v>392</v>
      </c>
    </row>
    <row r="46" spans="1:139" ht="15" customHeight="1" thickTop="1" thickBot="1" x14ac:dyDescent="0.35">
      <c r="L46" s="81"/>
      <c r="M46" s="81"/>
      <c r="N46" s="81"/>
      <c r="Q46" s="81"/>
      <c r="R46" s="81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AP42*0.2</f>
        <v>2.9587171141128452E-2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0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J46" s="204"/>
      <c r="DL46" s="81" t="s">
        <v>428</v>
      </c>
      <c r="DM46" s="286">
        <f t="shared" si="0"/>
        <v>6.3023411142128047E-2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5.3100000000000001E-2</v>
      </c>
      <c r="DT46" s="291">
        <v>4.1599999999999997E-4</v>
      </c>
      <c r="DU46" s="290">
        <v>127.4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25"/>
        <v>0.79200000000000004</v>
      </c>
      <c r="EC46" s="212" t="s">
        <v>392</v>
      </c>
      <c r="EE46" s="160" t="s">
        <v>568</v>
      </c>
      <c r="EF46" s="311" t="s">
        <v>592</v>
      </c>
      <c r="EG46" s="306" t="s">
        <v>434</v>
      </c>
      <c r="EH46" s="160">
        <f>$O$23*$Z$37*$AP$26</f>
        <v>0.91683685841996199</v>
      </c>
      <c r="EI46" s="160" t="s">
        <v>392</v>
      </c>
    </row>
    <row r="47" spans="1:139" ht="15" customHeight="1" thickTop="1" thickBot="1" x14ac:dyDescent="0.35">
      <c r="B47" s="3"/>
      <c r="L47" s="81"/>
      <c r="M47" s="81"/>
      <c r="N47" s="81"/>
      <c r="Q47" s="81"/>
      <c r="R47" s="81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AP43*0.2</f>
        <v>6.3023411142128047E-2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0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J47" s="204"/>
      <c r="DL47" s="81" t="s">
        <v>429</v>
      </c>
      <c r="DM47" s="289">
        <f t="shared" si="0"/>
        <v>501.48419301164711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262</v>
      </c>
      <c r="DT47" s="291">
        <v>2.85</v>
      </c>
      <c r="DU47" s="290">
        <v>92.12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25"/>
        <v>0.66100000000000003</v>
      </c>
      <c r="EC47" s="212" t="s">
        <v>392</v>
      </c>
      <c r="EE47" s="160" t="s">
        <v>568</v>
      </c>
      <c r="EF47" s="311" t="s">
        <v>593</v>
      </c>
      <c r="EG47" s="306" t="s">
        <v>434</v>
      </c>
      <c r="EH47" s="160">
        <f>$O$24*$Z$37*$AP$26</f>
        <v>0.8039953989221208</v>
      </c>
      <c r="EI47" s="160" t="s">
        <v>392</v>
      </c>
    </row>
    <row r="48" spans="1:139" ht="15" customHeight="1" thickTop="1" thickBot="1" x14ac:dyDescent="0.35">
      <c r="B48" s="3"/>
      <c r="L48" s="81"/>
      <c r="M48" s="81"/>
      <c r="N48" s="81"/>
      <c r="Q48" s="81"/>
      <c r="R48" s="81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501.48419301164711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0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J48" s="204"/>
      <c r="DL48" s="81" t="s">
        <v>430</v>
      </c>
      <c r="DM48" s="289">
        <f t="shared" si="0"/>
        <v>250.74209650582355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204</v>
      </c>
      <c r="DT48" s="291">
        <v>1.35</v>
      </c>
      <c r="DU48" s="290">
        <v>151.66999999999999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25"/>
        <v>0.25700000000000001</v>
      </c>
      <c r="EC48" s="212" t="s">
        <v>392</v>
      </c>
      <c r="EE48" s="160" t="s">
        <v>568</v>
      </c>
      <c r="EF48" s="311" t="s">
        <v>594</v>
      </c>
      <c r="EG48" s="306" t="s">
        <v>434</v>
      </c>
      <c r="EH48" s="160">
        <f>$O$22*$Z$37*$AP$27</f>
        <v>0.23290842529736544</v>
      </c>
      <c r="EI48" s="160" t="s">
        <v>392</v>
      </c>
    </row>
    <row r="49" spans="1:139" ht="15" customHeight="1" thickTop="1" thickBot="1" x14ac:dyDescent="0.35">
      <c r="B49" s="3"/>
      <c r="L49" s="81"/>
      <c r="M49" s="81"/>
      <c r="N49" s="81"/>
      <c r="Q49" s="81"/>
      <c r="R49" s="81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250.74209650582355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0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J49" s="204"/>
      <c r="DL49" s="81" t="s">
        <v>431</v>
      </c>
      <c r="DM49" s="289">
        <f t="shared" si="0"/>
        <v>501.48419301164711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497</v>
      </c>
      <c r="DT49" s="291">
        <v>2.75</v>
      </c>
      <c r="DU49" s="290">
        <v>180.72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25"/>
        <v>0.27100000000000002</v>
      </c>
      <c r="EC49" s="212" t="s">
        <v>392</v>
      </c>
      <c r="EE49" s="160" t="s">
        <v>568</v>
      </c>
      <c r="EF49" s="311" t="s">
        <v>595</v>
      </c>
      <c r="EG49" s="306" t="s">
        <v>434</v>
      </c>
      <c r="EH49" s="160">
        <f>$O$21*$Z$37*$AP$27</f>
        <v>0.20772913607602864</v>
      </c>
      <c r="EI49" s="160" t="s">
        <v>392</v>
      </c>
    </row>
    <row r="50" spans="1:139" ht="15" customHeight="1" thickTop="1" thickBot="1" x14ac:dyDescent="0.35">
      <c r="L50" s="81"/>
      <c r="M50" s="81"/>
      <c r="N50" s="81"/>
      <c r="Q50" s="81"/>
      <c r="R50" s="81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501.48419301164711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0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J50" s="204"/>
      <c r="DQ50" s="290" t="s">
        <v>506</v>
      </c>
      <c r="DR50" s="290" t="s">
        <v>120</v>
      </c>
      <c r="DS50" s="291">
        <v>274</v>
      </c>
      <c r="DT50" s="291">
        <v>1.32</v>
      </c>
      <c r="DU50" s="290">
        <v>207.59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25"/>
        <v>0.22900000000000001</v>
      </c>
      <c r="EC50" s="212" t="s">
        <v>392</v>
      </c>
      <c r="EE50" s="160" t="s">
        <v>568</v>
      </c>
      <c r="EF50" s="311" t="s">
        <v>596</v>
      </c>
      <c r="EG50" s="306" t="s">
        <v>434</v>
      </c>
      <c r="EH50" s="160">
        <f>$O$23*$Z$37*$AP$27</f>
        <v>0.27277563323114867</v>
      </c>
      <c r="EI50" s="160" t="s">
        <v>392</v>
      </c>
    </row>
    <row r="51" spans="1:139" ht="15" customHeight="1" thickTop="1" thickBot="1" x14ac:dyDescent="0.35">
      <c r="L51" s="81"/>
      <c r="M51" s="81"/>
      <c r="N51" s="81"/>
      <c r="Q51" s="81"/>
      <c r="R51" s="8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J51" s="204"/>
      <c r="DQ51" s="290" t="s">
        <v>506</v>
      </c>
      <c r="DR51" s="290" t="s">
        <v>488</v>
      </c>
      <c r="DS51" s="291">
        <v>-5.74</v>
      </c>
      <c r="DT51" s="291">
        <v>2.1600000000000001E-2</v>
      </c>
      <c r="DU51" s="290">
        <v>-265.19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25"/>
        <v>0.13400000000000001</v>
      </c>
      <c r="EC51" s="212" t="s">
        <v>392</v>
      </c>
      <c r="EE51" s="160" t="s">
        <v>568</v>
      </c>
      <c r="EF51" s="311" t="s">
        <v>597</v>
      </c>
      <c r="EG51" s="306" t="s">
        <v>434</v>
      </c>
      <c r="EH51" s="160">
        <f>$O$24*$Z$37*$AP$27</f>
        <v>0.23920324760269968</v>
      </c>
      <c r="EI51" s="160" t="s">
        <v>392</v>
      </c>
    </row>
    <row r="52" spans="1:139" thickTop="1" thickBot="1" x14ac:dyDescent="0.35"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3"/>
        <v>UfDN</v>
      </c>
      <c r="DI52" s="81" t="s">
        <v>434</v>
      </c>
      <c r="DJ52" s="204">
        <f t="shared" si="14"/>
        <v>532</v>
      </c>
      <c r="DK52" s="81" t="s">
        <v>392</v>
      </c>
      <c r="DQ52" s="290" t="s">
        <v>506</v>
      </c>
      <c r="DR52" s="290" t="s">
        <v>489</v>
      </c>
      <c r="DS52" s="291">
        <v>-6.04</v>
      </c>
      <c r="DT52" s="291">
        <v>2.41E-2</v>
      </c>
      <c r="DU52" s="290">
        <v>-250.23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25"/>
        <v>0.111</v>
      </c>
      <c r="EC52" s="212" t="s">
        <v>392</v>
      </c>
      <c r="EE52" s="160" t="s">
        <v>568</v>
      </c>
      <c r="EF52" s="311" t="s">
        <v>598</v>
      </c>
      <c r="EG52" s="306" t="s">
        <v>434</v>
      </c>
      <c r="EH52" s="160">
        <f>$O$22*$Z$37*$AP$28</f>
        <v>5.6164245543636214E-2</v>
      </c>
      <c r="EI52" s="160" t="s">
        <v>392</v>
      </c>
    </row>
    <row r="53" spans="1:139" thickTop="1" thickBot="1" x14ac:dyDescent="0.35">
      <c r="CN53" s="81">
        <v>17</v>
      </c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3"/>
        <v>Ufi</v>
      </c>
      <c r="DI53" s="81" t="s">
        <v>434</v>
      </c>
      <c r="DJ53" s="204">
        <f t="shared" si="14"/>
        <v>1</v>
      </c>
      <c r="DK53" s="81" t="s">
        <v>392</v>
      </c>
      <c r="DQ53" s="290" t="s">
        <v>506</v>
      </c>
      <c r="DR53" s="290" t="s">
        <v>490</v>
      </c>
      <c r="DS53" s="291">
        <v>-7.15</v>
      </c>
      <c r="DT53" s="291">
        <v>3.3399999999999999E-2</v>
      </c>
      <c r="DU53" s="290">
        <v>-214.09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25"/>
        <v>2.6099999999999999E-11</v>
      </c>
      <c r="EC53" s="212" t="s">
        <v>392</v>
      </c>
      <c r="EE53" s="160" t="s">
        <v>568</v>
      </c>
      <c r="EF53" s="311" t="s">
        <v>599</v>
      </c>
      <c r="EG53" s="306" t="s">
        <v>434</v>
      </c>
      <c r="EH53" s="160">
        <f>$O$21*$Z$37*$AP$28</f>
        <v>5.0092435214594465E-2</v>
      </c>
      <c r="EI53" s="160" t="s">
        <v>392</v>
      </c>
    </row>
    <row r="54" spans="1:139" thickTop="1" thickBot="1" x14ac:dyDescent="0.35"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3"/>
        <v>UfND</v>
      </c>
      <c r="DI54" s="81" t="s">
        <v>434</v>
      </c>
      <c r="DJ54" s="204">
        <f t="shared" si="14"/>
        <v>351</v>
      </c>
      <c r="DK54" s="81" t="s">
        <v>392</v>
      </c>
      <c r="DQ54" s="290" t="s">
        <v>506</v>
      </c>
      <c r="DR54" s="290" t="s">
        <v>491</v>
      </c>
      <c r="DS54" s="291">
        <v>-6.2</v>
      </c>
      <c r="DT54" s="291">
        <v>2.12E-2</v>
      </c>
      <c r="DU54" s="290">
        <v>-292.51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25"/>
        <v>3.2300000000000002E-10</v>
      </c>
      <c r="EC54" s="212" t="s">
        <v>392</v>
      </c>
      <c r="EE54" s="160" t="s">
        <v>568</v>
      </c>
      <c r="EF54" s="311" t="s">
        <v>600</v>
      </c>
      <c r="EG54" s="306" t="s">
        <v>434</v>
      </c>
      <c r="EH54" s="160">
        <f>$O$23*$Z$37*$AP$28</f>
        <v>6.5777945231285648E-2</v>
      </c>
      <c r="EI54" s="160" t="s">
        <v>392</v>
      </c>
    </row>
    <row r="55" spans="1:139" thickTop="1" thickBot="1" x14ac:dyDescent="0.35"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3"/>
        <v>UwD</v>
      </c>
      <c r="DI55" s="81" t="s">
        <v>434</v>
      </c>
      <c r="DJ55" s="204">
        <f t="shared" si="14"/>
        <v>61.2</v>
      </c>
      <c r="DK55" s="81" t="s">
        <v>392</v>
      </c>
      <c r="DQ55" s="290" t="s">
        <v>506</v>
      </c>
      <c r="DR55" s="290" t="s">
        <v>492</v>
      </c>
      <c r="DS55" s="291">
        <v>-6.76</v>
      </c>
      <c r="DT55" s="291">
        <v>2.76E-2</v>
      </c>
      <c r="DU55" s="290">
        <v>-244.72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25"/>
        <v>3.5200000000000002E-2</v>
      </c>
      <c r="EC55" s="212" t="s">
        <v>392</v>
      </c>
      <c r="EE55" s="160" t="s">
        <v>568</v>
      </c>
      <c r="EF55" s="311" t="s">
        <v>601</v>
      </c>
      <c r="EG55" s="306" t="s">
        <v>434</v>
      </c>
      <c r="EH55" s="160">
        <f>$O$24*$Z$37*$AP$28</f>
        <v>5.7682198125896665E-2</v>
      </c>
      <c r="EI55" s="160" t="s">
        <v>392</v>
      </c>
    </row>
    <row r="56" spans="1:139" thickTop="1" thickBot="1" x14ac:dyDescent="0.35">
      <c r="AO56" s="160" t="s">
        <v>433</v>
      </c>
      <c r="AP56" s="160">
        <f>SUM(AP46,AP14:AP17)</f>
        <v>1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3"/>
        <v>UwN</v>
      </c>
      <c r="DI56" s="81" t="s">
        <v>434</v>
      </c>
      <c r="DJ56" s="204">
        <f t="shared" si="14"/>
        <v>50</v>
      </c>
      <c r="DK56" s="81" t="s">
        <v>392</v>
      </c>
      <c r="DQ56" s="290" t="s">
        <v>506</v>
      </c>
      <c r="DR56" s="290" t="s">
        <v>493</v>
      </c>
      <c r="DS56" s="291">
        <v>6.4900000000000001E-3</v>
      </c>
      <c r="DT56" s="291">
        <v>1.08E-4</v>
      </c>
      <c r="DU56" s="290">
        <v>60.17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25"/>
        <v>0.627</v>
      </c>
      <c r="EC56" s="212" t="s">
        <v>392</v>
      </c>
      <c r="EE56" s="160" t="s">
        <v>568</v>
      </c>
      <c r="EF56" s="311" t="s">
        <v>602</v>
      </c>
      <c r="EG56" s="306" t="s">
        <v>434</v>
      </c>
      <c r="EH56" s="160">
        <f>$O$22*$Z$37*$AP$43</f>
        <v>0.4931897038927231</v>
      </c>
      <c r="EI56" s="160" t="s">
        <v>392</v>
      </c>
    </row>
    <row r="57" spans="1:139" thickTop="1" thickBot="1" x14ac:dyDescent="0.35">
      <c r="A57" s="328" t="s">
        <v>611</v>
      </c>
      <c r="B57" s="328"/>
      <c r="C57" s="329"/>
      <c r="D57" s="329"/>
      <c r="E57" s="329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J57" s="204"/>
      <c r="DQ57" s="290" t="s">
        <v>506</v>
      </c>
      <c r="DR57" s="290" t="s">
        <v>494</v>
      </c>
      <c r="DS57" s="291">
        <v>148</v>
      </c>
      <c r="DT57" s="291">
        <v>1.17</v>
      </c>
      <c r="DU57" s="290">
        <v>126.65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25"/>
        <v>1.17</v>
      </c>
      <c r="EC57" s="212" t="s">
        <v>392</v>
      </c>
      <c r="EE57" s="160" t="s">
        <v>568</v>
      </c>
      <c r="EF57" s="311" t="s">
        <v>603</v>
      </c>
      <c r="EG57" s="306" t="s">
        <v>434</v>
      </c>
      <c r="EH57" s="160">
        <f>$O$21*$Z$37*$AP$43</f>
        <v>0.43987189806648275</v>
      </c>
      <c r="EI57" s="160" t="s">
        <v>392</v>
      </c>
    </row>
    <row r="58" spans="1:139" thickTop="1" thickBot="1" x14ac:dyDescent="0.35">
      <c r="A58" s="330" t="s">
        <v>122</v>
      </c>
      <c r="B58" s="331">
        <f>B4*1008*1.204*5</f>
        <v>4311427.68</v>
      </c>
      <c r="C58" s="331">
        <f>B34*1008*1.204*5</f>
        <v>2315890.7197523224</v>
      </c>
      <c r="D58" s="331">
        <f>B58-C58</f>
        <v>1995536.9602476773</v>
      </c>
      <c r="E58" s="329"/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J58" s="204"/>
      <c r="DQ58" s="290" t="s">
        <v>506</v>
      </c>
      <c r="DR58" s="290" t="s">
        <v>495</v>
      </c>
      <c r="DS58" s="291">
        <v>5220</v>
      </c>
      <c r="DT58" s="291">
        <v>692</v>
      </c>
      <c r="DU58" s="290">
        <v>7.54</v>
      </c>
      <c r="DV58" s="291">
        <v>5.3000000000000001E-14</v>
      </c>
      <c r="DW58" s="290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25"/>
        <v>0.49199999999999999</v>
      </c>
      <c r="EC58" s="212" t="s">
        <v>392</v>
      </c>
      <c r="EE58" s="160" t="s">
        <v>568</v>
      </c>
      <c r="EF58" s="311" t="s">
        <v>604</v>
      </c>
      <c r="EG58" s="306" t="s">
        <v>434</v>
      </c>
      <c r="EH58" s="160">
        <f>$O$23*$Z$37*$AP$43</f>
        <v>0.57760956311760359</v>
      </c>
      <c r="EI58" s="160" t="s">
        <v>392</v>
      </c>
    </row>
    <row r="59" spans="1:139" thickTop="1" thickBot="1" x14ac:dyDescent="0.35">
      <c r="A59" s="330" t="s">
        <v>152</v>
      </c>
      <c r="B59" s="332">
        <f>'Tabula data'!B21</f>
        <v>1.2730693424117541</v>
      </c>
      <c r="C59" s="332">
        <f>B59</f>
        <v>1.2730693424117541</v>
      </c>
      <c r="D59" s="332">
        <f>B59</f>
        <v>1.2730693424117541</v>
      </c>
      <c r="E59" s="329"/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J59" s="204"/>
      <c r="DQ59" s="290" t="s">
        <v>506</v>
      </c>
      <c r="DR59" s="290" t="s">
        <v>496</v>
      </c>
      <c r="DS59" s="291">
        <v>58.9</v>
      </c>
      <c r="DT59" s="291">
        <v>1.25</v>
      </c>
      <c r="DU59" s="290">
        <v>47.14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25"/>
        <v>0.26500000000000001</v>
      </c>
      <c r="EC59" s="212" t="s">
        <v>392</v>
      </c>
      <c r="EE59" s="160" t="s">
        <v>568</v>
      </c>
      <c r="EF59" s="311" t="s">
        <v>605</v>
      </c>
      <c r="EG59" s="306" t="s">
        <v>434</v>
      </c>
      <c r="EH59" s="160">
        <f>$O$24*$Z$37*$AP$43</f>
        <v>0.50651915534928327</v>
      </c>
      <c r="EI59" s="160" t="s">
        <v>392</v>
      </c>
    </row>
    <row r="60" spans="1:139" thickTop="1" thickBot="1" x14ac:dyDescent="0.35">
      <c r="A60" s="330" t="s">
        <v>612</v>
      </c>
      <c r="B60" s="331">
        <f>SUM(S6:S28)</f>
        <v>222422507</v>
      </c>
      <c r="C60" s="331">
        <f>SUM(S6:S14,S16,S26/2,S27)</f>
        <v>171120819.95720002</v>
      </c>
      <c r="D60" s="331">
        <f>SUM(S17:S25,S26/2,S28)</f>
        <v>51301687.042799994</v>
      </c>
      <c r="E60" s="329"/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J60" s="204"/>
      <c r="DZ60" s="297"/>
      <c r="EA60" s="292"/>
      <c r="EB60" s="293"/>
      <c r="EE60" s="160"/>
      <c r="EF60" s="311"/>
      <c r="EG60" s="306"/>
      <c r="EH60" s="160"/>
      <c r="EI60" s="160"/>
    </row>
    <row r="61" spans="1:139" thickTop="1" thickBot="1" x14ac:dyDescent="0.35">
      <c r="A61" s="330" t="s">
        <v>613</v>
      </c>
      <c r="B61" s="330">
        <f>Z18</f>
        <v>0.1</v>
      </c>
      <c r="C61" s="330">
        <f>B61</f>
        <v>0.1</v>
      </c>
      <c r="D61" s="330">
        <f>C61</f>
        <v>0.1</v>
      </c>
      <c r="E61" s="329"/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J61" s="204"/>
      <c r="DY61" s="212" t="s">
        <v>568</v>
      </c>
      <c r="DZ61" s="297" t="s">
        <v>413</v>
      </c>
      <c r="EA61" s="292" t="s">
        <v>434</v>
      </c>
      <c r="EB61" s="293">
        <f>DS86</f>
        <v>1190000</v>
      </c>
      <c r="EC61" s="212" t="s">
        <v>392</v>
      </c>
      <c r="EE61" s="160" t="s">
        <v>568</v>
      </c>
      <c r="EF61" s="311" t="s">
        <v>413</v>
      </c>
      <c r="EG61" s="306" t="s">
        <v>434</v>
      </c>
      <c r="EH61" s="310">
        <f>AP30</f>
        <v>1730559.7907120739</v>
      </c>
      <c r="EI61" s="160" t="s">
        <v>392</v>
      </c>
    </row>
    <row r="62" spans="1:139" thickTop="1" thickBot="1" x14ac:dyDescent="0.35">
      <c r="A62" s="330" t="s">
        <v>614</v>
      </c>
      <c r="B62" s="330">
        <f>0.15</f>
        <v>0.15</v>
      </c>
      <c r="C62" s="330">
        <f>B62</f>
        <v>0.15</v>
      </c>
      <c r="D62" s="330">
        <f>C62</f>
        <v>0.15</v>
      </c>
      <c r="E62" s="329"/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J62" s="204"/>
      <c r="DQ62" s="290" t="s">
        <v>506</v>
      </c>
      <c r="DR62" s="290" t="s">
        <v>497</v>
      </c>
      <c r="DS62" s="290" t="s">
        <v>558</v>
      </c>
      <c r="DY62" s="212" t="s">
        <v>568</v>
      </c>
      <c r="DZ62" s="297" t="s">
        <v>414</v>
      </c>
      <c r="EA62" s="292" t="s">
        <v>434</v>
      </c>
      <c r="EB62" s="293">
        <f t="shared" ref="EB62:EB63" si="26">DS87</f>
        <v>6550000</v>
      </c>
      <c r="EC62" s="212" t="s">
        <v>392</v>
      </c>
      <c r="EE62" s="160" t="s">
        <v>568</v>
      </c>
      <c r="EF62" s="311" t="s">
        <v>414</v>
      </c>
      <c r="EG62" s="306" t="s">
        <v>434</v>
      </c>
      <c r="EH62" s="310">
        <f>AP31</f>
        <v>8711169.3900000006</v>
      </c>
      <c r="EI62" s="160" t="s">
        <v>392</v>
      </c>
    </row>
    <row r="63" spans="1:139" thickTop="1" thickBot="1" x14ac:dyDescent="0.35">
      <c r="A63" s="330" t="s">
        <v>615</v>
      </c>
      <c r="B63" s="330">
        <v>1</v>
      </c>
      <c r="C63" s="330">
        <v>1</v>
      </c>
      <c r="D63" s="330">
        <v>1</v>
      </c>
      <c r="E63" s="329"/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290" t="s">
        <v>506</v>
      </c>
      <c r="DR63" s="290" t="s">
        <v>499</v>
      </c>
      <c r="DY63" s="212" t="s">
        <v>568</v>
      </c>
      <c r="DZ63" s="297" t="s">
        <v>415</v>
      </c>
      <c r="EA63" s="292" t="s">
        <v>434</v>
      </c>
      <c r="EB63" s="293">
        <f t="shared" si="26"/>
        <v>10100000</v>
      </c>
      <c r="EC63" s="212" t="s">
        <v>392</v>
      </c>
      <c r="EE63" s="160" t="s">
        <v>568</v>
      </c>
      <c r="EF63" s="311" t="s">
        <v>415</v>
      </c>
      <c r="EG63" s="306" t="s">
        <v>434</v>
      </c>
      <c r="EH63" s="310">
        <f>AP32</f>
        <v>5574674.700000002</v>
      </c>
      <c r="EI63" s="160" t="s">
        <v>392</v>
      </c>
    </row>
    <row r="64" spans="1:139" thickTop="1" thickBot="1" x14ac:dyDescent="0.35">
      <c r="A64" s="330" t="s">
        <v>616</v>
      </c>
      <c r="B64" s="332" t="s">
        <v>435</v>
      </c>
      <c r="C64" s="332">
        <f>'Verwarming Tabula 2zone RefULG2'!B42+'Verwarming Tabula 2zone RefULG2'!B60</f>
        <v>222.93860757223501</v>
      </c>
      <c r="D64" s="332">
        <f>'Verwarming Tabula 2zone RefULG2'!B121+'Verwarming Tabula 2zone RefULG2'!B139</f>
        <v>119.50072061784584</v>
      </c>
      <c r="E64" s="329"/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EA64" s="292"/>
      <c r="EE64" s="160"/>
      <c r="EF64" s="160"/>
      <c r="EG64" s="306"/>
      <c r="EH64" s="160"/>
      <c r="EI64" s="160"/>
    </row>
    <row r="65" spans="1:139" thickTop="1" thickBot="1" x14ac:dyDescent="0.35">
      <c r="A65" s="330" t="s">
        <v>617</v>
      </c>
      <c r="B65" s="331" t="e">
        <f>B64/B60</f>
        <v>#VALUE!</v>
      </c>
      <c r="C65" s="331">
        <f t="shared" ref="C65:D65" si="27">C64/C60</f>
        <v>1.3028140446498294E-6</v>
      </c>
      <c r="D65" s="331">
        <f t="shared" si="27"/>
        <v>2.3293721416636598E-6</v>
      </c>
      <c r="E65" s="329"/>
      <c r="DQ65" s="290" t="s">
        <v>506</v>
      </c>
      <c r="DR65" s="290" t="s">
        <v>465</v>
      </c>
      <c r="DS65" s="291">
        <v>290</v>
      </c>
      <c r="DT65" s="291">
        <v>0.22</v>
      </c>
      <c r="DU65" s="290">
        <v>1317.99</v>
      </c>
      <c r="DV65" s="290" t="s">
        <v>509</v>
      </c>
      <c r="DW65" s="291">
        <v>2E-16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0.19600000000000001</v>
      </c>
      <c r="EC65" s="212" t="s">
        <v>392</v>
      </c>
      <c r="EE65" s="160" t="s">
        <v>568</v>
      </c>
      <c r="EF65" s="311" t="s">
        <v>416</v>
      </c>
      <c r="EG65" s="306" t="s">
        <v>434</v>
      </c>
      <c r="EH65" s="160">
        <f>AP33</f>
        <v>0.10003675487397296</v>
      </c>
      <c r="EI65" s="160" t="s">
        <v>392</v>
      </c>
    </row>
    <row r="66" spans="1:139" thickTop="1" thickBot="1" x14ac:dyDescent="0.35">
      <c r="A66" s="330" t="s">
        <v>618</v>
      </c>
      <c r="B66" s="330">
        <v>2</v>
      </c>
      <c r="C66" s="330">
        <v>2</v>
      </c>
      <c r="D66" s="330">
        <v>2</v>
      </c>
      <c r="E66" s="329"/>
      <c r="DQ66" s="290" t="s">
        <v>506</v>
      </c>
      <c r="DR66" s="290" t="s">
        <v>466</v>
      </c>
      <c r="DS66" s="291">
        <v>285</v>
      </c>
      <c r="DT66" s="291">
        <v>0.32900000000000001</v>
      </c>
      <c r="DU66" s="290">
        <v>866.96</v>
      </c>
      <c r="DV66" s="290" t="s">
        <v>509</v>
      </c>
      <c r="DW66" s="291">
        <v>2E-16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28">DS94</f>
        <v>4.8800000000000003E-2</v>
      </c>
      <c r="EC66" s="212" t="s">
        <v>392</v>
      </c>
      <c r="EE66" s="160" t="s">
        <v>568</v>
      </c>
      <c r="EF66" s="311" t="s">
        <v>417</v>
      </c>
      <c r="EG66" s="306" t="s">
        <v>434</v>
      </c>
      <c r="EH66" s="160">
        <f>AP34</f>
        <v>2.976275321671017E-2</v>
      </c>
      <c r="EI66" s="160" t="s">
        <v>392</v>
      </c>
    </row>
    <row r="67" spans="1:139" thickTop="1" thickBot="1" x14ac:dyDescent="0.35">
      <c r="A67" s="330"/>
      <c r="B67" s="330"/>
      <c r="C67" s="330"/>
      <c r="D67" s="330"/>
      <c r="E67" s="329"/>
      <c r="DQ67" s="290" t="s">
        <v>506</v>
      </c>
      <c r="DR67" s="290" t="s">
        <v>467</v>
      </c>
      <c r="DS67" s="291">
        <v>291</v>
      </c>
      <c r="DT67" s="291">
        <v>0.11799999999999999</v>
      </c>
      <c r="DU67" s="290">
        <v>2468.87</v>
      </c>
      <c r="DV67" s="290" t="s">
        <v>509</v>
      </c>
      <c r="DW67" s="291">
        <v>2E-16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28"/>
        <v>0.61299999999999999</v>
      </c>
      <c r="EC67" s="212" t="s">
        <v>392</v>
      </c>
      <c r="EE67" s="160" t="s">
        <v>568</v>
      </c>
      <c r="EF67" s="311" t="s">
        <v>418</v>
      </c>
      <c r="EG67" s="306" t="s">
        <v>434</v>
      </c>
      <c r="EH67" s="160">
        <f>$AP35</f>
        <v>0.80717708076718886</v>
      </c>
      <c r="EI67" s="160" t="s">
        <v>392</v>
      </c>
    </row>
    <row r="68" spans="1:139" thickTop="1" thickBot="1" x14ac:dyDescent="0.35">
      <c r="A68" s="329"/>
      <c r="B68" s="329"/>
      <c r="C68" s="329"/>
      <c r="D68" s="329"/>
      <c r="E68" s="329"/>
      <c r="DQ68" s="290" t="s">
        <v>506</v>
      </c>
      <c r="DR68" s="290" t="s">
        <v>468</v>
      </c>
      <c r="DS68" s="291">
        <v>293</v>
      </c>
      <c r="DT68" s="291">
        <v>0.17</v>
      </c>
      <c r="DU68" s="290">
        <v>1728.99</v>
      </c>
      <c r="DV68" s="290" t="s">
        <v>509</v>
      </c>
      <c r="DW68" s="291">
        <v>2E-16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28"/>
        <v>9.3799999999999994E-2</v>
      </c>
      <c r="EC68" s="212" t="s">
        <v>392</v>
      </c>
      <c r="EE68" s="160" t="s">
        <v>568</v>
      </c>
      <c r="EF68" s="311" t="s">
        <v>519</v>
      </c>
      <c r="EG68" s="306" t="s">
        <v>434</v>
      </c>
      <c r="EH68" s="160">
        <f>$AP47</f>
        <v>6.3023411142128047E-2</v>
      </c>
      <c r="EI68" s="160" t="s">
        <v>392</v>
      </c>
    </row>
    <row r="69" spans="1:139" thickTop="1" thickBot="1" x14ac:dyDescent="0.35">
      <c r="A69" s="329"/>
      <c r="B69" s="329"/>
      <c r="C69" s="329"/>
      <c r="D69" s="329"/>
      <c r="E69" s="329"/>
      <c r="DQ69" s="290" t="s">
        <v>506</v>
      </c>
      <c r="DR69" s="290" t="s">
        <v>541</v>
      </c>
      <c r="DS69" s="291">
        <v>0.33600000000000002</v>
      </c>
      <c r="DT69" s="291">
        <v>5.7599999999999998E-2</v>
      </c>
      <c r="DU69" s="290">
        <v>5.83</v>
      </c>
      <c r="DV69" s="291">
        <v>5.7999999999999998E-9</v>
      </c>
      <c r="DW69" s="290" t="s">
        <v>510</v>
      </c>
      <c r="EA69" s="292"/>
      <c r="EE69" s="160"/>
      <c r="EF69" s="160"/>
      <c r="EG69" s="306"/>
      <c r="EH69" s="160"/>
      <c r="EI69" s="160"/>
    </row>
    <row r="70" spans="1:139" thickTop="1" thickBot="1" x14ac:dyDescent="0.35">
      <c r="DQ70" s="290" t="s">
        <v>506</v>
      </c>
      <c r="DR70" s="290" t="s">
        <v>410</v>
      </c>
      <c r="DS70" s="291">
        <v>1.17E-14</v>
      </c>
      <c r="DT70" s="291">
        <v>6.34E-12</v>
      </c>
      <c r="DU70" s="290">
        <v>0</v>
      </c>
      <c r="DV70" s="290">
        <v>1</v>
      </c>
      <c r="DY70" s="212" t="s">
        <v>568</v>
      </c>
      <c r="DZ70" s="297" t="s">
        <v>606</v>
      </c>
      <c r="EA70" s="292" t="s">
        <v>434</v>
      </c>
      <c r="EB70" s="293">
        <f>DS97</f>
        <v>199</v>
      </c>
      <c r="EC70" s="212" t="s">
        <v>392</v>
      </c>
      <c r="EE70" s="160" t="s">
        <v>568</v>
      </c>
      <c r="EF70" s="311" t="s">
        <v>419</v>
      </c>
      <c r="EG70" s="306" t="s">
        <v>434</v>
      </c>
      <c r="EH70" s="160">
        <f>$AP37</f>
        <v>171.57359707851492</v>
      </c>
      <c r="EI70" s="160" t="s">
        <v>392</v>
      </c>
    </row>
    <row r="71" spans="1:139" thickTop="1" thickBot="1" x14ac:dyDescent="0.35">
      <c r="DQ71" s="290" t="s">
        <v>506</v>
      </c>
      <c r="DR71" s="290" t="s">
        <v>542</v>
      </c>
      <c r="DS71" s="291">
        <v>0.79200000000000004</v>
      </c>
      <c r="DT71" s="291">
        <v>3.32E-2</v>
      </c>
      <c r="DU71" s="290">
        <v>23.82</v>
      </c>
      <c r="DV71" s="290" t="s">
        <v>509</v>
      </c>
      <c r="DW71" s="291">
        <v>2E-16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29">DS98</f>
        <v>86.6</v>
      </c>
      <c r="EC71" s="212" t="s">
        <v>392</v>
      </c>
      <c r="EE71" s="160" t="s">
        <v>568</v>
      </c>
      <c r="EF71" s="311" t="s">
        <v>420</v>
      </c>
      <c r="EG71" s="306" t="s">
        <v>434</v>
      </c>
      <c r="EH71" s="160">
        <f>$AP38</f>
        <v>98.069903536977506</v>
      </c>
      <c r="EI71" s="160" t="s">
        <v>392</v>
      </c>
    </row>
    <row r="72" spans="1:139" thickTop="1" thickBot="1" x14ac:dyDescent="0.35">
      <c r="DQ72" s="290" t="s">
        <v>506</v>
      </c>
      <c r="DR72" s="290" t="s">
        <v>543</v>
      </c>
      <c r="DS72" s="291">
        <v>0.66100000000000003</v>
      </c>
      <c r="DT72" s="291">
        <v>5.67E-2</v>
      </c>
      <c r="DU72" s="290">
        <v>11.64</v>
      </c>
      <c r="DV72" s="290" t="s">
        <v>509</v>
      </c>
      <c r="DW72" s="291">
        <v>2E-16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29"/>
        <v>66.8</v>
      </c>
      <c r="EC72" s="212" t="s">
        <v>392</v>
      </c>
      <c r="EE72" s="160" t="s">
        <v>568</v>
      </c>
      <c r="EF72" s="311" t="s">
        <v>421</v>
      </c>
      <c r="EG72" s="306" t="s">
        <v>434</v>
      </c>
      <c r="EH72" s="161">
        <f>$AP39</f>
        <v>53.588194736842112</v>
      </c>
      <c r="EI72" s="160" t="s">
        <v>392</v>
      </c>
    </row>
    <row r="73" spans="1:139" thickTop="1" thickBot="1" x14ac:dyDescent="0.35">
      <c r="DQ73" s="290" t="s">
        <v>506</v>
      </c>
      <c r="DR73" s="290" t="s">
        <v>544</v>
      </c>
      <c r="DS73" s="291">
        <v>0.25700000000000001</v>
      </c>
      <c r="DT73" s="291">
        <v>1.1299999999999999E-2</v>
      </c>
      <c r="DU73" s="290">
        <v>22.71</v>
      </c>
      <c r="DV73" s="290" t="s">
        <v>509</v>
      </c>
      <c r="DW73" s="291">
        <v>2E-16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273.97260273972603</v>
      </c>
      <c r="EC73" s="212" t="s">
        <v>392</v>
      </c>
      <c r="EE73" s="160" t="s">
        <v>568</v>
      </c>
      <c r="EF73" s="311" t="s">
        <v>422</v>
      </c>
      <c r="EG73" s="306" t="s">
        <v>434</v>
      </c>
      <c r="EH73" s="160">
        <f>$AP40</f>
        <v>96.298771614419195</v>
      </c>
      <c r="EI73" s="160" t="s">
        <v>392</v>
      </c>
    </row>
    <row r="74" spans="1:139" thickTop="1" thickBot="1" x14ac:dyDescent="0.35">
      <c r="DQ74" s="290" t="s">
        <v>506</v>
      </c>
      <c r="DR74" s="290" t="s">
        <v>411</v>
      </c>
      <c r="DS74" s="291">
        <v>0.27100000000000002</v>
      </c>
      <c r="DT74" s="291">
        <v>3.7699999999999997E-2</v>
      </c>
      <c r="DU74" s="290">
        <v>7.18</v>
      </c>
      <c r="DV74" s="291">
        <v>7.6999999999999995E-13</v>
      </c>
      <c r="DW74" s="290" t="s">
        <v>510</v>
      </c>
      <c r="EA74" s="292"/>
      <c r="EE74" s="160"/>
      <c r="EF74" s="160"/>
      <c r="EG74" s="306"/>
      <c r="EH74" s="160"/>
      <c r="EI74" s="160"/>
    </row>
    <row r="75" spans="1:139" thickTop="1" thickBot="1" x14ac:dyDescent="0.35">
      <c r="DQ75" s="290" t="s">
        <v>506</v>
      </c>
      <c r="DR75" s="290" t="s">
        <v>545</v>
      </c>
      <c r="DS75" s="291">
        <v>0.22900000000000001</v>
      </c>
      <c r="DT75" s="291">
        <v>6.6100000000000004E-3</v>
      </c>
      <c r="DU75" s="290">
        <v>34.57</v>
      </c>
      <c r="DV75" s="290" t="s">
        <v>509</v>
      </c>
      <c r="DW75" s="291">
        <v>2E-16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120000000</v>
      </c>
      <c r="EC75" s="212" t="s">
        <v>392</v>
      </c>
      <c r="EE75" s="160" t="s">
        <v>568</v>
      </c>
      <c r="EF75" s="311" t="s">
        <v>515</v>
      </c>
      <c r="EG75" s="306" t="s">
        <v>434</v>
      </c>
      <c r="EH75" s="160">
        <f>$AP44</f>
        <v>27839291.999999993</v>
      </c>
      <c r="EI75" s="160" t="s">
        <v>392</v>
      </c>
    </row>
    <row r="76" spans="1:139" thickTop="1" thickBot="1" x14ac:dyDescent="0.35">
      <c r="DQ76" s="290" t="s">
        <v>506</v>
      </c>
      <c r="DR76" s="290" t="s">
        <v>546</v>
      </c>
      <c r="DS76" s="291">
        <v>0.13400000000000001</v>
      </c>
      <c r="DT76" s="291">
        <v>1.1299999999999999E-2</v>
      </c>
      <c r="DU76" s="290">
        <v>11.84</v>
      </c>
      <c r="DV76" s="290" t="s">
        <v>509</v>
      </c>
      <c r="DW76" s="291">
        <v>2E-16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630000</v>
      </c>
      <c r="EC76" s="212" t="s">
        <v>392</v>
      </c>
      <c r="EE76" s="160" t="s">
        <v>568</v>
      </c>
      <c r="EF76" s="311" t="s">
        <v>426</v>
      </c>
      <c r="EG76" s="306" t="s">
        <v>434</v>
      </c>
      <c r="EH76" s="160">
        <f>$AP45</f>
        <v>27839291.999999993</v>
      </c>
      <c r="EI76" s="160" t="s">
        <v>392</v>
      </c>
    </row>
    <row r="77" spans="1:139" thickTop="1" thickBot="1" x14ac:dyDescent="0.35">
      <c r="DQ77" s="290" t="s">
        <v>506</v>
      </c>
      <c r="DR77" s="290" t="s">
        <v>547</v>
      </c>
      <c r="DS77" s="291">
        <v>0.111</v>
      </c>
      <c r="DT77" s="291">
        <v>0.11700000000000001</v>
      </c>
      <c r="DU77" s="290">
        <v>0.94</v>
      </c>
      <c r="DV77" s="290">
        <v>0.35</v>
      </c>
      <c r="DY77" s="212" t="s">
        <v>568</v>
      </c>
      <c r="DZ77" s="297" t="s">
        <v>429</v>
      </c>
      <c r="EA77" s="292" t="s">
        <v>434</v>
      </c>
      <c r="EB77" s="293">
        <f>DS123</f>
        <v>138</v>
      </c>
      <c r="EC77" s="212" t="s">
        <v>392</v>
      </c>
      <c r="EE77" s="160" t="s">
        <v>568</v>
      </c>
      <c r="EF77" s="311" t="s">
        <v>429</v>
      </c>
      <c r="EG77" s="306" t="s">
        <v>434</v>
      </c>
      <c r="EH77" s="160">
        <f>$AP48</f>
        <v>501.48419301164711</v>
      </c>
      <c r="EI77" s="160" t="s">
        <v>392</v>
      </c>
    </row>
    <row r="78" spans="1:139" thickTop="1" thickBot="1" x14ac:dyDescent="0.35">
      <c r="DQ78" s="290" t="s">
        <v>506</v>
      </c>
      <c r="DR78" s="290" t="s">
        <v>412</v>
      </c>
      <c r="DS78" s="291">
        <v>2.6099999999999999E-11</v>
      </c>
      <c r="DT78" s="291">
        <v>1.31E-8</v>
      </c>
      <c r="DU78" s="290">
        <v>0</v>
      </c>
      <c r="DV78" s="290">
        <v>1</v>
      </c>
      <c r="DY78" s="212" t="s">
        <v>568</v>
      </c>
      <c r="DZ78" s="297" t="s">
        <v>430</v>
      </c>
      <c r="EA78" s="292" t="s">
        <v>434</v>
      </c>
      <c r="EB78" s="293">
        <f t="shared" ref="EB78:EB79" si="30">DS124</f>
        <v>7610</v>
      </c>
      <c r="EC78" s="212" t="s">
        <v>392</v>
      </c>
      <c r="EE78" s="160" t="s">
        <v>568</v>
      </c>
      <c r="EF78" s="311" t="s">
        <v>430</v>
      </c>
      <c r="EG78" s="306" t="s">
        <v>434</v>
      </c>
      <c r="EH78" s="160">
        <f>$AP49</f>
        <v>250.74209650582355</v>
      </c>
      <c r="EI78" s="160" t="s">
        <v>392</v>
      </c>
    </row>
    <row r="79" spans="1:139" thickTop="1" thickBot="1" x14ac:dyDescent="0.35">
      <c r="DQ79" s="290" t="s">
        <v>506</v>
      </c>
      <c r="DR79" s="290" t="s">
        <v>548</v>
      </c>
      <c r="DS79" s="291">
        <v>3.2300000000000002E-10</v>
      </c>
      <c r="DT79" s="291">
        <v>1.36E-7</v>
      </c>
      <c r="DU79" s="290">
        <v>0</v>
      </c>
      <c r="DV79" s="290">
        <v>1</v>
      </c>
      <c r="DY79" s="212" t="s">
        <v>568</v>
      </c>
      <c r="DZ79" s="297" t="s">
        <v>431</v>
      </c>
      <c r="EA79" s="292" t="s">
        <v>434</v>
      </c>
      <c r="EB79" s="293">
        <f t="shared" si="30"/>
        <v>371</v>
      </c>
      <c r="EC79" s="212" t="s">
        <v>392</v>
      </c>
      <c r="EE79" s="160" t="s">
        <v>568</v>
      </c>
      <c r="EF79" s="311" t="s">
        <v>431</v>
      </c>
      <c r="EG79" s="306" t="s">
        <v>434</v>
      </c>
      <c r="EH79" s="160">
        <f>$AP50</f>
        <v>501.48419301164711</v>
      </c>
      <c r="EI79" s="160" t="s">
        <v>392</v>
      </c>
    </row>
    <row r="80" spans="1:139" thickTop="1" thickBot="1" x14ac:dyDescent="0.35">
      <c r="DQ80" s="290" t="s">
        <v>506</v>
      </c>
      <c r="DR80" s="290" t="s">
        <v>549</v>
      </c>
      <c r="DS80" s="291">
        <v>3.5200000000000002E-2</v>
      </c>
      <c r="DT80" s="291">
        <v>0.123</v>
      </c>
      <c r="DU80" s="290">
        <v>0.28999999999999998</v>
      </c>
      <c r="DV80" s="290">
        <v>0.78</v>
      </c>
    </row>
    <row r="81" spans="121:128" thickTop="1" thickBot="1" x14ac:dyDescent="0.35">
      <c r="DQ81" s="290" t="s">
        <v>506</v>
      </c>
      <c r="DR81" s="290" t="s">
        <v>550</v>
      </c>
      <c r="DS81" s="291">
        <v>0.627</v>
      </c>
      <c r="DT81" s="291">
        <v>3.4200000000000001E-2</v>
      </c>
      <c r="DU81" s="290">
        <v>18.37</v>
      </c>
      <c r="DV81" s="290" t="s">
        <v>509</v>
      </c>
      <c r="DW81" s="291">
        <v>2E-16</v>
      </c>
      <c r="DX81" s="81" t="s">
        <v>510</v>
      </c>
    </row>
    <row r="82" spans="121:128" thickTop="1" thickBot="1" x14ac:dyDescent="0.35">
      <c r="DQ82" s="290" t="s">
        <v>506</v>
      </c>
      <c r="DR82" s="290" t="s">
        <v>551</v>
      </c>
      <c r="DS82" s="291">
        <v>1.17</v>
      </c>
      <c r="DT82" s="291">
        <v>0.113</v>
      </c>
      <c r="DU82" s="290">
        <v>10.35</v>
      </c>
      <c r="DV82" s="290" t="s">
        <v>509</v>
      </c>
      <c r="DW82" s="291">
        <v>2E-16</v>
      </c>
      <c r="DX82" s="81" t="s">
        <v>510</v>
      </c>
    </row>
    <row r="83" spans="121:128" thickTop="1" thickBot="1" x14ac:dyDescent="0.35">
      <c r="DQ83" s="290" t="s">
        <v>506</v>
      </c>
      <c r="DR83" s="290" t="s">
        <v>552</v>
      </c>
      <c r="DS83" s="291">
        <v>0.49199999999999999</v>
      </c>
      <c r="DT83" s="291">
        <v>1.9599999999999999E-2</v>
      </c>
      <c r="DU83" s="290">
        <v>25.16</v>
      </c>
      <c r="DV83" s="290" t="s">
        <v>509</v>
      </c>
      <c r="DW83" s="291">
        <v>2E-16</v>
      </c>
      <c r="DX83" s="81" t="s">
        <v>510</v>
      </c>
    </row>
    <row r="84" spans="121:128" thickTop="1" thickBot="1" x14ac:dyDescent="0.35">
      <c r="DQ84" s="290" t="s">
        <v>506</v>
      </c>
      <c r="DR84" s="290" t="s">
        <v>553</v>
      </c>
      <c r="DS84" s="291">
        <v>0.26500000000000001</v>
      </c>
      <c r="DT84" s="291">
        <v>3.3099999999999997E-2</v>
      </c>
      <c r="DU84" s="290">
        <v>8.01</v>
      </c>
      <c r="DV84" s="291">
        <v>1.6E-15</v>
      </c>
      <c r="DW84" s="290" t="s">
        <v>510</v>
      </c>
    </row>
    <row r="85" spans="121:128" thickTop="1" thickBot="1" x14ac:dyDescent="0.35">
      <c r="DQ85" s="290" t="s">
        <v>506</v>
      </c>
      <c r="DR85" s="290" t="s">
        <v>298</v>
      </c>
      <c r="DS85" s="291">
        <v>992000000</v>
      </c>
      <c r="DT85" s="291">
        <v>45100000</v>
      </c>
      <c r="DU85" s="290">
        <v>22.02</v>
      </c>
      <c r="DV85" s="290" t="s">
        <v>509</v>
      </c>
      <c r="DW85" s="291">
        <v>2E-16</v>
      </c>
      <c r="DX85" s="81" t="s">
        <v>510</v>
      </c>
    </row>
    <row r="86" spans="121:128" thickTop="1" thickBot="1" x14ac:dyDescent="0.35">
      <c r="DQ86" s="290" t="s">
        <v>506</v>
      </c>
      <c r="DR86" s="290" t="s">
        <v>475</v>
      </c>
      <c r="DS86" s="291">
        <v>1190000</v>
      </c>
      <c r="DT86" s="291">
        <v>32000</v>
      </c>
      <c r="DU86" s="290">
        <v>37.159999999999997</v>
      </c>
      <c r="DV86" s="290" t="s">
        <v>509</v>
      </c>
      <c r="DW86" s="291">
        <v>2E-16</v>
      </c>
      <c r="DX86" s="81" t="s">
        <v>510</v>
      </c>
    </row>
    <row r="87" spans="121:128" thickTop="1" thickBot="1" x14ac:dyDescent="0.35">
      <c r="DQ87" s="290" t="s">
        <v>506</v>
      </c>
      <c r="DR87" s="290" t="s">
        <v>291</v>
      </c>
      <c r="DS87" s="291">
        <v>6550000</v>
      </c>
      <c r="DT87" s="291">
        <v>603000</v>
      </c>
      <c r="DU87" s="290">
        <v>10.85</v>
      </c>
      <c r="DV87" s="290" t="s">
        <v>509</v>
      </c>
      <c r="DW87" s="291">
        <v>2E-16</v>
      </c>
      <c r="DX87" s="81" t="s">
        <v>510</v>
      </c>
    </row>
    <row r="88" spans="121:128" thickTop="1" thickBot="1" x14ac:dyDescent="0.35">
      <c r="DQ88" s="290" t="s">
        <v>506</v>
      </c>
      <c r="DR88" s="290" t="s">
        <v>293</v>
      </c>
      <c r="DS88" s="291">
        <v>10100000</v>
      </c>
      <c r="DT88" s="291">
        <v>1450000</v>
      </c>
      <c r="DU88" s="290">
        <v>6.98</v>
      </c>
      <c r="DV88" s="291">
        <v>3.3000000000000001E-12</v>
      </c>
      <c r="DW88" s="290" t="s">
        <v>510</v>
      </c>
    </row>
    <row r="89" spans="121:128" thickTop="1" thickBot="1" x14ac:dyDescent="0.35">
      <c r="DQ89" s="290" t="s">
        <v>506</v>
      </c>
      <c r="DR89" s="290" t="s">
        <v>476</v>
      </c>
      <c r="DS89" s="291">
        <v>-5.48</v>
      </c>
      <c r="DT89" s="291">
        <v>0.106</v>
      </c>
      <c r="DU89" s="290">
        <v>-51.84</v>
      </c>
      <c r="DV89" s="290" t="s">
        <v>509</v>
      </c>
      <c r="DW89" s="291">
        <v>2E-16</v>
      </c>
      <c r="DX89" s="81" t="s">
        <v>510</v>
      </c>
    </row>
    <row r="90" spans="121:128" thickTop="1" thickBot="1" x14ac:dyDescent="0.35">
      <c r="DQ90" s="290" t="s">
        <v>506</v>
      </c>
      <c r="DR90" s="290" t="s">
        <v>477</v>
      </c>
      <c r="DS90" s="291">
        <v>-11.9</v>
      </c>
      <c r="DT90" s="291">
        <v>377</v>
      </c>
      <c r="DU90" s="290">
        <v>-0.03</v>
      </c>
      <c r="DV90" s="290">
        <v>0.97</v>
      </c>
    </row>
    <row r="91" spans="121:128" thickTop="1" thickBot="1" x14ac:dyDescent="0.35">
      <c r="DQ91" s="290" t="s">
        <v>506</v>
      </c>
      <c r="DR91" s="290" t="s">
        <v>478</v>
      </c>
      <c r="DS91" s="291">
        <v>-14.6</v>
      </c>
      <c r="DT91" s="291">
        <v>98.8</v>
      </c>
      <c r="DU91" s="290">
        <v>-0.15</v>
      </c>
      <c r="DV91" s="290">
        <v>0.88</v>
      </c>
    </row>
    <row r="92" spans="121:128" thickTop="1" thickBot="1" x14ac:dyDescent="0.35">
      <c r="DQ92" s="290" t="s">
        <v>506</v>
      </c>
      <c r="DR92" s="290" t="s">
        <v>479</v>
      </c>
      <c r="DS92" s="291">
        <v>-12.9</v>
      </c>
      <c r="DT92" s="291">
        <v>425</v>
      </c>
      <c r="DU92" s="290">
        <v>-0.03</v>
      </c>
      <c r="DV92" s="290">
        <v>0.98</v>
      </c>
    </row>
    <row r="93" spans="121:128" thickTop="1" thickBot="1" x14ac:dyDescent="0.35">
      <c r="DQ93" s="290" t="s">
        <v>506</v>
      </c>
      <c r="DR93" s="290" t="s">
        <v>481</v>
      </c>
      <c r="DS93" s="291">
        <v>0.19600000000000001</v>
      </c>
      <c r="DT93" s="291">
        <v>1.7600000000000001E-3</v>
      </c>
      <c r="DU93" s="290">
        <v>111.06</v>
      </c>
      <c r="DV93" s="290" t="s">
        <v>509</v>
      </c>
      <c r="DW93" s="291">
        <v>2E-16</v>
      </c>
      <c r="DX93" s="81" t="s">
        <v>510</v>
      </c>
    </row>
    <row r="94" spans="121:128" thickTop="1" thickBot="1" x14ac:dyDescent="0.35">
      <c r="DQ94" s="290" t="s">
        <v>506</v>
      </c>
      <c r="DR94" s="290" t="s">
        <v>482</v>
      </c>
      <c r="DS94" s="291">
        <v>4.8800000000000003E-2</v>
      </c>
      <c r="DT94" s="291">
        <v>3.5799999999999997E-4</v>
      </c>
      <c r="DU94" s="290">
        <v>136.54</v>
      </c>
      <c r="DV94" s="290" t="s">
        <v>509</v>
      </c>
      <c r="DW94" s="291">
        <v>2E-16</v>
      </c>
      <c r="DX94" s="81" t="s">
        <v>510</v>
      </c>
    </row>
    <row r="95" spans="121:128" thickTop="1" thickBot="1" x14ac:dyDescent="0.35">
      <c r="DQ95" s="290" t="s">
        <v>506</v>
      </c>
      <c r="DR95" s="290" t="s">
        <v>483</v>
      </c>
      <c r="DS95" s="291">
        <v>0.61299999999999999</v>
      </c>
      <c r="DT95" s="291">
        <v>1.0500000000000001E-2</v>
      </c>
      <c r="DU95" s="290">
        <v>58.19</v>
      </c>
      <c r="DV95" s="290" t="s">
        <v>509</v>
      </c>
      <c r="DW95" s="291">
        <v>2E-16</v>
      </c>
      <c r="DX95" s="81" t="s">
        <v>510</v>
      </c>
    </row>
    <row r="96" spans="121:128" thickTop="1" thickBot="1" x14ac:dyDescent="0.35">
      <c r="DQ96" s="290" t="s">
        <v>506</v>
      </c>
      <c r="DR96" s="290" t="s">
        <v>484</v>
      </c>
      <c r="DS96" s="291">
        <v>9.3799999999999994E-2</v>
      </c>
      <c r="DT96" s="291">
        <v>9.7599999999999998E-4</v>
      </c>
      <c r="DU96" s="290">
        <v>96.13</v>
      </c>
      <c r="DV96" s="290" t="s">
        <v>509</v>
      </c>
      <c r="DW96" s="291">
        <v>2E-16</v>
      </c>
      <c r="DX96" s="81" t="s">
        <v>510</v>
      </c>
    </row>
    <row r="97" spans="121:128" thickTop="1" thickBot="1" x14ac:dyDescent="0.35">
      <c r="DQ97" s="290" t="s">
        <v>506</v>
      </c>
      <c r="DR97" s="290" t="s">
        <v>486</v>
      </c>
      <c r="DS97" s="291">
        <v>199</v>
      </c>
      <c r="DT97" s="291">
        <v>5.37</v>
      </c>
      <c r="DU97" s="290">
        <v>37.119999999999997</v>
      </c>
      <c r="DV97" s="290" t="s">
        <v>509</v>
      </c>
      <c r="DW97" s="291">
        <v>2E-16</v>
      </c>
      <c r="DX97" s="81" t="s">
        <v>510</v>
      </c>
    </row>
    <row r="98" spans="121:128" thickTop="1" thickBot="1" x14ac:dyDescent="0.35">
      <c r="DQ98" s="290" t="s">
        <v>506</v>
      </c>
      <c r="DR98" s="290" t="s">
        <v>285</v>
      </c>
      <c r="DS98" s="291">
        <v>86.6</v>
      </c>
      <c r="DT98" s="291">
        <v>0.94699999999999995</v>
      </c>
      <c r="DU98" s="290">
        <v>91.45</v>
      </c>
      <c r="DV98" s="290" t="s">
        <v>509</v>
      </c>
      <c r="DW98" s="291">
        <v>2E-16</v>
      </c>
      <c r="DX98" s="81" t="s">
        <v>510</v>
      </c>
    </row>
    <row r="99" spans="121:128" thickTop="1" thickBot="1" x14ac:dyDescent="0.35">
      <c r="DQ99" s="290" t="s">
        <v>506</v>
      </c>
      <c r="DR99" s="290" t="s">
        <v>120</v>
      </c>
      <c r="DS99" s="291">
        <v>66.8</v>
      </c>
      <c r="DT99" s="291">
        <v>1.88</v>
      </c>
      <c r="DU99" s="290">
        <v>35.56</v>
      </c>
      <c r="DV99" s="290" t="s">
        <v>509</v>
      </c>
      <c r="DW99" s="291">
        <v>2E-16</v>
      </c>
      <c r="DX99" s="81" t="s">
        <v>510</v>
      </c>
    </row>
    <row r="100" spans="121:128" thickTop="1" thickBot="1" x14ac:dyDescent="0.35">
      <c r="DQ100" s="290" t="s">
        <v>506</v>
      </c>
      <c r="DR100" s="290" t="s">
        <v>488</v>
      </c>
      <c r="DS100" s="291">
        <v>-4.95</v>
      </c>
      <c r="DT100" s="291">
        <v>2.2599999999999999E-2</v>
      </c>
      <c r="DU100" s="290">
        <v>-219.17</v>
      </c>
      <c r="DV100" s="290" t="s">
        <v>509</v>
      </c>
      <c r="DW100" s="291">
        <v>2E-16</v>
      </c>
      <c r="DX100" s="81" t="s">
        <v>510</v>
      </c>
    </row>
    <row r="101" spans="121:128" thickTop="1" thickBot="1" x14ac:dyDescent="0.35">
      <c r="DQ101" s="290" t="s">
        <v>506</v>
      </c>
      <c r="DR101" s="290" t="s">
        <v>489</v>
      </c>
      <c r="DS101" s="291">
        <v>-4.87</v>
      </c>
      <c r="DT101" s="291">
        <v>2.8899999999999999E-2</v>
      </c>
      <c r="DU101" s="290">
        <v>-168.68</v>
      </c>
      <c r="DV101" s="290" t="s">
        <v>509</v>
      </c>
      <c r="DW101" s="291">
        <v>2E-16</v>
      </c>
      <c r="DX101" s="81" t="s">
        <v>510</v>
      </c>
    </row>
    <row r="102" spans="121:128" thickTop="1" thickBot="1" x14ac:dyDescent="0.35">
      <c r="DQ102" s="290" t="s">
        <v>506</v>
      </c>
      <c r="DR102" s="290" t="s">
        <v>490</v>
      </c>
      <c r="DS102" s="291">
        <v>-5.98</v>
      </c>
      <c r="DT102" s="291">
        <v>3.2099999999999997E-2</v>
      </c>
      <c r="DU102" s="290">
        <v>-185.94</v>
      </c>
      <c r="DV102" s="290" t="s">
        <v>509</v>
      </c>
      <c r="DW102" s="291">
        <v>2E-16</v>
      </c>
      <c r="DX102" s="81" t="s">
        <v>510</v>
      </c>
    </row>
    <row r="103" spans="121:128" thickTop="1" thickBot="1" x14ac:dyDescent="0.35">
      <c r="DQ103" s="290" t="s">
        <v>506</v>
      </c>
      <c r="DR103" s="290" t="s">
        <v>491</v>
      </c>
      <c r="DS103" s="291">
        <v>-5.59</v>
      </c>
      <c r="DT103" s="291">
        <v>3.0700000000000002E-2</v>
      </c>
      <c r="DU103" s="290">
        <v>-182.17</v>
      </c>
      <c r="DV103" s="290" t="s">
        <v>509</v>
      </c>
      <c r="DW103" s="291">
        <v>2E-16</v>
      </c>
      <c r="DX103" s="81" t="s">
        <v>510</v>
      </c>
    </row>
    <row r="104" spans="121:128" thickTop="1" thickBot="1" x14ac:dyDescent="0.35">
      <c r="DQ104" s="290" t="s">
        <v>506</v>
      </c>
      <c r="DR104" s="290" t="s">
        <v>493</v>
      </c>
      <c r="DS104" s="291">
        <v>3.65E-3</v>
      </c>
      <c r="DT104" s="291">
        <v>1.06E-4</v>
      </c>
      <c r="DU104" s="290">
        <v>34.35</v>
      </c>
      <c r="DV104" s="290" t="s">
        <v>509</v>
      </c>
      <c r="DW104" s="291">
        <v>2E-16</v>
      </c>
      <c r="DX104" s="81" t="s">
        <v>510</v>
      </c>
    </row>
    <row r="105" spans="121:128" thickTop="1" thickBot="1" x14ac:dyDescent="0.35">
      <c r="DQ105" s="290" t="s">
        <v>506</v>
      </c>
      <c r="DR105" s="290" t="s">
        <v>494</v>
      </c>
      <c r="DS105" s="291">
        <v>194</v>
      </c>
      <c r="DT105" s="291">
        <v>2.56</v>
      </c>
      <c r="DU105" s="290">
        <v>75.540000000000006</v>
      </c>
      <c r="DV105" s="290" t="s">
        <v>509</v>
      </c>
      <c r="DW105" s="291">
        <v>2E-16</v>
      </c>
      <c r="DX105" s="81" t="s">
        <v>510</v>
      </c>
    </row>
    <row r="106" spans="121:128" thickTop="1" thickBot="1" x14ac:dyDescent="0.35">
      <c r="DQ106" s="290" t="s">
        <v>506</v>
      </c>
      <c r="DR106" s="290" t="s">
        <v>495</v>
      </c>
      <c r="DS106" s="291">
        <v>308</v>
      </c>
      <c r="DT106" s="291">
        <v>664</v>
      </c>
      <c r="DU106" s="290">
        <v>0.46</v>
      </c>
      <c r="DV106" s="290">
        <v>0.64</v>
      </c>
    </row>
    <row r="107" spans="121:128" thickTop="1" thickBot="1" x14ac:dyDescent="0.35">
      <c r="DS107" s="291"/>
      <c r="DT107" s="291"/>
    </row>
    <row r="108" spans="121:128" thickTop="1" thickBot="1" x14ac:dyDescent="0.35">
      <c r="DQ108" s="290" t="s">
        <v>565</v>
      </c>
    </row>
    <row r="109" spans="121:128" thickTop="1" thickBot="1" x14ac:dyDescent="0.35">
      <c r="DQ109" s="290" t="s">
        <v>538</v>
      </c>
    </row>
    <row r="110" spans="121:128" thickTop="1" thickBot="1" x14ac:dyDescent="0.35">
      <c r="DQ110" s="290" t="s">
        <v>539</v>
      </c>
      <c r="DX110" s="81" t="s">
        <v>510</v>
      </c>
    </row>
    <row r="111" spans="121:128" thickTop="1" thickBot="1" x14ac:dyDescent="0.35">
      <c r="DQ111" s="290" t="s">
        <v>566</v>
      </c>
      <c r="DX111" s="81" t="s">
        <v>510</v>
      </c>
    </row>
    <row r="112" spans="121:128" thickTop="1" thickBot="1" x14ac:dyDescent="0.35">
      <c r="DQ112" s="290" t="s">
        <v>506</v>
      </c>
      <c r="DR112" s="290" t="s">
        <v>514</v>
      </c>
      <c r="DS112" s="291">
        <v>291</v>
      </c>
      <c r="DT112" s="291">
        <v>0.76600000000000001</v>
      </c>
      <c r="DU112" s="290">
        <v>379.48</v>
      </c>
      <c r="DV112" s="290" t="s">
        <v>509</v>
      </c>
      <c r="DW112" s="291">
        <v>2E-16</v>
      </c>
      <c r="DX112" s="81" t="s">
        <v>510</v>
      </c>
    </row>
    <row r="113" spans="121:134" thickTop="1" thickBot="1" x14ac:dyDescent="0.35">
      <c r="DQ113" s="290" t="s">
        <v>506</v>
      </c>
      <c r="DR113" s="290" t="s">
        <v>423</v>
      </c>
      <c r="DS113" s="291">
        <v>0.14299999999999999</v>
      </c>
      <c r="DT113" s="291">
        <v>7.2499999999999995E-4</v>
      </c>
      <c r="DU113" s="290">
        <v>197.29</v>
      </c>
      <c r="DV113" s="290" t="s">
        <v>509</v>
      </c>
      <c r="DW113" s="291">
        <v>2E-16</v>
      </c>
    </row>
    <row r="114" spans="121:134" thickTop="1" thickBot="1" x14ac:dyDescent="0.35">
      <c r="DQ114" s="290" t="s">
        <v>506</v>
      </c>
      <c r="DR114" s="290" t="s">
        <v>424</v>
      </c>
      <c r="DS114" s="291">
        <v>0.72299999999999998</v>
      </c>
      <c r="DT114" s="291">
        <v>2.46E-2</v>
      </c>
      <c r="DU114" s="290">
        <v>29.4</v>
      </c>
      <c r="DV114" s="290" t="s">
        <v>509</v>
      </c>
      <c r="DW114" s="291">
        <v>2E-16</v>
      </c>
      <c r="DX114" s="81" t="s">
        <v>510</v>
      </c>
    </row>
    <row r="115" spans="121:134" thickTop="1" thickBot="1" x14ac:dyDescent="0.35">
      <c r="DQ115" s="290" t="s">
        <v>506</v>
      </c>
      <c r="DR115" s="290" t="s">
        <v>515</v>
      </c>
      <c r="DS115" s="291">
        <v>120000000</v>
      </c>
      <c r="DT115" s="291">
        <v>15700000</v>
      </c>
      <c r="DU115" s="290">
        <v>7.65</v>
      </c>
      <c r="DV115" s="291">
        <v>2.8000000000000001E-14</v>
      </c>
      <c r="DW115" s="290" t="s">
        <v>510</v>
      </c>
    </row>
    <row r="116" spans="121:134" thickTop="1" thickBot="1" x14ac:dyDescent="0.35">
      <c r="DQ116" s="290" t="s">
        <v>506</v>
      </c>
      <c r="DR116" s="290" t="s">
        <v>426</v>
      </c>
      <c r="DS116" s="291">
        <v>630000</v>
      </c>
      <c r="DT116" s="291">
        <v>33500</v>
      </c>
      <c r="DU116" s="290">
        <v>18.79</v>
      </c>
      <c r="DV116" s="290" t="s">
        <v>509</v>
      </c>
      <c r="DW116" s="291">
        <v>2E-16</v>
      </c>
    </row>
    <row r="117" spans="121:134" thickTop="1" thickBot="1" x14ac:dyDescent="0.35">
      <c r="DQ117" s="290" t="s">
        <v>506</v>
      </c>
      <c r="DR117" s="290" t="s">
        <v>480</v>
      </c>
      <c r="DS117" s="291">
        <v>-3.69</v>
      </c>
      <c r="DT117" s="291">
        <v>1.17</v>
      </c>
      <c r="DU117" s="290">
        <v>-3.14</v>
      </c>
      <c r="DV117" s="290">
        <v>1.6999999999999999E-3</v>
      </c>
      <c r="DW117" s="290" t="s">
        <v>516</v>
      </c>
      <c r="DX117" s="81" t="s">
        <v>510</v>
      </c>
    </row>
    <row r="118" spans="121:134" thickTop="1" thickBot="1" x14ac:dyDescent="0.35">
      <c r="DQ118" s="290" t="s">
        <v>506</v>
      </c>
      <c r="DR118" s="290" t="s">
        <v>517</v>
      </c>
      <c r="DS118" s="291">
        <v>-0.99099999999999999</v>
      </c>
      <c r="DT118" s="291">
        <v>0.94399999999999995</v>
      </c>
      <c r="DU118" s="290">
        <v>-1.05</v>
      </c>
      <c r="DV118" s="290">
        <v>0.29389999999999999</v>
      </c>
      <c r="DX118" s="81" t="s">
        <v>510</v>
      </c>
    </row>
    <row r="119" spans="121:134" thickTop="1" thickBot="1" x14ac:dyDescent="0.35">
      <c r="DQ119" s="290" t="s">
        <v>506</v>
      </c>
      <c r="DR119" s="290" t="s">
        <v>518</v>
      </c>
      <c r="DS119" s="291">
        <v>5.6500000000000002E-2</v>
      </c>
      <c r="DT119" s="291">
        <v>4.6299999999999998E-4</v>
      </c>
      <c r="DU119" s="290">
        <v>122.19</v>
      </c>
      <c r="DV119" s="290" t="s">
        <v>509</v>
      </c>
      <c r="DW119" s="291">
        <v>2E-16</v>
      </c>
      <c r="DX119" s="81" t="s">
        <v>510</v>
      </c>
    </row>
    <row r="120" spans="121:134" thickTop="1" thickBot="1" x14ac:dyDescent="0.35">
      <c r="DQ120" s="290" t="s">
        <v>506</v>
      </c>
      <c r="DR120" s="290" t="s">
        <v>519</v>
      </c>
      <c r="DS120" s="291">
        <v>1.15E-3</v>
      </c>
      <c r="DT120" s="291">
        <v>8.8200000000000003E-5</v>
      </c>
      <c r="DU120" s="290">
        <v>13.04</v>
      </c>
      <c r="DV120" s="290" t="s">
        <v>509</v>
      </c>
      <c r="DW120" s="291">
        <v>2E-16</v>
      </c>
      <c r="DX120" s="81" t="s">
        <v>510</v>
      </c>
    </row>
    <row r="121" spans="121:134" thickTop="1" thickBot="1" x14ac:dyDescent="0.35">
      <c r="DQ121" s="290" t="s">
        <v>506</v>
      </c>
      <c r="DR121" s="290" t="s">
        <v>492</v>
      </c>
      <c r="DS121" s="291">
        <v>-2.19</v>
      </c>
      <c r="DT121" s="291">
        <v>2.1600000000000001E-2</v>
      </c>
      <c r="DU121" s="290">
        <v>-101.52</v>
      </c>
      <c r="DV121" s="290" t="s">
        <v>509</v>
      </c>
      <c r="DW121" s="291">
        <v>2E-16</v>
      </c>
      <c r="DX121" s="81" t="s">
        <v>510</v>
      </c>
    </row>
    <row r="122" spans="121:134" thickTop="1" thickBot="1" x14ac:dyDescent="0.35">
      <c r="DQ122" s="290" t="s">
        <v>506</v>
      </c>
      <c r="DR122" s="290" t="s">
        <v>520</v>
      </c>
      <c r="DS122" s="291">
        <v>-5.72</v>
      </c>
      <c r="DT122" s="291">
        <v>2.24E-2</v>
      </c>
      <c r="DU122" s="290">
        <v>-255.17</v>
      </c>
      <c r="DV122" s="290" t="s">
        <v>509</v>
      </c>
      <c r="DW122" s="291">
        <v>2E-16</v>
      </c>
      <c r="DX122" s="81" t="s">
        <v>510</v>
      </c>
    </row>
    <row r="123" spans="121:134" thickTop="1" thickBot="1" x14ac:dyDescent="0.35">
      <c r="DQ123" s="290" t="s">
        <v>506</v>
      </c>
      <c r="DR123" s="290" t="s">
        <v>429</v>
      </c>
      <c r="DS123" s="291">
        <v>138</v>
      </c>
      <c r="DT123" s="291">
        <v>1.2</v>
      </c>
      <c r="DU123" s="290">
        <v>115.34</v>
      </c>
      <c r="DV123" s="290" t="s">
        <v>509</v>
      </c>
      <c r="DW123" s="291">
        <v>2E-16</v>
      </c>
      <c r="DX123" s="81" t="s">
        <v>510</v>
      </c>
    </row>
    <row r="124" spans="121:134" thickTop="1" thickBot="1" x14ac:dyDescent="0.35">
      <c r="DQ124" s="290" t="s">
        <v>506</v>
      </c>
      <c r="DR124" s="290" t="s">
        <v>430</v>
      </c>
      <c r="DS124" s="291">
        <v>7610</v>
      </c>
      <c r="DT124" s="291">
        <v>117</v>
      </c>
      <c r="DU124" s="290">
        <v>64.83</v>
      </c>
      <c r="DV124" s="290" t="s">
        <v>509</v>
      </c>
      <c r="DW124" s="291">
        <v>2E-16</v>
      </c>
    </row>
    <row r="125" spans="121:134" thickTop="1" thickBot="1" x14ac:dyDescent="0.35">
      <c r="DQ125" s="290" t="s">
        <v>506</v>
      </c>
      <c r="DR125" s="290" t="s">
        <v>431</v>
      </c>
      <c r="DS125" s="291">
        <v>371</v>
      </c>
      <c r="DT125" s="291">
        <v>5.67</v>
      </c>
      <c r="DU125" s="290">
        <v>65.489999999999995</v>
      </c>
      <c r="DV125" s="290" t="s">
        <v>509</v>
      </c>
      <c r="DW125" s="291">
        <v>2E-16</v>
      </c>
      <c r="DX125" s="81">
        <v>0.01</v>
      </c>
      <c r="ED125" s="81" t="s">
        <v>564</v>
      </c>
    </row>
    <row r="126" spans="121:134" thickTop="1" thickBot="1" x14ac:dyDescent="0.35">
      <c r="DQ126" s="290" t="s">
        <v>506</v>
      </c>
      <c r="DR126" s="290" t="s">
        <v>559</v>
      </c>
    </row>
    <row r="127" spans="121:134" thickTop="1" thickBot="1" x14ac:dyDescent="0.35">
      <c r="DQ127" s="290" t="s">
        <v>506</v>
      </c>
      <c r="DR127" s="290" t="s">
        <v>560</v>
      </c>
      <c r="DS127" s="290" t="s">
        <v>561</v>
      </c>
      <c r="DT127" s="290">
        <v>0</v>
      </c>
      <c r="DU127" s="290" t="s">
        <v>562</v>
      </c>
      <c r="DV127" s="290">
        <v>1E-3</v>
      </c>
      <c r="DW127" s="290" t="s">
        <v>563</v>
      </c>
    </row>
  </sheetData>
  <mergeCells count="7">
    <mergeCell ref="E36:F36"/>
    <mergeCell ref="A1:G1"/>
    <mergeCell ref="A3:H3"/>
    <mergeCell ref="K3:U3"/>
    <mergeCell ref="W3:AH3"/>
    <mergeCell ref="L4:P4"/>
    <mergeCell ref="E33:F3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29" zoomScale="85" zoomScaleNormal="85" workbookViewId="0">
      <selection activeCell="B60" activeCellId="1" sqref="B42 B60"/>
    </sheetView>
  </sheetViews>
  <sheetFormatPr defaultRowHeight="14.4" x14ac:dyDescent="0.3"/>
  <cols>
    <col min="1" max="3" width="9.109375" style="3"/>
    <col min="4" max="4" width="20" style="3"/>
    <col min="5" max="1025" width="9.109375" style="3"/>
  </cols>
  <sheetData>
    <row r="1" spans="1:26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6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6" ht="18" customHeight="1" x14ac:dyDescent="0.3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12" t="s">
        <v>165</v>
      </c>
      <c r="W5" s="312"/>
      <c r="X5" s="312"/>
      <c r="Y5" s="96"/>
    </row>
    <row r="6" spans="1:26" ht="18.75" customHeigh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6" ht="16.5" customHeight="1" x14ac:dyDescent="0.3">
      <c r="A7" s="317" t="s">
        <v>168</v>
      </c>
      <c r="B7" s="317"/>
      <c r="C7" s="317"/>
      <c r="D7" s="317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11854.740907973362</v>
      </c>
      <c r="X7" s="98" t="s">
        <v>169</v>
      </c>
      <c r="Y7" s="96"/>
      <c r="Z7" s="3">
        <f>0.7*W7</f>
        <v>8298.3186355813541</v>
      </c>
    </row>
    <row r="8" spans="1:26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6361.9869767329037</v>
      </c>
      <c r="X8" s="98" t="s">
        <v>169</v>
      </c>
      <c r="Y8" s="96"/>
      <c r="Z8" s="3">
        <f>0.7*W8</f>
        <v>4453.3908837130321</v>
      </c>
    </row>
    <row r="9" spans="1:26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x14ac:dyDescent="0.3">
      <c r="A12" s="95"/>
      <c r="B12" s="106" t="str">
        <f>'Gebouwgegevens Tabula 2zone'!K6</f>
        <v>W1</v>
      </c>
      <c r="C12" s="107">
        <f>VLOOKUP(B12,'Gebouwgegevens Tabula 2zone'!$K$5:$R$83,3,0)</f>
        <v>1</v>
      </c>
      <c r="D12" s="107" t="str">
        <f>VLOOKUP(B12,'Gebouwgegevens Tabula 2zone'!$K$5:$R$83,4,0)</f>
        <v>Wall External</v>
      </c>
      <c r="E12" s="107">
        <f>VLOOKUP(B12,'Gebouwgegevens Tabula 2zone'!$K$5:$R$83,5,0)</f>
        <v>54.722250000000003</v>
      </c>
      <c r="F12" s="107" t="str">
        <f>VLOOKUP(B12,'Gebouwgegevens Tabula 2zone'!$K$5:$R$83,6,0)</f>
        <v>front</v>
      </c>
      <c r="G12" s="107">
        <f>VLOOKUP(B12,'Gebouwgegevens Tabula 2zone'!$K$5:$R$83,7,0)</f>
        <v>0.59788861556532236</v>
      </c>
      <c r="H12" s="108">
        <f>VLOOKUP(B12,'Gebouwgegevens Tabula 2zone'!$K$5:$R$83,8,0)</f>
        <v>32.717810293119463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x14ac:dyDescent="0.3">
      <c r="A13" s="95"/>
      <c r="B13" s="106" t="str">
        <f>'Gebouwgegevens Tabula 2zone'!K7</f>
        <v>W2</v>
      </c>
      <c r="C13" s="107">
        <f>VLOOKUP(B13,'Gebouwgegevens Tabula 2zone'!$K$5:$R$83,3,0)</f>
        <v>1</v>
      </c>
      <c r="D13" s="107" t="str">
        <f>VLOOKUP(B13,'Gebouwgegevens Tabula 2zone'!$K$5:$R$83,4,0)</f>
        <v>Wall External</v>
      </c>
      <c r="E13" s="107">
        <f>VLOOKUP(B13,'Gebouwgegevens Tabula 2zone'!$K$5:$R$83,5,0)</f>
        <v>31.657499999999995</v>
      </c>
      <c r="F13" s="107" t="str">
        <f>VLOOKUP(B13,'Gebouwgegevens Tabula 2zone'!$K$5:$R$83,6,0)</f>
        <v>right</v>
      </c>
      <c r="G13" s="107">
        <f>VLOOKUP(B13,'Gebouwgegevens Tabula 2zone'!$K$5:$R$83,7,0)</f>
        <v>0.59788861556532236</v>
      </c>
      <c r="H13" s="108">
        <f>VLOOKUP(B13,'Gebouwgegevens Tabula 2zone'!$K$5:$R$83,8,0)</f>
        <v>18.927658847259188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x14ac:dyDescent="0.3">
      <c r="A14" s="95"/>
      <c r="B14" s="106" t="str">
        <f>'Gebouwgegevens Tabula 2zone'!K8</f>
        <v>W3</v>
      </c>
      <c r="C14" s="107">
        <f>VLOOKUP(B14,'Gebouwgegevens Tabula 2zone'!$K$5:$R$83,3,0)</f>
        <v>1</v>
      </c>
      <c r="D14" s="107" t="str">
        <f>VLOOKUP(B14,'Gebouwgegevens Tabula 2zone'!$K$5:$R$83,4,0)</f>
        <v>Wall External</v>
      </c>
      <c r="E14" s="107">
        <f>VLOOKUP(B14,'Gebouwgegevens Tabula 2zone'!$K$5:$R$83,5,0)</f>
        <v>54.722250000000003</v>
      </c>
      <c r="F14" s="107" t="str">
        <f>VLOOKUP(B14,'Gebouwgegevens Tabula 2zone'!$K$5:$R$83,6,0)</f>
        <v>back</v>
      </c>
      <c r="G14" s="107">
        <f>VLOOKUP(B14,'Gebouwgegevens Tabula 2zone'!$K$5:$R$83,7,0)</f>
        <v>0.59788861556532236</v>
      </c>
      <c r="H14" s="108">
        <f>VLOOKUP(B14,'Gebouwgegevens Tabula 2zone'!$K$5:$R$83,8,0)</f>
        <v>32.717810293119463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x14ac:dyDescent="0.3">
      <c r="A15" s="95"/>
      <c r="B15" s="106" t="str">
        <f>'Gebouwgegevens Tabula 2zone'!K9</f>
        <v>W4</v>
      </c>
      <c r="C15" s="107">
        <f>VLOOKUP(B15,'Gebouwgegevens Tabula 2zone'!$K$5:$R$83,3,0)</f>
        <v>1</v>
      </c>
      <c r="D15" s="107" t="str">
        <f>VLOOKUP(B15,'Gebouwgegevens Tabula 2zone'!$K$5:$R$83,4,0)</f>
        <v>Wall External</v>
      </c>
      <c r="E15" s="107">
        <f>VLOOKUP(B15,'Gebouwgegevens Tabula 2zone'!$K$5:$R$83,5,0)</f>
        <v>31.657499999999995</v>
      </c>
      <c r="F15" s="107" t="str">
        <f>VLOOKUP(B15,'Gebouwgegevens Tabula 2zone'!$K$5:$R$83,6,0)</f>
        <v>left</v>
      </c>
      <c r="G15" s="107">
        <f>VLOOKUP(B15,'Gebouwgegevens Tabula 2zone'!$K$5:$R$83,7,0)</f>
        <v>0.59788861556532236</v>
      </c>
      <c r="H15" s="108">
        <f>VLOOKUP(B15,'Gebouwgegevens Tabula 2zone'!$K$5:$R$83,8,0)</f>
        <v>18.927658847259188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x14ac:dyDescent="0.3">
      <c r="A16" s="95"/>
      <c r="B16" s="106" t="str">
        <f>'Gebouwgegevens Tabula 2zone'!K10</f>
        <v>W5</v>
      </c>
      <c r="C16" s="107">
        <f>VLOOKUP(B16,'Gebouwgegevens Tabula 2zone'!$K$5:$R$83,3,0)</f>
        <v>1</v>
      </c>
      <c r="D16" s="107" t="str">
        <f>VLOOKUP(B16,'Gebouwgegevens Tabula 2zone'!$K$5:$R$83,4,0)</f>
        <v>Window</v>
      </c>
      <c r="E16" s="107">
        <f>VLOOKUP(B16,'Gebouwgegevens Tabula 2zone'!$K$5:$R$83,5,0)</f>
        <v>6.93</v>
      </c>
      <c r="F16" s="107" t="str">
        <f>VLOOKUP(B16,'Gebouwgegevens Tabula 2zone'!$K$5:$R$83,6,0)</f>
        <v>front</v>
      </c>
      <c r="G16" s="107">
        <f>VLOOKUP(B16,'Gebouwgegevens Tabula 2zone'!$K$5:$R$83,7,0)</f>
        <v>3.5</v>
      </c>
      <c r="H16" s="108">
        <f>VLOOKUP(B16,'Gebouwgegevens Tabula 2zone'!$K$5:$R$83,8,0)</f>
        <v>24.254999999999999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x14ac:dyDescent="0.3">
      <c r="A17" s="95"/>
      <c r="B17" s="106" t="str">
        <f>'Gebouwgegevens Tabula 2zone'!K11</f>
        <v>W6</v>
      </c>
      <c r="C17" s="107">
        <f>VLOOKUP(B17,'Gebouwgegevens Tabula 2zone'!$K$5:$R$83,3,0)</f>
        <v>1</v>
      </c>
      <c r="D17" s="107" t="str">
        <f>VLOOKUP(B17,'Gebouwgegevens Tabula 2zone'!$K$5:$R$83,4,0)</f>
        <v>Window</v>
      </c>
      <c r="E17" s="107">
        <f>VLOOKUP(B17,'Gebouwgegevens Tabula 2zone'!$K$5:$R$83,5,0)</f>
        <v>7.77</v>
      </c>
      <c r="F17" s="107" t="str">
        <f>VLOOKUP(B17,'Gebouwgegevens Tabula 2zone'!$K$5:$R$83,6,0)</f>
        <v>right</v>
      </c>
      <c r="G17" s="107">
        <f>VLOOKUP(B17,'Gebouwgegevens Tabula 2zone'!$K$5:$R$83,7,0)</f>
        <v>3.5</v>
      </c>
      <c r="H17" s="108">
        <f>VLOOKUP(B17,'Gebouwgegevens Tabula 2zone'!$K$5:$R$83,8,0)</f>
        <v>27.195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3">
      <c r="A18" s="95"/>
      <c r="B18" s="106" t="str">
        <f>'Gebouwgegevens Tabula 2zone'!K12</f>
        <v>W7</v>
      </c>
      <c r="C18" s="107">
        <f>VLOOKUP(B18,'Gebouwgegevens Tabula 2zone'!$K$5:$R$83,3,0)</f>
        <v>1</v>
      </c>
      <c r="D18" s="107" t="str">
        <f>VLOOKUP(B18,'Gebouwgegevens Tabula 2zone'!$K$5:$R$83,4,0)</f>
        <v>Window</v>
      </c>
      <c r="E18" s="107">
        <f>VLOOKUP(B18,'Gebouwgegevens Tabula 2zone'!$K$5:$R$83,5,0)</f>
        <v>9.1</v>
      </c>
      <c r="F18" s="107" t="str">
        <f>VLOOKUP(B18,'Gebouwgegevens Tabula 2zone'!$K$5:$R$83,6,0)</f>
        <v>back</v>
      </c>
      <c r="G18" s="107">
        <f>VLOOKUP(B18,'Gebouwgegevens Tabula 2zone'!$K$5:$R$83,7,0)</f>
        <v>3.5</v>
      </c>
      <c r="H18" s="108">
        <f>VLOOKUP(B18,'Gebouwgegevens Tabula 2zone'!$K$5:$R$83,8,0)</f>
        <v>31.849999999999998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18216.727884706266</v>
      </c>
      <c r="X18" s="75" t="s">
        <v>169</v>
      </c>
      <c r="Y18" s="96"/>
    </row>
    <row r="19" spans="1:25" ht="16.5" customHeight="1" x14ac:dyDescent="0.3">
      <c r="A19" s="95"/>
      <c r="B19" s="106" t="str">
        <f>'Gebouwgegevens Tabula 2zone'!K13</f>
        <v>W8</v>
      </c>
      <c r="C19" s="107">
        <f>VLOOKUP(B19,'Gebouwgegevens Tabula 2zone'!$K$5:$R$83,3,0)</f>
        <v>1</v>
      </c>
      <c r="D19" s="107" t="str">
        <f>VLOOKUP(B19,'Gebouwgegevens Tabula 2zone'!$K$5:$R$83,4,0)</f>
        <v>Window</v>
      </c>
      <c r="E19" s="107">
        <f>VLOOKUP(B19,'Gebouwgegevens Tabula 2zone'!$K$5:$R$83,5,0)</f>
        <v>7.9799999999999995</v>
      </c>
      <c r="F19" s="107" t="str">
        <f>VLOOKUP(B19,'Gebouwgegevens Tabula 2zone'!$K$5:$R$83,6,0)</f>
        <v>left</v>
      </c>
      <c r="G19" s="107">
        <f>VLOOKUP(B19,'Gebouwgegevens Tabula 2zone'!$K$5:$R$83,7,0)</f>
        <v>3.5</v>
      </c>
      <c r="H19" s="108">
        <f>VLOOKUP(B19,'Gebouwgegevens Tabula 2zone'!$K$5:$R$83,8,0)</f>
        <v>27.93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3">
      <c r="A21" s="95"/>
      <c r="B21" s="106" t="str">
        <f>'Gebouwgegevens Allacker'!J15</f>
        <v>W10</v>
      </c>
      <c r="C21" s="107">
        <f>VLOOKUP(B21,'Gebouwgegevens Tabula 2zone'!$K$5:$R$83,3,0)</f>
        <v>1</v>
      </c>
      <c r="D21" s="107" t="str">
        <f>VLOOKUP(B21,'Gebouwgegevens Tabula 2zone'!$K$5:$R$83,4,0)</f>
        <v>Roof</v>
      </c>
      <c r="E21" s="107">
        <f>VLOOKUP(B21,'Gebouwgegevens Tabula 2zone'!$K$5:$R$83,5,0)</f>
        <v>0</v>
      </c>
      <c r="F21" s="107">
        <f>VLOOKUP(B21,'Gebouwgegevens Tabula 2zone'!$K$5:$R$83,6,0)</f>
        <v>0</v>
      </c>
      <c r="G21" s="107">
        <f>VLOOKUP(B21,'Gebouwgegevens Tabula 2zone'!$K$5:$R$83,7,0)</f>
        <v>0.59974793202856758</v>
      </c>
      <c r="H21" s="108">
        <f>VLOOKUP(B21,'Gebouwgegevens Tabula 2zone'!$K$5:$R$83,8,0)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13040.2149987707</v>
      </c>
      <c r="X21" s="98"/>
      <c r="Y21" s="98"/>
    </row>
    <row r="22" spans="1:25" ht="16.5" customHeight="1" x14ac:dyDescent="0.3">
      <c r="A22" s="95"/>
      <c r="B22" s="106" t="s">
        <v>67</v>
      </c>
      <c r="C22" s="107">
        <f>VLOOKUP(B22,'Gebouwgegevens Tabula 2zone'!$K$5:$R$83,3,0)</f>
        <v>1</v>
      </c>
      <c r="D22" s="107" t="str">
        <f>VLOOKUP(B22,'Gebouwgegevens Tabula 2zone'!$K$5:$R$83,4,0)</f>
        <v>Door</v>
      </c>
      <c r="E22" s="107">
        <f>VLOOKUP(B22,'Gebouwgegevens Tabula 2zone'!$K$5:$R$83,5,0)</f>
        <v>11.5</v>
      </c>
      <c r="F22" s="107">
        <f>VLOOKUP(B22,'Gebouwgegevens Tabula 2zone'!$K$5:$R$83,6,0)</f>
        <v>0</v>
      </c>
      <c r="G22" s="107">
        <f>VLOOKUP(B22,'Gebouwgegevens Tabula 2zone'!$K$5:$R$83,7,0)</f>
        <v>3.5</v>
      </c>
      <c r="H22" s="108">
        <f>VLOOKUP(B22,'Gebouwgegevens Tabula 2zone'!$K$5:$R$83,8,0)</f>
        <v>40.25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3">
      <c r="A28" s="95"/>
      <c r="B28" s="116" t="s">
        <v>61</v>
      </c>
      <c r="C28" s="117">
        <f>VLOOKUP(B28,'Gebouwgegevens Tabula 2zone'!$K$5:$R$83,3,0)</f>
        <v>1</v>
      </c>
      <c r="D28" s="117" t="str">
        <f>VLOOKUP(B28,'Gebouwgegevens Tabula 2zone'!$K$5:$R$83,4,0)</f>
        <v>Floor</v>
      </c>
      <c r="E28" s="117">
        <f>VLOOKUP(B28,'Gebouwgegevens Tabula 2zone'!$K$5:$R$83,5,0)</f>
        <v>138.80000000000001</v>
      </c>
      <c r="F28" s="117">
        <f>VLOOKUP(B28,'Gebouwgegevens Tabula 2zone'!$K$5:$R$83,7,0)</f>
        <v>0.66596194503171247</v>
      </c>
      <c r="G28" s="118">
        <f>VLOOKUP(B28,'Gebouwgegevens Tabula 2zone'!$K$5:$R$83,8,0)</f>
        <v>92.435517970401705</v>
      </c>
      <c r="H28" s="118">
        <f>N28/F28*1.45*(G34-12)/(G34+8)</f>
        <v>0.2402486792471136</v>
      </c>
      <c r="I28" s="117">
        <f>'Gebouwgegevens Tabula 2zone'!O14</f>
        <v>138.80000000000001</v>
      </c>
      <c r="J28" s="116">
        <f>SQRT(I28)*4</f>
        <v>47.125364720074053</v>
      </c>
      <c r="K28" s="116">
        <f>SUM('Gebouwgegevens Tabula 2zone'!Z17:Z19)</f>
        <v>0.155</v>
      </c>
      <c r="L28" s="119">
        <f>I28/(0.5*J28)</f>
        <v>5.8906705900092566</v>
      </c>
      <c r="M28" s="119">
        <f>K28+2*(1/F28)</f>
        <v>3.158174603174603</v>
      </c>
      <c r="N28" s="120">
        <f>IF(M28&lt;L28,2*2/(PI()*L28+M28)*LN(PI()*L28/M28+1),2/(0.457*L28+M28))</f>
        <v>0.35554772827268399</v>
      </c>
      <c r="O28" s="98"/>
      <c r="P28" s="96"/>
    </row>
    <row r="29" spans="1:25" ht="15.75" customHeight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20038.400673176893</v>
      </c>
    </row>
    <row r="32" spans="1:25" ht="15.75" customHeigh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3">
      <c r="A33" s="95"/>
      <c r="B33" s="121" t="s">
        <v>98</v>
      </c>
      <c r="C33" s="122">
        <f>IF(VLOOKUP(B33,'Gebouwgegevens Tabula 2zone'!$K$5:$R$83,2,0)=B$6,VLOOKUP(B33,'Gebouwgegevens Tabula 2zone'!$K$5:$R$83,2,0),VLOOKUP(B33,'Gebouwgegevens Tabula 2zone'!$K$5:$R$83,3,0))</f>
        <v>1</v>
      </c>
      <c r="D33" s="122">
        <f>IF(VLOOKUP(B33,'Gebouwgegevens Tabula 2zone'!$K$5:$R$83,2,0)=B$6,VLOOKUP(B33,'Gebouwgegevens Tabula 2zone'!$K$5:$R$83,3,0),VLOOKUP(B33,'Gebouwgegevens Tabula 2zone'!$K$5:$R$83,2,0))</f>
        <v>2</v>
      </c>
      <c r="E33" s="122" t="str">
        <f>VLOOKUP(B33,'Gebouwgegevens Tabula 2zone'!$K$5:$R$83,4,0)</f>
        <v>Floor internal</v>
      </c>
      <c r="F33" s="122">
        <f>VLOOKUP(B33,'Gebouwgegevens Tabula 2zone'!$K$5:$R$83,5,0)</f>
        <v>119.59999999999997</v>
      </c>
      <c r="G33" s="122">
        <f>VLOOKUP('Verwarming Tabula 2zone'!C33,'Gebouwgegevens Tabula 2zone'!$A$34:$F$45,5,0)</f>
        <v>21</v>
      </c>
      <c r="H33" s="122">
        <f>VLOOKUP('Verwarming Tabula 2zone'!D33,'Gebouwgegevens Tabula 2zone'!$A$34:$F$45,5,0)</f>
        <v>18</v>
      </c>
      <c r="I33" s="122">
        <f>VLOOKUP(B33,'Gebouwgegevens Tabula 2zone'!$K$5:$R$83,7,0)</f>
        <v>1.4549653579676673</v>
      </c>
      <c r="J33" s="118">
        <f>VLOOKUP(B33,'Gebouwgegevens Tabula 2zone'!$K$5:$R$83,8,0)</f>
        <v>174.01385681293297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x14ac:dyDescent="0.3">
      <c r="A34" s="95"/>
      <c r="B34" s="121" t="s">
        <v>101</v>
      </c>
      <c r="C34" s="122">
        <f>IF(VLOOKUP(B34,'Gebouwgegevens Tabula 2zone'!$K$5:$R$83,2,0)=B$6,VLOOKUP(B34,'Gebouwgegevens Tabula 2zone'!$K$5:$R$83,2,0),VLOOKUP(B34,'Gebouwgegevens Tabula 2zone'!$K$5:$R$83,3,0))</f>
        <v>1</v>
      </c>
      <c r="D34" s="122">
        <f>IF(VLOOKUP(B34,'Gebouwgegevens Tabula 2zone'!$K$5:$R$83,2,0)=B$6,VLOOKUP(B34,'Gebouwgegevens Tabula 2zone'!$K$5:$R$83,3,0),VLOOKUP(B34,'Gebouwgegevens Tabula 2zone'!$K$5:$R$83,2,0))</f>
        <v>1</v>
      </c>
      <c r="E34" s="122" t="str">
        <f>VLOOKUP(B34,'Gebouwgegevens Tabula 2zone'!$K$5:$R$83,4,0)</f>
        <v>Wall internal</v>
      </c>
      <c r="F34" s="122">
        <f>VLOOKUP(B34,'Gebouwgegevens Tabula 2zone'!$K$5:$R$83,5,0)</f>
        <v>172.7595</v>
      </c>
      <c r="G34" s="122">
        <f>VLOOKUP('Verwarming Tabula 2zone'!C34,'Gebouwgegevens Tabula 2zone'!$A$34:$F$45,5,0)</f>
        <v>21</v>
      </c>
      <c r="H34" s="122">
        <f>VLOOKUP('Verwarming Tabula 2zone'!D34,'Gebouwgegevens Tabula 2zone'!$A$34:$F$45,5,0)</f>
        <v>21</v>
      </c>
      <c r="I34" s="122">
        <f>VLOOKUP(B34,'Gebouwgegevens Tabula 2zone'!$K$5:$R$83,7,0)</f>
        <v>1.7363344051446945</v>
      </c>
      <c r="J34" s="118">
        <f>VLOOKUP(B34,'Gebouwgegevens Tabula 2zone'!$K$5:$R$83,8,0)</f>
        <v>299.96826366559486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SUMPRODUCT(H12:H22,I12:I22)+SUMPRODUCT(G28,H28)+SUMPRODUCT(J33:J38,K33:K38)</f>
        <v>294.979882852076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8554.4166027102037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3">
      <c r="A45" s="317" t="s">
        <v>194</v>
      </c>
      <c r="B45" s="317"/>
      <c r="C45" s="317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3">
      <c r="A48" s="127" t="s">
        <v>196</v>
      </c>
      <c r="B48" s="121">
        <f>'Tabula data'!B28</f>
        <v>9.426038001407461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3">
      <c r="A51" s="124" t="s">
        <v>202</v>
      </c>
      <c r="B51" s="118">
        <f>VLOOKUP(B6,'Gebouwgegevens Tabula 2zone'!$A$34:$F$45,2,0)*B48/20</f>
        <v>179.87061919504649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'Gebouwgegevens Tabula 2zone'!G34</f>
        <v>138.80000000000001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179.87061919504649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0.86675446070800444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61.156010526315811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1773.5243052631586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3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3">
      <c r="A66" s="127" t="s">
        <v>113</v>
      </c>
      <c r="B66" s="121">
        <f>'Gebouwgegevens Tabula 2zone'!B7</f>
        <v>138.80000000000001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3">
      <c r="A67" s="124" t="s">
        <v>213</v>
      </c>
      <c r="B67" s="118">
        <f>B68/('Gebouwgegevens Tabula'!E35-'Verwarming Tabula 2zone'!$B$4)</f>
        <v>52.648275862068971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1526.8000000000002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3">
      <c r="A72" s="124" t="s">
        <v>215</v>
      </c>
      <c r="B72" s="118">
        <f>SUM(B42,B60,B67)</f>
        <v>408.78416924046076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11854.740907973362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3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3">
      <c r="A79" s="317" t="s">
        <v>168</v>
      </c>
      <c r="B79" s="317"/>
      <c r="C79" s="317"/>
      <c r="D79" s="31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3">
      <c r="A84" s="95"/>
      <c r="B84" s="106" t="s">
        <v>71</v>
      </c>
      <c r="C84" s="107">
        <f>VLOOKUP(B84,'Gebouwgegevens Tabula 2zone'!$K$5:$R$83,3,0)</f>
        <v>2</v>
      </c>
      <c r="D84" s="107" t="str">
        <f>VLOOKUP(B84,'Gebouwgegevens Tabula 2zone'!$K$5:$R$83,4,0)</f>
        <v>Wall External</v>
      </c>
      <c r="E84" s="107">
        <f>VLOOKUP(B84,'Gebouwgegevens Tabula 2zone'!$K$5:$R$83,5,0)</f>
        <v>0.55275000000000052</v>
      </c>
      <c r="F84" s="107" t="str">
        <f>VLOOKUP(B84,'Gebouwgegevens Tabula 2zone'!$K$5:$R$83,6,0)</f>
        <v>front</v>
      </c>
      <c r="G84" s="107">
        <f>VLOOKUP(B84,'Gebouwgegevens Tabula 2zone'!$K$5:$R$83,7,0)</f>
        <v>0.59788861556532236</v>
      </c>
      <c r="H84" s="108">
        <f>VLOOKUP(B84,'Gebouwgegevens Tabula 2zone'!$K$5:$R$83,8,0)</f>
        <v>0.33048293225373226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3">
      <c r="A85" s="95"/>
      <c r="B85" s="106" t="s">
        <v>75</v>
      </c>
      <c r="C85" s="107">
        <f>VLOOKUP(B85,'Gebouwgegevens Tabula 2zone'!$K$5:$R$83,3,0)</f>
        <v>2</v>
      </c>
      <c r="D85" s="107" t="str">
        <f>VLOOKUP(B85,'Gebouwgegevens Tabula 2zone'!$K$5:$R$83,4,0)</f>
        <v>Wall External</v>
      </c>
      <c r="E85" s="107">
        <f>VLOOKUP(B85,'Gebouwgegevens Tabula 2zone'!$K$5:$R$83,5,0)</f>
        <v>13.567500000000001</v>
      </c>
      <c r="F85" s="107" t="str">
        <f>VLOOKUP(B85,'Gebouwgegevens Tabula 2zone'!$K$5:$R$83,6,0)</f>
        <v>right</v>
      </c>
      <c r="G85" s="107">
        <f>VLOOKUP(B85,'Gebouwgegevens Tabula 2zone'!$K$5:$R$83,7,0)</f>
        <v>0.59788861556532236</v>
      </c>
      <c r="H85" s="108">
        <f>VLOOKUP(B85,'Gebouwgegevens Tabula 2zone'!$K$5:$R$83,8,0)</f>
        <v>8.1118537916825115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3">
      <c r="A86" s="95"/>
      <c r="B86" s="106" t="s">
        <v>79</v>
      </c>
      <c r="C86" s="107">
        <f>VLOOKUP(B86,'Gebouwgegevens Tabula 2zone'!$K$5:$R$83,3,0)</f>
        <v>2</v>
      </c>
      <c r="D86" s="107" t="str">
        <f>VLOOKUP(B86,'Gebouwgegevens Tabula 2zone'!$K$5:$R$83,4,0)</f>
        <v>Wall External</v>
      </c>
      <c r="E86" s="107">
        <f>VLOOKUP(B86,'Gebouwgegevens Tabula 2zone'!$K$5:$R$83,5,0)</f>
        <v>0.55275000000000052</v>
      </c>
      <c r="F86" s="107" t="str">
        <f>VLOOKUP(B86,'Gebouwgegevens Tabula 2zone'!$K$5:$R$83,6,0)</f>
        <v>back</v>
      </c>
      <c r="G86" s="107">
        <f>VLOOKUP(B86,'Gebouwgegevens Tabula 2zone'!$K$5:$R$83,7,0)</f>
        <v>0.59788861556532236</v>
      </c>
      <c r="H86" s="108">
        <f>VLOOKUP(B86,'Gebouwgegevens Tabula 2zone'!$K$5:$R$83,8,0)</f>
        <v>0.33048293225373226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3">
      <c r="A87" s="95"/>
      <c r="B87" s="106" t="s">
        <v>82</v>
      </c>
      <c r="C87" s="107">
        <f>VLOOKUP(B87,'Gebouwgegevens Tabula 2zone'!$K$5:$R$83,3,0)</f>
        <v>2</v>
      </c>
      <c r="D87" s="107" t="str">
        <f>VLOOKUP(B87,'Gebouwgegevens Tabula 2zone'!$K$5:$R$83,4,0)</f>
        <v>Wall External</v>
      </c>
      <c r="E87" s="107">
        <f>VLOOKUP(B87,'Gebouwgegevens Tabula 2zone'!$K$5:$R$83,5,0)</f>
        <v>13.567500000000001</v>
      </c>
      <c r="F87" s="107" t="str">
        <f>VLOOKUP(B87,'Gebouwgegevens Tabula 2zone'!$K$5:$R$83,6,0)</f>
        <v>left</v>
      </c>
      <c r="G87" s="107">
        <f>VLOOKUP(B87,'Gebouwgegevens Tabula 2zone'!$K$5:$R$83,7,0)</f>
        <v>0.59788861556532236</v>
      </c>
      <c r="H87" s="108">
        <f>VLOOKUP(B87,'Gebouwgegevens Tabula 2zone'!$K$5:$R$83,8,0)</f>
        <v>8.1118537916825115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x14ac:dyDescent="0.3">
      <c r="A88" s="95"/>
      <c r="B88" s="106" t="s">
        <v>84</v>
      </c>
      <c r="C88" s="107">
        <f>VLOOKUP(B88,'Gebouwgegevens Tabula 2zone'!$K$5:$R$83,3,0)</f>
        <v>2</v>
      </c>
      <c r="D88" s="107" t="str">
        <f>VLOOKUP(B88,'Gebouwgegevens Tabula 2zone'!$K$5:$R$83,4,0)</f>
        <v>Window</v>
      </c>
      <c r="E88" s="107">
        <f>VLOOKUP(B88,'Gebouwgegevens Tabula 2zone'!$K$5:$R$83,5,0)</f>
        <v>2.9700000000000006</v>
      </c>
      <c r="F88" s="107" t="str">
        <f>VLOOKUP(B88,'Gebouwgegevens Tabula 2zone'!$K$5:$R$83,6,0)</f>
        <v>front</v>
      </c>
      <c r="G88" s="107">
        <f>VLOOKUP(B88,'Gebouwgegevens Tabula 2zone'!$K$5:$R$83,7,0)</f>
        <v>3.5</v>
      </c>
      <c r="H88" s="108">
        <f>VLOOKUP(B88,'Gebouwgegevens Tabula 2zone'!$K$5:$R$83,8,0)</f>
        <v>10.395000000000003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x14ac:dyDescent="0.3">
      <c r="A89" s="95"/>
      <c r="B89" s="106" t="s">
        <v>87</v>
      </c>
      <c r="C89" s="107">
        <f>VLOOKUP(B89,'Gebouwgegevens Tabula 2zone'!$K$5:$R$83,3,0)</f>
        <v>2</v>
      </c>
      <c r="D89" s="107" t="str">
        <f>VLOOKUP(B89,'Gebouwgegevens Tabula 2zone'!$K$5:$R$83,4,0)</f>
        <v>Window</v>
      </c>
      <c r="E89" s="107">
        <f>VLOOKUP(B89,'Gebouwgegevens Tabula 2zone'!$K$5:$R$83,5,0)</f>
        <v>3.3300000000000005</v>
      </c>
      <c r="F89" s="107" t="str">
        <f>VLOOKUP(B89,'Gebouwgegevens Tabula 2zone'!$K$5:$R$83,6,0)</f>
        <v>right</v>
      </c>
      <c r="G89" s="107">
        <f>VLOOKUP(B89,'Gebouwgegevens Tabula 2zone'!$K$5:$R$83,7,0)</f>
        <v>3.5</v>
      </c>
      <c r="H89" s="108">
        <f>VLOOKUP(B89,'Gebouwgegevens Tabula 2zone'!$K$5:$R$83,8,0)</f>
        <v>11.655000000000001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x14ac:dyDescent="0.3">
      <c r="A90" s="95"/>
      <c r="B90" s="106" t="s">
        <v>89</v>
      </c>
      <c r="C90" s="107">
        <f>VLOOKUP(B90,'Gebouwgegevens Tabula 2zone'!$K$5:$R$83,3,0)</f>
        <v>2</v>
      </c>
      <c r="D90" s="107" t="str">
        <f>VLOOKUP(B90,'Gebouwgegevens Tabula 2zone'!$K$5:$R$83,4,0)</f>
        <v>Window</v>
      </c>
      <c r="E90" s="107">
        <f>VLOOKUP(B90,'Gebouwgegevens Tabula 2zone'!$K$5:$R$83,5,0)</f>
        <v>3.9000000000000004</v>
      </c>
      <c r="F90" s="107" t="str">
        <f>VLOOKUP(B90,'Gebouwgegevens Tabula 2zone'!$K$5:$R$83,6,0)</f>
        <v>back</v>
      </c>
      <c r="G90" s="107">
        <f>VLOOKUP(B90,'Gebouwgegevens Tabula 2zone'!$K$5:$R$83,7,0)</f>
        <v>3.5</v>
      </c>
      <c r="H90" s="108">
        <f>VLOOKUP(B90,'Gebouwgegevens Tabula 2zone'!$K$5:$R$83,8,0)</f>
        <v>13.650000000000002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x14ac:dyDescent="0.3">
      <c r="A91" s="95"/>
      <c r="B91" s="106" t="s">
        <v>92</v>
      </c>
      <c r="C91" s="107">
        <f>VLOOKUP(B91,'Gebouwgegevens Tabula 2zone'!$K$5:$R$83,3,0)</f>
        <v>2</v>
      </c>
      <c r="D91" s="107" t="str">
        <f>VLOOKUP(B91,'Gebouwgegevens Tabula 2zone'!$K$5:$R$83,4,0)</f>
        <v>Window</v>
      </c>
      <c r="E91" s="107">
        <f>VLOOKUP(B91,'Gebouwgegevens Tabula 2zone'!$K$5:$R$83,5,0)</f>
        <v>3.4200000000000008</v>
      </c>
      <c r="F91" s="107" t="str">
        <f>VLOOKUP(B91,'Gebouwgegevens Tabula 2zone'!$K$5:$R$83,6,0)</f>
        <v>left</v>
      </c>
      <c r="G91" s="107">
        <f>VLOOKUP(B91,'Gebouwgegevens Tabula 2zone'!$K$5:$R$83,7,0)</f>
        <v>3.5</v>
      </c>
      <c r="H91" s="108">
        <f>VLOOKUP(B91,'Gebouwgegevens Tabula 2zone'!$K$5:$R$83,8,0)</f>
        <v>11.970000000000002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x14ac:dyDescent="0.3">
      <c r="A92" s="95"/>
      <c r="B92" s="106" t="s">
        <v>96</v>
      </c>
      <c r="C92" s="107">
        <f>VLOOKUP(B92,'Gebouwgegevens Tabula 2zone'!$K$5:$R$83,3,0)</f>
        <v>2</v>
      </c>
      <c r="D92" s="107" t="str">
        <f>VLOOKUP(B92,'Gebouwgegevens Tabula 2zone'!$K$5:$R$83,4,0)</f>
        <v>Roof</v>
      </c>
      <c r="E92" s="107">
        <f>VLOOKUP(B92,'Gebouwgegevens Tabula 2zone'!$K$5:$R$83,5,0)</f>
        <v>161.6</v>
      </c>
      <c r="F92" s="107" t="str">
        <f>VLOOKUP(B92,'Gebouwgegevens Tabula 2zone'!$K$5:$R$83,6,0)</f>
        <v>front/back</v>
      </c>
      <c r="G92" s="107">
        <f>VLOOKUP(B92,'Gebouwgegevens Tabula 2zone'!$K$5:$R$83,7,0)</f>
        <v>0.59974793202856758</v>
      </c>
      <c r="H92" s="108">
        <f>VLOOKUP(B92,'Gebouwgegevens Tabula 2zone'!$K$5:$R$83,8,0)</f>
        <v>96.919265815816516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3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3">
      <c r="A108" s="95"/>
      <c r="B108" s="121" t="s">
        <v>98</v>
      </c>
      <c r="C108" s="122">
        <f>IF(VLOOKUP(B108,'Gebouwgegevens Tabula 2zone'!$K$5:$R$83,2,0)=$B$78,VLOOKUP(B108,'Gebouwgegevens Tabula 2zone'!$K$5:$R$83,2,0),VLOOKUP(B108,'Gebouwgegevens Tabula 2zone'!$K$5:$R$83,3,0))</f>
        <v>2</v>
      </c>
      <c r="D108" s="122">
        <f>IF(VLOOKUP(B108,'Gebouwgegevens Tabula 2zone'!$K$5:$R$83,2,0)=$B$78,VLOOKUP(B108,'Gebouwgegevens Tabula 2zone'!$K$5:$R$83,3,0),VLOOKUP(B108,'Gebouwgegevens Tabula 2zone'!$K$5:$R$83,2,0))</f>
        <v>1</v>
      </c>
      <c r="E108" s="122" t="str">
        <f>VLOOKUP(B108,'Gebouwgegevens Tabula 2zone'!$K$5:$R$83,4,0)</f>
        <v>Floor internal</v>
      </c>
      <c r="F108" s="122">
        <f>VLOOKUP(B108,'Gebouwgegevens Tabula 2zone'!$K$5:$R$83,5,0)</f>
        <v>119.59999999999997</v>
      </c>
      <c r="G108" s="122">
        <f>VLOOKUP('Verwarming Tabula 2zone'!C108,'Gebouwgegevens Tabula 2zone'!$A$34:$F$45,5,0)</f>
        <v>18</v>
      </c>
      <c r="H108" s="122">
        <f>VLOOKUP('Verwarming Tabula 2zone'!D108,'Gebouwgegevens Tabula 2zone'!$A$34:$F$45,5,0)</f>
        <v>21</v>
      </c>
      <c r="I108" s="122">
        <f>VLOOKUP(B108,'Gebouwgegevens Tabula 2zone'!$K$5:$R$83,7,0)</f>
        <v>1.4549653579676673</v>
      </c>
      <c r="J108" s="118">
        <f>VLOOKUP(B108,'Gebouwgegevens Tabula 2zone'!$K$5:$R$83,8,0)</f>
        <v>174.01385681293297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x14ac:dyDescent="0.3">
      <c r="A109" s="95"/>
      <c r="B109" s="121" t="s">
        <v>102</v>
      </c>
      <c r="C109" s="122">
        <f>IF(VLOOKUP(B109,'Gebouwgegevens Tabula 2zone'!$K$5:$R$83,2,0)=$B$78,VLOOKUP(B109,'Gebouwgegevens Tabula 2zone'!$K$5:$R$83,2,0),VLOOKUP(B109,'Gebouwgegevens Tabula 2zone'!$K$5:$R$83,3,0))</f>
        <v>2</v>
      </c>
      <c r="D109" s="122">
        <f>IF(VLOOKUP(B109,'Gebouwgegevens Tabula 2zone'!$K$5:$R$83,2,0)=$B$78,VLOOKUP(B109,'Gebouwgegevens Tabula 2zone'!$K$5:$R$83,3,0),VLOOKUP(B109,'Gebouwgegevens Tabula 2zone'!$K$5:$R$83,2,0))</f>
        <v>2</v>
      </c>
      <c r="E109" s="122" t="str">
        <f>VLOOKUP(B109,'Gebouwgegevens Tabula 2zone'!$K$5:$R$83,4,0)</f>
        <v>Wall internal</v>
      </c>
      <c r="F109" s="122">
        <f>VLOOKUP(B109,'Gebouwgegevens Tabula 2zone'!$K$5:$R$83,5,0)</f>
        <v>28.240500000000004</v>
      </c>
      <c r="G109" s="122">
        <f>VLOOKUP('Verwarming Tabula 2zone'!C109,'Gebouwgegevens Tabula 2zone'!$A$34:$F$45,5,0)</f>
        <v>18</v>
      </c>
      <c r="H109" s="122">
        <f>VLOOKUP('Verwarming Tabula 2zone'!D109,'Gebouwgegevens Tabula 2zone'!$A$34:$F$45,5,0)</f>
        <v>18</v>
      </c>
      <c r="I109" s="122">
        <f>VLOOKUP(B109,'Gebouwgegevens Tabula 2zone'!$K$5:$R$83,7,0)</f>
        <v>1.7363344051446945</v>
      </c>
      <c r="J109" s="118">
        <f>VLOOKUP(B109,'Gebouwgegevens Tabula 2zone'!$K$5:$R$83,8,0)</f>
        <v>49.034951768488753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x14ac:dyDescent="0.3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x14ac:dyDescent="0.3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x14ac:dyDescent="0.3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>
        <f>SUMPRODUCT(H84:H95,I84:I95)+SUMPRODUCT(G100:G104,H100:H104)+SUMPRODUCT(J108:J117,K108:K117)</f>
        <v>141.39541732373519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>
        <f>B121*(G109-$B$4)</f>
        <v>3676.2808504171148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3">
      <c r="A124" s="317" t="s">
        <v>194</v>
      </c>
      <c r="B124" s="317"/>
      <c r="C124" s="317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3">
      <c r="A127" s="127" t="s">
        <v>196</v>
      </c>
      <c r="B127" s="121">
        <f>'Tabula data'!B28</f>
        <v>9.426038001407461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3">
      <c r="A130" s="124" t="s">
        <v>202</v>
      </c>
      <c r="B130" s="118">
        <f>VLOOKUP(B78,'Gebouwgegevens Tabula 2zone'!$A$34:$F$45,2,0)*B127/20</f>
        <v>154.98938080495356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'Gebouwgegevens Tabula 2zone'!G35</f>
        <v>119.59999999999997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SUM(B130,B134)</f>
        <v>154.98938080495356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0.9717933688111553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0.34*(B137)</f>
        <v>52.696389473684214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B139*(G109-$B$4)</f>
        <v>1370.1061263157897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3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3">
      <c r="A145" s="127" t="s">
        <v>113</v>
      </c>
      <c r="B145" s="121">
        <f>B133</f>
        <v>119.59999999999997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3">
      <c r="A146" s="124" t="s">
        <v>213</v>
      </c>
      <c r="B146" s="118">
        <f>B147/('Gebouwgegevens Allacker'!E100-'Verwarming Tabula 2zone'!$B$4)</f>
        <v>164.44999999999996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1315.5999999999997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3">
      <c r="A151" s="124" t="s">
        <v>215</v>
      </c>
      <c r="B151" s="118">
        <f>SUM(B121,B139,B146)</f>
        <v>358.54180679741933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>
        <f>SUM(B122,B140,B147)</f>
        <v>6361.9869767329037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3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3">
      <c r="A159" s="317" t="s">
        <v>168</v>
      </c>
      <c r="B159" s="317"/>
      <c r="C159" s="317"/>
      <c r="D159" s="317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2zone'!C188,'Gebouwgegevens Allacker'!$A$35:$F$46,5,0)</f>
        <v>#N/A</v>
      </c>
      <c r="H188" s="122" t="e">
        <f>VLOOKUP('Verwarming Tabula 2zone'!D188,'Gebouwgegevens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2zone'!C189,'Gebouwgegevens Allacker'!$A$35:$F$46,5,0)</f>
        <v>#N/A</v>
      </c>
      <c r="H189" s="122" t="e">
        <f>VLOOKUP('Verwarming Tabula 2zone'!D189,'Gebouwgegevens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2zone'!C190,'Gebouwgegevens Allacker'!$A$35:$F$46,5,0)</f>
        <v>#N/A</v>
      </c>
      <c r="H190" s="122" t="e">
        <f>VLOOKUP('Verwarming Tabula 2zone'!D190,'Gebouwgegevens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3">
      <c r="A204" s="317" t="s">
        <v>194</v>
      </c>
      <c r="B204" s="317"/>
      <c r="C204" s="317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 2zone'!$B$4)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3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3">
      <c r="A238" s="317" t="s">
        <v>168</v>
      </c>
      <c r="B238" s="317"/>
      <c r="C238" s="317"/>
      <c r="D238" s="317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2zone'!C267,'Gebouwgegevens Allacker'!$A$35:$F$46,5,0)</f>
        <v>#N/A</v>
      </c>
      <c r="H267" s="122" t="e">
        <f>VLOOKUP('Verwarming Tabula 2zone'!D267,'Gebouwgegevens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2zone'!C268,'Gebouwgegevens Allacker'!$A$35:$F$46,5,0)</f>
        <v>#N/A</v>
      </c>
      <c r="H268" s="122" t="e">
        <f>VLOOKUP('Verwarming Tabula 2zone'!D268,'Gebouwgegevens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2zone'!C269,'Gebouwgegevens Allacker'!$A$35:$F$46,5,0)</f>
        <v>#N/A</v>
      </c>
      <c r="H269" s="122" t="e">
        <f>VLOOKUP('Verwarming Tabula 2zone'!D269,'Gebouwgegevens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2zone'!C270,'Gebouwgegevens Allacker'!$A$35:$F$46,5,0)</f>
        <v>#N/A</v>
      </c>
      <c r="H270" s="122" t="e">
        <f>VLOOKUP('Verwarming Tabula 2zone'!D270,'Gebouwgegevens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3">
      <c r="A283" s="317" t="s">
        <v>194</v>
      </c>
      <c r="B283" s="317"/>
      <c r="C283" s="317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 2zone'!$B$4)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3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3">
      <c r="A317" s="317" t="s">
        <v>168</v>
      </c>
      <c r="B317" s="317"/>
      <c r="C317" s="317"/>
      <c r="D317" s="317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2zone'!C346,'Gebouwgegevens Allacker'!$A$35:$F$46,5,0)</f>
        <v>#N/A</v>
      </c>
      <c r="H346" s="122" t="e">
        <f>VLOOKUP('Verwarming Tabula 2zone'!D346,'Gebouwgegevens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2zone'!C347,'Gebouwgegevens Allacker'!$A$35:$F$46,5,0)</f>
        <v>#N/A</v>
      </c>
      <c r="H347" s="122" t="e">
        <f>VLOOKUP('Verwarming Tabula 2zone'!D347,'Gebouwgegevens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2zone'!C348,'Gebouwgegevens Allacker'!$A$35:$F$46,5,0)</f>
        <v>#N/A</v>
      </c>
      <c r="H348" s="122" t="e">
        <f>VLOOKUP('Verwarming Tabula 2zone'!D348,'Gebouwgegevens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2zone'!C349,'Gebouwgegevens Allacker'!$A$35:$F$46,5,0)</f>
        <v>#N/A</v>
      </c>
      <c r="H349" s="122" t="e">
        <f>VLOOKUP('Verwarming Tabula 2zone'!D349,'Gebouwgegevens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2zone'!C350,'Gebouwgegevens Allacker'!$A$35:$F$46,5,0)</f>
        <v>#N/A</v>
      </c>
      <c r="H350" s="122" t="e">
        <f>VLOOKUP('Verwarming Tabula 2zone'!D350,'Gebouwgegevens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3">
      <c r="A362" s="317" t="s">
        <v>194</v>
      </c>
      <c r="B362" s="317"/>
      <c r="C362" s="317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 2zone'!$B$4)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3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3">
      <c r="A395" s="317" t="s">
        <v>168</v>
      </c>
      <c r="B395" s="317"/>
      <c r="C395" s="317"/>
      <c r="D395" s="317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2zone'!C424,'Gebouwgegevens Allacker'!$A$35:$F$46,5,0)</f>
        <v>#N/A</v>
      </c>
      <c r="H424" s="122" t="e">
        <f>VLOOKUP('Verwarming Tabula 2zone'!D424,'Gebouwgegevens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2zone'!C425,'Gebouwgegevens Allacker'!$A$35:$F$46,5,0)</f>
        <v>#N/A</v>
      </c>
      <c r="H425" s="122" t="e">
        <f>VLOOKUP('Verwarming Tabula 2zone'!D425,'Gebouwgegevens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2zone'!C426,'Gebouwgegevens Allacker'!$A$35:$F$46,5,0)</f>
        <v>#N/A</v>
      </c>
      <c r="H426" s="122" t="e">
        <f>VLOOKUP('Verwarming Tabula 2zone'!D426,'Gebouwgegevens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2zone'!C427,'Gebouwgegevens Allacker'!$A$35:$F$46,5,0)</f>
        <v>#N/A</v>
      </c>
      <c r="H427" s="122" t="e">
        <f>VLOOKUP('Verwarming Tabula 2zone'!D427,'Gebouwgegevens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2zone'!C428,'Gebouwgegevens Allacker'!$A$35:$F$46,5,0)</f>
        <v>#N/A</v>
      </c>
      <c r="H428" s="122" t="e">
        <f>VLOOKUP('Verwarming Tabula 2zone'!D428,'Gebouwgegevens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3">
      <c r="A440" s="317" t="s">
        <v>194</v>
      </c>
      <c r="B440" s="317"/>
      <c r="C440" s="317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 2zone'!$B$4)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3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3">
      <c r="A473" s="317" t="s">
        <v>168</v>
      </c>
      <c r="B473" s="317"/>
      <c r="C473" s="317"/>
      <c r="D473" s="317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2zone'!C502,'Gebouwgegevens Allacker'!$A$35:$F$46,5,0)</f>
        <v>#N/A</v>
      </c>
      <c r="H502" s="122" t="e">
        <f>VLOOKUP('Verwarming Tabula 2zone'!D502,'Gebouwgegevens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2zone'!C503,'Gebouwgegevens Allacker'!$A$35:$F$46,5,0)</f>
        <v>#N/A</v>
      </c>
      <c r="H503" s="122" t="e">
        <f>VLOOKUP('Verwarming Tabula 2zone'!D503,'Gebouwgegevens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2zone'!C504,'Gebouwgegevens Allacker'!$A$35:$F$46,5,0)</f>
        <v>#N/A</v>
      </c>
      <c r="H504" s="122" t="e">
        <f>VLOOKUP('Verwarming Tabula 2zone'!D504,'Gebouwgegevens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3">
      <c r="A518" s="317" t="s">
        <v>194</v>
      </c>
      <c r="B518" s="317"/>
      <c r="C518" s="317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 2zone'!$B$4)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3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3">
      <c r="A552" s="317" t="s">
        <v>168</v>
      </c>
      <c r="B552" s="317"/>
      <c r="C552" s="317"/>
      <c r="D552" s="31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2zone'!C581,'Gebouwgegevens Allacker'!$A$35:$F$46,5,0)</f>
        <v>#N/A</v>
      </c>
      <c r="H581" s="122" t="e">
        <f>VLOOKUP('Verwarming Tabula 2zone'!D581,'Gebouwgegevens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2zone'!C582,'Gebouwgegevens Allacker'!$A$35:$F$46,5,0)</f>
        <v>#N/A</v>
      </c>
      <c r="H582" s="122" t="e">
        <f>VLOOKUP('Verwarming Tabula 2zone'!D582,'Gebouwgegevens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2zone'!C583,'Gebouwgegevens Allacker'!$A$35:$F$46,5,0)</f>
        <v>#N/A</v>
      </c>
      <c r="H583" s="122" t="e">
        <f>VLOOKUP('Verwarming Tabula 2zone'!D583,'Gebouwgegevens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3">
      <c r="A597" s="317" t="s">
        <v>194</v>
      </c>
      <c r="B597" s="317"/>
      <c r="C597" s="317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 2zone'!$B$4)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3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3">
      <c r="A631" s="317" t="s">
        <v>168</v>
      </c>
      <c r="B631" s="317"/>
      <c r="C631" s="317"/>
      <c r="D631" s="31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2zone'!C660,'Gebouwgegevens Allacker'!$A$35:$F$46,5,0)</f>
        <v>#N/A</v>
      </c>
      <c r="H660" s="122" t="e">
        <f>VLOOKUP('Verwarming Tabula 2zone'!D660,'Gebouwgegevens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2zone'!C661,'Gebouwgegevens Allacker'!$A$35:$F$46,5,0)</f>
        <v>#N/A</v>
      </c>
      <c r="H661" s="122" t="e">
        <f>VLOOKUP('Verwarming Tabula 2zone'!D661,'Gebouwgegevens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3">
      <c r="A676" s="317" t="s">
        <v>194</v>
      </c>
      <c r="B676" s="317"/>
      <c r="C676" s="317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 2zone'!$B$4)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3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3">
      <c r="A710" s="317" t="s">
        <v>168</v>
      </c>
      <c r="B710" s="317"/>
      <c r="C710" s="317"/>
      <c r="D710" s="31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2zone'!C739,'Gebouwgegevens Allacker'!$A$35:$F$46,5,0)</f>
        <v>#N/A</v>
      </c>
      <c r="H739" s="122" t="e">
        <f>VLOOKUP('Verwarming Tabula 2zone'!D739,'Gebouwgegevens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2zone'!C740,'Gebouwgegevens Allacker'!$A$35:$F$46,5,0)</f>
        <v>#N/A</v>
      </c>
      <c r="H740" s="122" t="e">
        <f>VLOOKUP('Verwarming Tabula 2zone'!D740,'Gebouwgegevens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2zone'!C741,'Gebouwgegevens Allacker'!$A$35:$F$46,5,0)</f>
        <v>#N/A</v>
      </c>
      <c r="H741" s="122" t="e">
        <f>VLOOKUP('Verwarming Tabula 2zone'!D741,'Gebouwgegevens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2zone'!C742,'Gebouwgegevens Allacker'!$A$35:$F$46,5,0)</f>
        <v>#N/A</v>
      </c>
      <c r="H742" s="122" t="e">
        <f>VLOOKUP('Verwarming Tabula 2zone'!D742,'Gebouwgegevens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2zone'!C743,'Gebouwgegevens Allacker'!$A$35:$F$46,5,0)</f>
        <v>#N/A</v>
      </c>
      <c r="H743" s="122" t="e">
        <f>VLOOKUP('Verwarming Tabula 2zone'!D743,'Gebouwgegevens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2zone'!C744,'Gebouwgegevens Allacker'!$A$35:$F$46,5,0)</f>
        <v>#N/A</v>
      </c>
      <c r="H744" s="122" t="e">
        <f>VLOOKUP('Verwarming Tabula 2zone'!D744,'Gebouwgegevens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2zone'!C745,'Gebouwgegevens Allacker'!$A$35:$F$46,5,0)</f>
        <v>#N/A</v>
      </c>
      <c r="H745" s="122" t="e">
        <f>VLOOKUP('Verwarming Tabula 2zone'!D745,'Gebouwgegevens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2zone'!C746,'Gebouwgegevens Allacker'!$A$35:$F$46,5,0)</f>
        <v>#N/A</v>
      </c>
      <c r="H746" s="122" t="e">
        <f>VLOOKUP('Verwarming Tabula 2zone'!D746,'Gebouwgegevens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2zone'!C747,'Gebouwgegevens Allacker'!$A$35:$F$46,5,0)</f>
        <v>#N/A</v>
      </c>
      <c r="H747" s="122" t="e">
        <f>VLOOKUP('Verwarming Tabula 2zone'!D747,'Gebouwgegevens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2zone'!C748,'Gebouwgegevens Allacker'!$A$35:$F$46,5,0)</f>
        <v>#N/A</v>
      </c>
      <c r="H748" s="122" t="e">
        <f>VLOOKUP('Verwarming Tabula 2zone'!D748,'Gebouwgegevens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2zone'!C749,'Gebouwgegevens Allacker'!$A$35:$F$46,5,0)</f>
        <v>#N/A</v>
      </c>
      <c r="H749" s="122" t="e">
        <f>VLOOKUP('Verwarming Tabula 2zone'!D749,'Gebouwgegevens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2zone'!C750,'Gebouwgegevens Allacker'!$A$35:$F$46,5,0)</f>
        <v>#N/A</v>
      </c>
      <c r="H750" s="122" t="e">
        <f>VLOOKUP('Verwarming Tabula 2zone'!D750,'Gebouwgegevens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3">
      <c r="A755" s="317" t="s">
        <v>194</v>
      </c>
      <c r="B755" s="317"/>
      <c r="C755" s="317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 2zone'!$B$4)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31" zoomScale="85" zoomScaleNormal="85" workbookViewId="0">
      <selection activeCell="B58" sqref="B58"/>
    </sheetView>
  </sheetViews>
  <sheetFormatPr defaultColWidth="9.109375" defaultRowHeight="14.4" x14ac:dyDescent="0.3"/>
  <cols>
    <col min="1" max="1025" width="9.109375" style="3"/>
    <col min="1026" max="16384" width="9.109375" style="81"/>
  </cols>
  <sheetData>
    <row r="1" spans="1:26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6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299"/>
      <c r="W4" s="299"/>
      <c r="X4" s="299"/>
      <c r="Y4" s="94"/>
    </row>
    <row r="5" spans="1:26" ht="18" customHeight="1" thickTop="1" thickBot="1" x14ac:dyDescent="0.35">
      <c r="A5" s="93"/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299"/>
      <c r="M5" s="299"/>
      <c r="N5" s="299"/>
      <c r="O5" s="299"/>
      <c r="P5" s="94"/>
      <c r="U5" s="95"/>
      <c r="V5" s="312" t="s">
        <v>165</v>
      </c>
      <c r="W5" s="312"/>
      <c r="X5" s="312"/>
      <c r="Y5" s="96"/>
    </row>
    <row r="6" spans="1:26" ht="18.75" customHeight="1" thickTop="1" thickBot="1" x14ac:dyDescent="0.4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299"/>
      <c r="Y6" s="96"/>
    </row>
    <row r="7" spans="1:26" ht="16.5" customHeight="1" thickTop="1" x14ac:dyDescent="0.3">
      <c r="A7" s="317" t="s">
        <v>168</v>
      </c>
      <c r="B7" s="317"/>
      <c r="C7" s="317"/>
      <c r="D7" s="317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94"/>
      <c r="U7" s="95"/>
      <c r="V7" s="101">
        <f>B6</f>
        <v>1</v>
      </c>
      <c r="W7" s="102">
        <f>B73</f>
        <v>8137.9480452748785</v>
      </c>
      <c r="X7" s="98" t="s">
        <v>169</v>
      </c>
      <c r="Y7" s="96"/>
      <c r="Z7" s="3">
        <f>0.7*W7</f>
        <v>5696.5636316924147</v>
      </c>
    </row>
    <row r="8" spans="1:26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3591.6372472260327</v>
      </c>
      <c r="X8" s="98" t="s">
        <v>169</v>
      </c>
      <c r="Y8" s="96"/>
      <c r="Z8" s="3">
        <f>0.7*W8</f>
        <v>2514.1460730582226</v>
      </c>
    </row>
    <row r="9" spans="1:26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5">
      <c r="A12" s="95"/>
      <c r="B12" s="106" t="str">
        <f>'Tabula 2zone Ref 1'!J6</f>
        <v>W1</v>
      </c>
      <c r="C12" s="107">
        <f>VLOOKUP(B12,'Tabula 2zone Ref 1'!$J$5:$Q$83,3,0)</f>
        <v>1</v>
      </c>
      <c r="D12" s="107" t="str">
        <f>VLOOKUP(B12,'Tabula 2zone Ref 1'!$J$5:$Q$83,4,0)</f>
        <v>Wall External</v>
      </c>
      <c r="E12" s="107">
        <f>VLOOKUP(B12,'Tabula 2zone Ref 1'!$J$5:$Q$83,5,0)</f>
        <v>54.722250000000003</v>
      </c>
      <c r="F12" s="107" t="str">
        <f>VLOOKUP(B12,'Tabula 2zone Ref 1'!$J$5:$Q$83,6,0)</f>
        <v>front</v>
      </c>
      <c r="G12" s="107">
        <f>VLOOKUP(B12,'Tabula 2zone Ref 1'!$J$5:$Q$83,7,0)</f>
        <v>0.36462385321100915</v>
      </c>
      <c r="H12" s="108">
        <f>VLOOKUP(B12,'Tabula 2zone Ref 1'!$J$5:$Q$83,8,0)</f>
        <v>19.953037651376146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5">
      <c r="A13" s="95"/>
      <c r="B13" s="106" t="str">
        <f>'Tabula 2zone Ref 1'!J7</f>
        <v>W2</v>
      </c>
      <c r="C13" s="107">
        <f>VLOOKUP(B13,'Tabula 2zone Ref 1'!$J$5:$Q$83,3,0)</f>
        <v>1</v>
      </c>
      <c r="D13" s="107" t="str">
        <f>VLOOKUP(B13,'Tabula 2zone Ref 1'!$J$5:$Q$83,4,0)</f>
        <v>Wall External</v>
      </c>
      <c r="E13" s="107">
        <f>VLOOKUP(B13,'Tabula 2zone Ref 1'!$J$5:$Q$83,5,0)</f>
        <v>31.657499999999995</v>
      </c>
      <c r="F13" s="107" t="str">
        <f>VLOOKUP(B13,'Tabula 2zone Ref 1'!$J$5:$Q$83,6,0)</f>
        <v>right</v>
      </c>
      <c r="G13" s="107">
        <f>VLOOKUP(B13,'Tabula 2zone Ref 1'!$J$5:$Q$83,7,0)</f>
        <v>0.36462385321100915</v>
      </c>
      <c r="H13" s="108">
        <f>VLOOKUP(B13,'Tabula 2zone Ref 1'!$J$5:$Q$83,8,0)</f>
        <v>11.543079633027521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5">
      <c r="A14" s="95"/>
      <c r="B14" s="106" t="str">
        <f>'Tabula 2zone Ref 1'!J8</f>
        <v>W3</v>
      </c>
      <c r="C14" s="107">
        <f>VLOOKUP(B14,'Tabula 2zone Ref 1'!$J$5:$Q$83,3,0)</f>
        <v>1</v>
      </c>
      <c r="D14" s="107" t="str">
        <f>VLOOKUP(B14,'Tabula 2zone Ref 1'!$J$5:$Q$83,4,0)</f>
        <v>Wall External</v>
      </c>
      <c r="E14" s="107">
        <f>VLOOKUP(B14,'Tabula 2zone Ref 1'!$J$5:$Q$83,5,0)</f>
        <v>54.722250000000003</v>
      </c>
      <c r="F14" s="107" t="str">
        <f>VLOOKUP(B14,'Tabula 2zone Ref 1'!$J$5:$Q$83,6,0)</f>
        <v>back</v>
      </c>
      <c r="G14" s="107">
        <f>VLOOKUP(B14,'Tabula 2zone Ref 1'!$J$5:$Q$83,7,0)</f>
        <v>0.36462385321100915</v>
      </c>
      <c r="H14" s="108">
        <f>VLOOKUP(B14,'Tabula 2zone Ref 1'!$J$5:$Q$83,8,0)</f>
        <v>19.953037651376146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5">
      <c r="A15" s="95"/>
      <c r="B15" s="106" t="str">
        <f>'Tabula 2zone Ref 1'!J9</f>
        <v>W4</v>
      </c>
      <c r="C15" s="107">
        <f>VLOOKUP(B15,'Tabula 2zone Ref 1'!$J$5:$Q$83,3,0)</f>
        <v>1</v>
      </c>
      <c r="D15" s="107" t="str">
        <f>VLOOKUP(B15,'Tabula 2zone Ref 1'!$J$5:$Q$83,4,0)</f>
        <v>Wall External</v>
      </c>
      <c r="E15" s="107">
        <f>VLOOKUP(B15,'Tabula 2zone Ref 1'!$J$5:$Q$83,5,0)</f>
        <v>31.657499999999995</v>
      </c>
      <c r="F15" s="107" t="str">
        <f>VLOOKUP(B15,'Tabula 2zone Ref 1'!$J$5:$Q$83,6,0)</f>
        <v>left</v>
      </c>
      <c r="G15" s="107">
        <f>VLOOKUP(B15,'Tabula 2zone Ref 1'!$J$5:$Q$83,7,0)</f>
        <v>0.36462385321100915</v>
      </c>
      <c r="H15" s="108">
        <f>VLOOKUP(B15,'Tabula 2zone Ref 1'!$J$5:$Q$83,8,0)</f>
        <v>11.543079633027521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5">
      <c r="A16" s="95"/>
      <c r="B16" s="106" t="str">
        <f>'Tabula 2zone Ref 1'!J10</f>
        <v>W5</v>
      </c>
      <c r="C16" s="107">
        <f>VLOOKUP(B16,'Tabula 2zone Ref 1'!$J$5:$Q$83,3,0)</f>
        <v>1</v>
      </c>
      <c r="D16" s="107" t="str">
        <f>VLOOKUP(B16,'Tabula 2zone Ref 1'!$J$5:$Q$83,4,0)</f>
        <v>Window</v>
      </c>
      <c r="E16" s="107">
        <f>VLOOKUP(B16,'Tabula 2zone Ref 1'!$J$5:$Q$83,5,0)</f>
        <v>6.93</v>
      </c>
      <c r="F16" s="107" t="str">
        <f>VLOOKUP(B16,'Tabula 2zone Ref 1'!$J$5:$Q$83,6,0)</f>
        <v>front</v>
      </c>
      <c r="G16" s="107">
        <f>VLOOKUP(B16,'Tabula 2zone Ref 1'!$J$5:$Q$83,7,0)</f>
        <v>2</v>
      </c>
      <c r="H16" s="108">
        <f>VLOOKUP(B16,'Tabula 2zone Ref 1'!$J$5:$Q$83,8,0)</f>
        <v>13.86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5">
      <c r="A17" s="95"/>
      <c r="B17" s="106" t="str">
        <f>'Tabula 2zone Ref 1'!J11</f>
        <v>W6</v>
      </c>
      <c r="C17" s="107">
        <f>VLOOKUP(B17,'Tabula 2zone Ref 1'!$J$5:$Q$83,3,0)</f>
        <v>1</v>
      </c>
      <c r="D17" s="107" t="str">
        <f>VLOOKUP(B17,'Tabula 2zone Ref 1'!$J$5:$Q$83,4,0)</f>
        <v>Window</v>
      </c>
      <c r="E17" s="107">
        <f>VLOOKUP(B17,'Tabula 2zone Ref 1'!$J$5:$Q$83,5,0)</f>
        <v>7.77</v>
      </c>
      <c r="F17" s="107" t="str">
        <f>VLOOKUP(B17,'Tabula 2zone Ref 1'!$J$5:$Q$83,6,0)</f>
        <v>right</v>
      </c>
      <c r="G17" s="107">
        <f>VLOOKUP(B17,'Tabula 2zone Ref 1'!$J$5:$Q$83,7,0)</f>
        <v>2</v>
      </c>
      <c r="H17" s="108">
        <f>VLOOKUP(B17,'Tabula 2zone Ref 1'!$J$5:$Q$83,8,0)</f>
        <v>15.54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5">
      <c r="A18" s="95"/>
      <c r="B18" s="106" t="str">
        <f>'Tabula 2zone Ref 1'!J12</f>
        <v>W7</v>
      </c>
      <c r="C18" s="107">
        <f>VLOOKUP(B18,'Tabula 2zone Ref 1'!$J$5:$Q$83,3,0)</f>
        <v>1</v>
      </c>
      <c r="D18" s="107" t="str">
        <f>VLOOKUP(B18,'Tabula 2zone Ref 1'!$J$5:$Q$83,4,0)</f>
        <v>Window</v>
      </c>
      <c r="E18" s="107">
        <f>VLOOKUP(B18,'Tabula 2zone Ref 1'!$J$5:$Q$83,5,0)</f>
        <v>9.1</v>
      </c>
      <c r="F18" s="107" t="str">
        <f>VLOOKUP(B18,'Tabula 2zone Ref 1'!$J$5:$Q$83,6,0)</f>
        <v>back</v>
      </c>
      <c r="G18" s="107">
        <f>VLOOKUP(B18,'Tabula 2zone Ref 1'!$J$5:$Q$83,7,0)</f>
        <v>2</v>
      </c>
      <c r="H18" s="108">
        <f>VLOOKUP(B18,'Tabula 2zone Ref 1'!$J$5:$Q$83,8,0)</f>
        <v>18.2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11729.585292500911</v>
      </c>
      <c r="X18" s="299" t="s">
        <v>169</v>
      </c>
      <c r="Y18" s="96"/>
    </row>
    <row r="19" spans="1:25" ht="16.5" customHeight="1" thickTop="1" thickBot="1" x14ac:dyDescent="0.35">
      <c r="A19" s="95"/>
      <c r="B19" s="106" t="str">
        <f>'Tabula 2zone Ref 1'!J13</f>
        <v>W8</v>
      </c>
      <c r="C19" s="107">
        <f>VLOOKUP(B19,'Tabula 2zone Ref 1'!$J$5:$Q$83,3,0)</f>
        <v>1</v>
      </c>
      <c r="D19" s="107" t="str">
        <f>VLOOKUP(B19,'Tabula 2zone Ref 1'!$J$5:$Q$83,4,0)</f>
        <v>Window</v>
      </c>
      <c r="E19" s="107">
        <f>VLOOKUP(B19,'Tabula 2zone Ref 1'!$J$5:$Q$83,5,0)</f>
        <v>7.9799999999999995</v>
      </c>
      <c r="F19" s="107" t="str">
        <f>VLOOKUP(B19,'Tabula 2zone Ref 1'!$J$5:$Q$83,6,0)</f>
        <v>left</v>
      </c>
      <c r="G19" s="107">
        <f>VLOOKUP(B19,'Tabula 2zone Ref 1'!$J$5:$Q$83,7,0)</f>
        <v>2</v>
      </c>
      <c r="H19" s="108">
        <f>VLOOKUP(B19,'Tabula 2zone Ref 1'!$J$5:$Q$83,8,0)</f>
        <v>15.959999999999999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5">
      <c r="A21" s="95"/>
      <c r="B21" s="106" t="str">
        <f>'Gebouwgegevens Allacker'!J15</f>
        <v>W10</v>
      </c>
      <c r="C21" s="107">
        <f>VLOOKUP(B21,'Tabula 2zone Ref 1'!$J$5:$Q$83,3,0)</f>
        <v>1</v>
      </c>
      <c r="D21" s="107" t="str">
        <f>VLOOKUP(B21,'Tabula 2zone Ref 1'!$J$5:$Q$83,4,0)</f>
        <v>Roof</v>
      </c>
      <c r="E21" s="107">
        <f>VLOOKUP(B21,'Tabula 2zone Ref 1'!$J$5:$Q$83,5,0)</f>
        <v>0</v>
      </c>
      <c r="F21" s="107">
        <f>VLOOKUP(B21,'Tabula 2zone Ref 1'!$J$5:$Q$83,6,0)</f>
        <v>0</v>
      </c>
      <c r="G21" s="107">
        <f>VLOOKUP(B21,'Tabula 2zone Ref 1'!$J$5:$Q$83,7,0)</f>
        <v>0.27062537995411134</v>
      </c>
      <c r="H21" s="108">
        <f>VLOOKUP(B21,'Tabula 2zone Ref 1'!$J$5:$Q$83,8,0)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8951.7428498023673</v>
      </c>
      <c r="X21" s="98"/>
      <c r="Y21" s="98"/>
    </row>
    <row r="22" spans="1:25" ht="16.5" customHeight="1" thickTop="1" thickBot="1" x14ac:dyDescent="0.35">
      <c r="A22" s="95"/>
      <c r="B22" s="106" t="s">
        <v>67</v>
      </c>
      <c r="C22" s="107">
        <f>VLOOKUP(B22,'Tabula 2zone Ref 1'!$J$5:$Q$83,3,0)</f>
        <v>1</v>
      </c>
      <c r="D22" s="107" t="str">
        <f>VLOOKUP(B22,'Tabula 2zone Ref 1'!$J$5:$Q$83,4,0)</f>
        <v>Door</v>
      </c>
      <c r="E22" s="107">
        <f>VLOOKUP(B22,'Tabula 2zone Ref 1'!$J$5:$Q$83,5,0)</f>
        <v>11.5</v>
      </c>
      <c r="F22" s="107">
        <f>VLOOKUP(B22,'Tabula 2zone Ref 1'!$J$5:$Q$83,6,0)</f>
        <v>0</v>
      </c>
      <c r="G22" s="107">
        <f>VLOOKUP(B22,'Tabula 2zone Ref 1'!$J$5:$Q$83,7,0)</f>
        <v>3.5</v>
      </c>
      <c r="H22" s="108">
        <f>VLOOKUP(B22,'Tabula 2zone Ref 1'!$J$5:$Q$83,8,0)</f>
        <v>40.25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5">
      <c r="A28" s="95"/>
      <c r="B28" s="116" t="s">
        <v>61</v>
      </c>
      <c r="C28" s="117">
        <f>VLOOKUP(B28,'Tabula 2zone Ref 1'!$J$5:$Q$83,3,0)</f>
        <v>1</v>
      </c>
      <c r="D28" s="117" t="str">
        <f>VLOOKUP(B28,'Tabula 2zone Ref 1'!$J$5:$Q$83,4,0)</f>
        <v>Floor</v>
      </c>
      <c r="E28" s="117">
        <f>VLOOKUP(B28,'Tabula 2zone Ref 1'!$J$5:$Q$83,5,0)</f>
        <v>138.80000000000001</v>
      </c>
      <c r="F28" s="117">
        <f>VLOOKUP(B28,'Tabula 2zone Ref 1'!$J$5:$Q$83,7,0)</f>
        <v>0.28445648493057907</v>
      </c>
      <c r="G28" s="118">
        <f>VLOOKUP(B28,'Tabula 2zone Ref 1'!$J$5:$Q$83,8,0)</f>
        <v>39.482560108364375</v>
      </c>
      <c r="H28" s="118">
        <f>N28/F28*1.45*(G34-12)/(G34+8)</f>
        <v>0.31884834521707789</v>
      </c>
      <c r="I28" s="117">
        <f>'Tabula 2zone Ref 1'!N14</f>
        <v>138.80000000000001</v>
      </c>
      <c r="J28" s="116">
        <f>SQRT(I28)*4</f>
        <v>47.125364720074053</v>
      </c>
      <c r="K28" s="116">
        <f>SUM('Tabula 2zone Ref 1'!Y17:Y19)</f>
        <v>0.19999999999999998</v>
      </c>
      <c r="L28" s="119">
        <f>I28/(0.5*J28)</f>
        <v>5.8906705900092566</v>
      </c>
      <c r="M28" s="119">
        <f>K28+2*(1/F28)</f>
        <v>7.230952380952381</v>
      </c>
      <c r="N28" s="120">
        <f>IF(M28&lt;L28,2*2/(PI()*L28+M28)*LN(PI()*L28/M28+1),2/(0.457*L28+M28))</f>
        <v>0.2015521766808484</v>
      </c>
      <c r="O28" s="98"/>
      <c r="P28" s="96"/>
    </row>
    <row r="29" spans="1:25" ht="15.75" customHeight="1" thickTop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12902.543821751004</v>
      </c>
    </row>
    <row r="32" spans="1:25" ht="15.75" customHeight="1" thickBot="1" x14ac:dyDescent="0.3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5">
      <c r="A33" s="95"/>
      <c r="B33" s="121" t="s">
        <v>98</v>
      </c>
      <c r="C33" s="122">
        <f>IF(VLOOKUP(B33,'Tabula 2zone Ref 1'!$J$5:$Q$83,2,0)=B$6,VLOOKUP(B33,'Tabula 2zone Ref 1'!$J$5:$Q$83,2,0),VLOOKUP(B33,'Tabula 2zone Ref 1'!$J$5:$Q$83,3,0))</f>
        <v>1</v>
      </c>
      <c r="D33" s="122">
        <f>IF(VLOOKUP(B33,'Tabula 2zone Ref 1'!$J$5:$Q$83,2,0)=B$6,VLOOKUP(B33,'Tabula 2zone Ref 1'!$J$5:$Q$83,3,0),VLOOKUP(B33,'Tabula 2zone Ref 1'!$J$5:$Q$83,2,0))</f>
        <v>2</v>
      </c>
      <c r="E33" s="122" t="str">
        <f>VLOOKUP(B33,'Tabula 2zone Ref 1'!$J$5:$Q$83,4,0)</f>
        <v>Floor internal</v>
      </c>
      <c r="F33" s="122">
        <f>VLOOKUP(B33,'Tabula 2zone Ref 1'!$J$5:$Q$83,5,0)</f>
        <v>119.59999999999997</v>
      </c>
      <c r="G33" s="122">
        <f>VLOOKUP('Verwarming Tabula 2zone Ref 1'!C33,'Tabula 2zone Ref 1'!$A$34:$F$45,5,0)</f>
        <v>21</v>
      </c>
      <c r="H33" s="122">
        <f>VLOOKUP('Verwarming Tabula 2zone Ref 1'!D33,'Tabula 2zone Ref 1'!$A$34:$F$45,5,0)</f>
        <v>18</v>
      </c>
      <c r="I33" s="122">
        <f>VLOOKUP(B33,'Tabula 2zone Ref 1'!$J$5:$Q$83,7,0)</f>
        <v>1.4549653579676673</v>
      </c>
      <c r="J33" s="118">
        <f>VLOOKUP(B33,'Tabula 2zone Ref 1'!$J$5:$Q$83,8,0)</f>
        <v>174.01385681293297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5">
      <c r="A34" s="95"/>
      <c r="B34" s="121" t="s">
        <v>101</v>
      </c>
      <c r="C34" s="122">
        <f>IF(VLOOKUP(B34,'Tabula 2zone Ref 1'!$J$5:$Q$83,2,0)=B$6,VLOOKUP(B34,'Tabula 2zone Ref 1'!$J$5:$Q$83,2,0),VLOOKUP(B34,'Tabula 2zone Ref 1'!$J$5:$Q$83,3,0))</f>
        <v>1</v>
      </c>
      <c r="D34" s="122">
        <f>IF(VLOOKUP(B34,'Tabula 2zone Ref 1'!$J$5:$Q$83,2,0)=B$6,VLOOKUP(B34,'Tabula 2zone Ref 1'!$J$5:$Q$83,3,0),VLOOKUP(B34,'Tabula 2zone Ref 1'!$J$5:$Q$83,2,0))</f>
        <v>1</v>
      </c>
      <c r="E34" s="122" t="str">
        <f>VLOOKUP(B34,'Tabula 2zone Ref 1'!$J$5:$Q$83,4,0)</f>
        <v>Wall internal</v>
      </c>
      <c r="F34" s="122">
        <f>VLOOKUP(B34,'Tabula 2zone Ref 1'!$J$5:$Q$83,5,0)</f>
        <v>172.7595</v>
      </c>
      <c r="G34" s="122">
        <f>VLOOKUP('Verwarming Tabula 2zone Ref 1'!C34,'Tabula 2zone Ref 1'!$A$34:$F$45,5,0)</f>
        <v>21</v>
      </c>
      <c r="H34" s="122">
        <f>VLOOKUP('Verwarming Tabula 2zone Ref 1'!D34,'Tabula 2zone Ref 1'!$A$34:$F$45,5,0)</f>
        <v>21</v>
      </c>
      <c r="I34" s="122">
        <f>VLOOKUP(B34,'Tabula 2zone Ref 1'!$J$5:$Q$83,7,0)</f>
        <v>1.7363344051446945</v>
      </c>
      <c r="J34" s="118">
        <f>VLOOKUP(B34,'Tabula 2zone Ref 1'!$J$5:$Q$83,8,0)</f>
        <v>299.96826366559486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SUMPRODUCT(H12:H22,I12:I22)+SUMPRODUCT(G28,H28)+SUMPRODUCT(J33:J38,K33:K38)</f>
        <v>197.39261698769999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5724.3858926432995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3">
      <c r="A45" s="317" t="s">
        <v>194</v>
      </c>
      <c r="B45" s="317"/>
      <c r="C45" s="317"/>
      <c r="D45" s="125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5">
      <c r="A48" s="127" t="s">
        <v>196</v>
      </c>
      <c r="B48" s="121">
        <f>'Tabula data'!E28</f>
        <v>4.7130190007037305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3">
      <c r="A51" s="124" t="s">
        <v>202</v>
      </c>
      <c r="B51" s="118">
        <f>VLOOKUP(B6,'Tabula 2zone Ref 1'!$A$34:$F$45,2,0)*B48/20</f>
        <v>89.935309597523243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'Tabula 2zone Ref 1'!G34</f>
        <v>138.80000000000001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89.935309597523243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0.43337723035400222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30.578005263157905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886.76215263157928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5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5">
      <c r="A66" s="127" t="s">
        <v>113</v>
      </c>
      <c r="B66" s="121">
        <f>'Tabula 2zone Ref 1'!B7</f>
        <v>138.80000000000001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3">
      <c r="A67" s="124" t="s">
        <v>213</v>
      </c>
      <c r="B67" s="118">
        <f>B68/('Gebouwgegevens Tabula'!E35-'Verwarming Tabula 2zone Ref 1'!$B$4)</f>
        <v>52.648275862068971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1526.8000000000002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3">
      <c r="A72" s="124" t="s">
        <v>215</v>
      </c>
      <c r="B72" s="118">
        <f>SUM(B42,B60,B67)</f>
        <v>280.6188981129269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8137.9480452748785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5">
      <c r="A77" s="93"/>
      <c r="B77" s="299"/>
      <c r="C77" s="299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94"/>
    </row>
    <row r="78" spans="1:16" ht="17.25" customHeight="1" thickTop="1" thickBot="1" x14ac:dyDescent="0.4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3">
      <c r="A79" s="317" t="s">
        <v>168</v>
      </c>
      <c r="B79" s="317"/>
      <c r="C79" s="317"/>
      <c r="D79" s="317"/>
      <c r="E79" s="299"/>
      <c r="F79" s="299"/>
      <c r="G79" s="299"/>
      <c r="H79" s="299"/>
      <c r="I79" s="299"/>
      <c r="J79" s="299"/>
      <c r="K79" s="299"/>
      <c r="L79" s="299"/>
      <c r="M79" s="299"/>
      <c r="N79" s="299"/>
      <c r="O79" s="299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5">
      <c r="A84" s="95"/>
      <c r="B84" s="106" t="s">
        <v>71</v>
      </c>
      <c r="C84" s="107">
        <f>VLOOKUP(B84,'Tabula 2zone Ref 1'!$J$5:$Q$83,3,0)</f>
        <v>2</v>
      </c>
      <c r="D84" s="107" t="str">
        <f>VLOOKUP(B84,'Tabula 2zone Ref 1'!$J$5:$Q$83,4,0)</f>
        <v>Wall External</v>
      </c>
      <c r="E84" s="107">
        <f>VLOOKUP(B84,'Tabula 2zone Ref 1'!$J$5:$Q$83,5,0)</f>
        <v>0.55275000000000052</v>
      </c>
      <c r="F84" s="107" t="str">
        <f>VLOOKUP(B84,'Tabula 2zone Ref 1'!$J$5:$Q$83,6,0)</f>
        <v>front</v>
      </c>
      <c r="G84" s="107">
        <f>VLOOKUP(B84,'Tabula 2zone Ref 1'!$J$5:$Q$83,7,0)</f>
        <v>0.36462385321100915</v>
      </c>
      <c r="H84" s="108">
        <f>VLOOKUP(B84,'Tabula 2zone Ref 1'!$J$5:$Q$83,8,0)</f>
        <v>0.2015458348623855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5">
      <c r="A85" s="95"/>
      <c r="B85" s="106" t="s">
        <v>75</v>
      </c>
      <c r="C85" s="107">
        <f>VLOOKUP(B85,'Tabula 2zone Ref 1'!$J$5:$Q$83,3,0)</f>
        <v>2</v>
      </c>
      <c r="D85" s="107" t="str">
        <f>VLOOKUP(B85,'Tabula 2zone Ref 1'!$J$5:$Q$83,4,0)</f>
        <v>Wall External</v>
      </c>
      <c r="E85" s="107">
        <f>VLOOKUP(B85,'Tabula 2zone Ref 1'!$J$5:$Q$83,5,0)</f>
        <v>13.567500000000001</v>
      </c>
      <c r="F85" s="107" t="str">
        <f>VLOOKUP(B85,'Tabula 2zone Ref 1'!$J$5:$Q$83,6,0)</f>
        <v>right</v>
      </c>
      <c r="G85" s="107">
        <f>VLOOKUP(B85,'Tabula 2zone Ref 1'!$J$5:$Q$83,7,0)</f>
        <v>0.36462385321100915</v>
      </c>
      <c r="H85" s="108">
        <f>VLOOKUP(B85,'Tabula 2zone Ref 1'!$J$5:$Q$83,8,0)</f>
        <v>4.9470341284403672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5">
      <c r="A86" s="95"/>
      <c r="B86" s="106" t="s">
        <v>79</v>
      </c>
      <c r="C86" s="107">
        <f>VLOOKUP(B86,'Tabula 2zone Ref 1'!$J$5:$Q$83,3,0)</f>
        <v>2</v>
      </c>
      <c r="D86" s="107" t="str">
        <f>VLOOKUP(B86,'Tabula 2zone Ref 1'!$J$5:$Q$83,4,0)</f>
        <v>Wall External</v>
      </c>
      <c r="E86" s="107">
        <f>VLOOKUP(B86,'Tabula 2zone Ref 1'!$J$5:$Q$83,5,0)</f>
        <v>0.55275000000000052</v>
      </c>
      <c r="F86" s="107" t="str">
        <f>VLOOKUP(B86,'Tabula 2zone Ref 1'!$J$5:$Q$83,6,0)</f>
        <v>back</v>
      </c>
      <c r="G86" s="107">
        <f>VLOOKUP(B86,'Tabula 2zone Ref 1'!$J$5:$Q$83,7,0)</f>
        <v>0.36462385321100915</v>
      </c>
      <c r="H86" s="108">
        <f>VLOOKUP(B86,'Tabula 2zone Ref 1'!$J$5:$Q$83,8,0)</f>
        <v>0.2015458348623855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5">
      <c r="A87" s="95"/>
      <c r="B87" s="106" t="s">
        <v>82</v>
      </c>
      <c r="C87" s="107">
        <f>VLOOKUP(B87,'Tabula 2zone Ref 1'!$J$5:$Q$83,3,0)</f>
        <v>2</v>
      </c>
      <c r="D87" s="107" t="str">
        <f>VLOOKUP(B87,'Tabula 2zone Ref 1'!$J$5:$Q$83,4,0)</f>
        <v>Wall External</v>
      </c>
      <c r="E87" s="107">
        <f>VLOOKUP(B87,'Tabula 2zone Ref 1'!$J$5:$Q$83,5,0)</f>
        <v>13.567500000000001</v>
      </c>
      <c r="F87" s="107" t="str">
        <f>VLOOKUP(B87,'Tabula 2zone Ref 1'!$J$5:$Q$83,6,0)</f>
        <v>left</v>
      </c>
      <c r="G87" s="107">
        <f>VLOOKUP(B87,'Tabula 2zone Ref 1'!$J$5:$Q$83,7,0)</f>
        <v>0.36462385321100915</v>
      </c>
      <c r="H87" s="108">
        <f>VLOOKUP(B87,'Tabula 2zone Ref 1'!$J$5:$Q$83,8,0)</f>
        <v>4.9470341284403672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5">
      <c r="A88" s="95"/>
      <c r="B88" s="106" t="s">
        <v>84</v>
      </c>
      <c r="C88" s="107">
        <f>VLOOKUP(B88,'Tabula 2zone Ref 1'!$J$5:$Q$83,3,0)</f>
        <v>2</v>
      </c>
      <c r="D88" s="107" t="str">
        <f>VLOOKUP(B88,'Tabula 2zone Ref 1'!$J$5:$Q$83,4,0)</f>
        <v>Window</v>
      </c>
      <c r="E88" s="107">
        <f>VLOOKUP(B88,'Tabula 2zone Ref 1'!$J$5:$Q$83,5,0)</f>
        <v>2.9700000000000006</v>
      </c>
      <c r="F88" s="107" t="str">
        <f>VLOOKUP(B88,'Tabula 2zone Ref 1'!$J$5:$Q$83,6,0)</f>
        <v>front</v>
      </c>
      <c r="G88" s="107">
        <f>VLOOKUP(B88,'Tabula 2zone Ref 1'!$J$5:$Q$83,7,0)</f>
        <v>2</v>
      </c>
      <c r="H88" s="108">
        <f>VLOOKUP(B88,'Tabula 2zone Ref 1'!$J$5:$Q$83,8,0)</f>
        <v>5.9400000000000013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5">
      <c r="A89" s="95"/>
      <c r="B89" s="106" t="s">
        <v>87</v>
      </c>
      <c r="C89" s="107">
        <f>VLOOKUP(B89,'Tabula 2zone Ref 1'!$J$5:$Q$83,3,0)</f>
        <v>2</v>
      </c>
      <c r="D89" s="107" t="str">
        <f>VLOOKUP(B89,'Tabula 2zone Ref 1'!$J$5:$Q$83,4,0)</f>
        <v>Window</v>
      </c>
      <c r="E89" s="107">
        <f>VLOOKUP(B89,'Tabula 2zone Ref 1'!$J$5:$Q$83,5,0)</f>
        <v>3.3300000000000005</v>
      </c>
      <c r="F89" s="107" t="str">
        <f>VLOOKUP(B89,'Tabula 2zone Ref 1'!$J$5:$Q$83,6,0)</f>
        <v>right</v>
      </c>
      <c r="G89" s="107">
        <f>VLOOKUP(B89,'Tabula 2zone Ref 1'!$J$5:$Q$83,7,0)</f>
        <v>2</v>
      </c>
      <c r="H89" s="108">
        <f>VLOOKUP(B89,'Tabula 2zone Ref 1'!$J$5:$Q$83,8,0)</f>
        <v>6.660000000000001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5">
      <c r="A90" s="95"/>
      <c r="B90" s="106" t="s">
        <v>89</v>
      </c>
      <c r="C90" s="107">
        <f>VLOOKUP(B90,'Tabula 2zone Ref 1'!$J$5:$Q$83,3,0)</f>
        <v>2</v>
      </c>
      <c r="D90" s="107" t="str">
        <f>VLOOKUP(B90,'Tabula 2zone Ref 1'!$J$5:$Q$83,4,0)</f>
        <v>Window</v>
      </c>
      <c r="E90" s="107">
        <f>VLOOKUP(B90,'Tabula 2zone Ref 1'!$J$5:$Q$83,5,0)</f>
        <v>3.9000000000000004</v>
      </c>
      <c r="F90" s="107" t="str">
        <f>VLOOKUP(B90,'Tabula 2zone Ref 1'!$J$5:$Q$83,6,0)</f>
        <v>back</v>
      </c>
      <c r="G90" s="107">
        <f>VLOOKUP(B90,'Tabula 2zone Ref 1'!$J$5:$Q$83,7,0)</f>
        <v>2</v>
      </c>
      <c r="H90" s="108">
        <f>VLOOKUP(B90,'Tabula 2zone Ref 1'!$J$5:$Q$83,8,0)</f>
        <v>7.8000000000000007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5">
      <c r="A91" s="95"/>
      <c r="B91" s="106" t="s">
        <v>92</v>
      </c>
      <c r="C91" s="107">
        <f>VLOOKUP(B91,'Tabula 2zone Ref 1'!$J$5:$Q$83,3,0)</f>
        <v>2</v>
      </c>
      <c r="D91" s="107" t="str">
        <f>VLOOKUP(B91,'Tabula 2zone Ref 1'!$J$5:$Q$83,4,0)</f>
        <v>Window</v>
      </c>
      <c r="E91" s="107">
        <f>VLOOKUP(B91,'Tabula 2zone Ref 1'!$J$5:$Q$83,5,0)</f>
        <v>3.4200000000000008</v>
      </c>
      <c r="F91" s="107" t="str">
        <f>VLOOKUP(B91,'Tabula 2zone Ref 1'!$J$5:$Q$83,6,0)</f>
        <v>left</v>
      </c>
      <c r="G91" s="107">
        <f>VLOOKUP(B91,'Tabula 2zone Ref 1'!$J$5:$Q$83,7,0)</f>
        <v>2</v>
      </c>
      <c r="H91" s="108">
        <f>VLOOKUP(B91,'Tabula 2zone Ref 1'!$J$5:$Q$83,8,0)</f>
        <v>6.8400000000000016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5">
      <c r="A92" s="95"/>
      <c r="B92" s="106" t="s">
        <v>96</v>
      </c>
      <c r="C92" s="107">
        <f>VLOOKUP(B92,'Tabula 2zone Ref 1'!$J$5:$Q$83,3,0)</f>
        <v>2</v>
      </c>
      <c r="D92" s="107" t="str">
        <f>VLOOKUP(B92,'Tabula 2zone Ref 1'!$J$5:$Q$83,4,0)</f>
        <v>Roof</v>
      </c>
      <c r="E92" s="107">
        <f>VLOOKUP(B92,'Tabula 2zone Ref 1'!$J$5:$Q$83,5,0)</f>
        <v>161.6</v>
      </c>
      <c r="F92" s="107" t="str">
        <f>VLOOKUP(B92,'Tabula 2zone Ref 1'!$J$5:$Q$83,6,0)</f>
        <v>front/back</v>
      </c>
      <c r="G92" s="107">
        <f>VLOOKUP(B92,'Tabula 2zone Ref 1'!$J$5:$Q$83,7,0)</f>
        <v>0.27062537995411134</v>
      </c>
      <c r="H92" s="108">
        <f>VLOOKUP(B92,'Tabula 2zone Ref 1'!$J$5:$Q$83,8,0)</f>
        <v>43.73306140058439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5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5">
      <c r="A108" s="95"/>
      <c r="B108" s="121" t="s">
        <v>98</v>
      </c>
      <c r="C108" s="122">
        <f>IF(VLOOKUP(B108,'Tabula 2zone Ref 1'!$J$5:$Q$83,2,0)=$B$78,VLOOKUP(B108,'Tabula 2zone Ref 1'!$J$5:$Q$83,2,0),VLOOKUP(B108,'Tabula 2zone Ref 1'!$J$5:$Q$83,3,0))</f>
        <v>2</v>
      </c>
      <c r="D108" s="122">
        <f>IF(VLOOKUP(B108,'Tabula 2zone Ref 1'!$J$5:$Q$83,2,0)=$B$78,VLOOKUP(B108,'Tabula 2zone Ref 1'!$J$5:$Q$83,3,0),VLOOKUP(B108,'Tabula 2zone Ref 1'!$J$5:$Q$83,2,0))</f>
        <v>1</v>
      </c>
      <c r="E108" s="122" t="str">
        <f>VLOOKUP(B108,'Tabula 2zone Ref 1'!$J$5:$Q$83,4,0)</f>
        <v>Floor internal</v>
      </c>
      <c r="F108" s="122">
        <f>VLOOKUP(B108,'Tabula 2zone Ref 1'!$J$5:$Q$83,5,0)</f>
        <v>119.59999999999997</v>
      </c>
      <c r="G108" s="122">
        <f>VLOOKUP('Verwarming Tabula 2zone Ref 1'!C108,'Tabula 2zone Ref 1'!$A$34:$F$45,5,0)</f>
        <v>18</v>
      </c>
      <c r="H108" s="122">
        <f>VLOOKUP('Verwarming Tabula 2zone Ref 1'!D108,'Tabula 2zone Ref 1'!$A$34:$F$45,5,0)</f>
        <v>21</v>
      </c>
      <c r="I108" s="122">
        <f>VLOOKUP(B108,'Tabula 2zone Ref 1'!$J$5:$Q$83,7,0)</f>
        <v>1.4549653579676673</v>
      </c>
      <c r="J108" s="118">
        <f>VLOOKUP(B108,'Tabula 2zone Ref 1'!$J$5:$Q$83,8,0)</f>
        <v>174.01385681293297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5">
      <c r="A109" s="95"/>
      <c r="B109" s="121" t="s">
        <v>102</v>
      </c>
      <c r="C109" s="122">
        <f>IF(VLOOKUP(B109,'Tabula 2zone Ref 1'!$J$5:$Q$83,2,0)=$B$78,VLOOKUP(B109,'Tabula 2zone Ref 1'!$J$5:$Q$83,2,0),VLOOKUP(B109,'Tabula 2zone Ref 1'!$J$5:$Q$83,3,0))</f>
        <v>2</v>
      </c>
      <c r="D109" s="122">
        <f>IF(VLOOKUP(B109,'Tabula 2zone Ref 1'!$J$5:$Q$83,2,0)=$B$78,VLOOKUP(B109,'Tabula 2zone Ref 1'!$J$5:$Q$83,3,0),VLOOKUP(B109,'Tabula 2zone Ref 1'!$J$5:$Q$83,2,0))</f>
        <v>2</v>
      </c>
      <c r="E109" s="122" t="str">
        <f>VLOOKUP(B109,'Tabula 2zone Ref 1'!$J$5:$Q$83,4,0)</f>
        <v>Wall internal</v>
      </c>
      <c r="F109" s="122">
        <f>VLOOKUP(B109,'Tabula 2zone Ref 1'!$J$5:$Q$83,5,0)</f>
        <v>28.240500000000004</v>
      </c>
      <c r="G109" s="122">
        <f>VLOOKUP('Verwarming Tabula 2zone Ref 1'!C109,'Tabula 2zone Ref 1'!$A$34:$F$45,5,0)</f>
        <v>18</v>
      </c>
      <c r="H109" s="122">
        <f>VLOOKUP('Verwarming Tabula 2zone Ref 1'!D109,'Tabula 2zone Ref 1'!$A$34:$F$45,5,0)</f>
        <v>18</v>
      </c>
      <c r="I109" s="122">
        <f>VLOOKUP(B109,'Tabula 2zone Ref 1'!$J$5:$Q$83,7,0)</f>
        <v>1.7363344051446945</v>
      </c>
      <c r="J109" s="118">
        <f>VLOOKUP(B109,'Tabula 2zone Ref 1'!$J$5:$Q$83,8,0)</f>
        <v>49.034951768488753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5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5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5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>
        <f>SUMPRODUCT(H84:H95,I84:I95)+SUMPRODUCT(G100:G104,H100:H104)+SUMPRODUCT(J108:J117,K108:K117)</f>
        <v>61.191699387236099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>
        <f>B121*(G109-$B$4)</f>
        <v>1590.9841840681386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3">
      <c r="A124" s="317" t="s">
        <v>194</v>
      </c>
      <c r="B124" s="317"/>
      <c r="C124" s="317"/>
      <c r="D124" s="125" t="s">
        <v>222</v>
      </c>
      <c r="E124" s="299"/>
      <c r="F124" s="299"/>
      <c r="G124" s="299"/>
      <c r="H124" s="299"/>
      <c r="I124" s="299"/>
      <c r="J124" s="299"/>
      <c r="K124" s="299"/>
      <c r="L124" s="299"/>
      <c r="M124" s="299"/>
      <c r="N124" s="299"/>
      <c r="O124" s="299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5">
      <c r="A127" s="127" t="s">
        <v>196</v>
      </c>
      <c r="B127" s="121">
        <f>B48</f>
        <v>4.7130190007037305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3">
      <c r="A130" s="124" t="s">
        <v>202</v>
      </c>
      <c r="B130" s="118">
        <f>VLOOKUP(B78,'Tabula 2zone Ref 1'!$A$34:$F$45,2,0)*B127/20</f>
        <v>77.494690402476778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'Tabula 2zone Ref 1'!G35</f>
        <v>119.59999999999997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SUM(B130,B134)</f>
        <v>77.494690402476778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0.48589668440557765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0.34*(B137)</f>
        <v>26.348194736842107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B139*(G109-$B$4)</f>
        <v>685.05306315789483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5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5">
      <c r="A145" s="127" t="s">
        <v>113</v>
      </c>
      <c r="B145" s="121">
        <f>B133</f>
        <v>119.59999999999997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3">
      <c r="A146" s="124" t="s">
        <v>213</v>
      </c>
      <c r="B146" s="118">
        <f>B147/('Gebouwgegevens Allacker'!E100-'Verwarming Tabula 2zone Ref 1'!$B$4)</f>
        <v>164.44999999999996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1315.5999999999997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3">
      <c r="A151" s="124" t="s">
        <v>215</v>
      </c>
      <c r="B151" s="118">
        <f>SUM(B121,B139,B146)</f>
        <v>251.98989412407815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>
        <f>SUM(B122,B140,B147)</f>
        <v>3591.6372472260327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5">
      <c r="A157" s="93"/>
      <c r="B157" s="299"/>
      <c r="C157" s="299"/>
      <c r="D157" s="299"/>
      <c r="E157" s="299"/>
      <c r="F157" s="299"/>
      <c r="G157" s="299"/>
      <c r="H157" s="299"/>
      <c r="I157" s="299"/>
      <c r="J157" s="299"/>
      <c r="K157" s="299"/>
      <c r="L157" s="299"/>
      <c r="M157" s="299"/>
      <c r="N157" s="299"/>
      <c r="O157" s="299"/>
      <c r="P157" s="94"/>
    </row>
    <row r="158" spans="1:16" ht="17.25" customHeight="1" thickTop="1" thickBot="1" x14ac:dyDescent="0.4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3">
      <c r="A159" s="317" t="s">
        <v>168</v>
      </c>
      <c r="B159" s="317"/>
      <c r="C159" s="317"/>
      <c r="D159" s="317"/>
      <c r="E159" s="299"/>
      <c r="F159" s="299"/>
      <c r="G159" s="299"/>
      <c r="H159" s="299"/>
      <c r="I159" s="299"/>
      <c r="J159" s="299"/>
      <c r="K159" s="299"/>
      <c r="L159" s="299"/>
      <c r="M159" s="299"/>
      <c r="N159" s="299"/>
      <c r="O159" s="299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 1'!C188,'Gebouwgegevens Allacker'!$A$35:$F$46,5,0)</f>
        <v>#N/A</v>
      </c>
      <c r="H188" s="122" t="e">
        <f>VLOOKUP('Verwarming Tabula 2zone Ref 1'!D188,'Gebouwgegevens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 1'!C189,'Gebouwgegevens Allacker'!$A$35:$F$46,5,0)</f>
        <v>#N/A</v>
      </c>
      <c r="H189" s="122" t="e">
        <f>VLOOKUP('Verwarming Tabula 2zone Ref 1'!D189,'Gebouwgegevens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 1'!C190,'Gebouwgegevens Allacker'!$A$35:$F$46,5,0)</f>
        <v>#N/A</v>
      </c>
      <c r="H190" s="122" t="e">
        <f>VLOOKUP('Verwarming Tabula 2zone Ref 1'!D190,'Gebouwgegevens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3">
      <c r="A204" s="317" t="s">
        <v>194</v>
      </c>
      <c r="B204" s="317"/>
      <c r="C204" s="317"/>
      <c r="D204" s="125" t="s">
        <v>222</v>
      </c>
      <c r="E204" s="299"/>
      <c r="F204" s="299"/>
      <c r="G204" s="299"/>
      <c r="H204" s="299"/>
      <c r="I204" s="299"/>
      <c r="J204" s="299"/>
      <c r="K204" s="299"/>
      <c r="L204" s="299"/>
      <c r="M204" s="299"/>
      <c r="N204" s="299"/>
      <c r="O204" s="299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 2zone Ref 1'!$B$4)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5">
      <c r="A236" s="93"/>
      <c r="B236" s="299"/>
      <c r="C236" s="299"/>
      <c r="D236" s="299"/>
      <c r="E236" s="299"/>
      <c r="F236" s="299"/>
      <c r="G236" s="299"/>
      <c r="H236" s="299"/>
      <c r="I236" s="299"/>
      <c r="J236" s="299"/>
      <c r="K236" s="299"/>
      <c r="L236" s="299"/>
      <c r="M236" s="299"/>
      <c r="N236" s="299"/>
      <c r="O236" s="299"/>
      <c r="P236" s="94"/>
    </row>
    <row r="237" spans="1:16" ht="17.25" customHeight="1" thickTop="1" thickBot="1" x14ac:dyDescent="0.4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3">
      <c r="A238" s="317" t="s">
        <v>168</v>
      </c>
      <c r="B238" s="317"/>
      <c r="C238" s="317"/>
      <c r="D238" s="317"/>
      <c r="E238" s="299"/>
      <c r="F238" s="299"/>
      <c r="G238" s="299"/>
      <c r="H238" s="299"/>
      <c r="I238" s="299"/>
      <c r="J238" s="299"/>
      <c r="K238" s="299"/>
      <c r="L238" s="299"/>
      <c r="M238" s="299"/>
      <c r="N238" s="299"/>
      <c r="O238" s="299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 1'!C267,'Gebouwgegevens Allacker'!$A$35:$F$46,5,0)</f>
        <v>#N/A</v>
      </c>
      <c r="H267" s="122" t="e">
        <f>VLOOKUP('Verwarming Tabula 2zone Ref 1'!D267,'Gebouwgegevens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 1'!C268,'Gebouwgegevens Allacker'!$A$35:$F$46,5,0)</f>
        <v>#N/A</v>
      </c>
      <c r="H268" s="122" t="e">
        <f>VLOOKUP('Verwarming Tabula 2zone Ref 1'!D268,'Gebouwgegevens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 1'!C269,'Gebouwgegevens Allacker'!$A$35:$F$46,5,0)</f>
        <v>#N/A</v>
      </c>
      <c r="H269" s="122" t="e">
        <f>VLOOKUP('Verwarming Tabula 2zone Ref 1'!D269,'Gebouwgegevens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 1'!C270,'Gebouwgegevens Allacker'!$A$35:$F$46,5,0)</f>
        <v>#N/A</v>
      </c>
      <c r="H270" s="122" t="e">
        <f>VLOOKUP('Verwarming Tabula 2zone Ref 1'!D270,'Gebouwgegevens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3">
      <c r="A283" s="317" t="s">
        <v>194</v>
      </c>
      <c r="B283" s="317"/>
      <c r="C283" s="317"/>
      <c r="D283" s="125" t="s">
        <v>222</v>
      </c>
      <c r="E283" s="299"/>
      <c r="F283" s="299"/>
      <c r="G283" s="299"/>
      <c r="H283" s="299"/>
      <c r="I283" s="299"/>
      <c r="J283" s="299"/>
      <c r="K283" s="299"/>
      <c r="L283" s="299"/>
      <c r="M283" s="299"/>
      <c r="N283" s="299"/>
      <c r="O283" s="299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 2zone Ref 1'!$B$4)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5">
      <c r="A315" s="93"/>
      <c r="B315" s="299"/>
      <c r="C315" s="299"/>
      <c r="D315" s="299"/>
      <c r="E315" s="299"/>
      <c r="F315" s="299"/>
      <c r="G315" s="299"/>
      <c r="H315" s="299"/>
      <c r="I315" s="299"/>
      <c r="J315" s="299"/>
      <c r="K315" s="299"/>
      <c r="L315" s="299"/>
      <c r="M315" s="299"/>
      <c r="N315" s="299"/>
      <c r="O315" s="299"/>
      <c r="P315" s="94"/>
    </row>
    <row r="316" spans="1:16" ht="17.25" customHeight="1" thickTop="1" thickBot="1" x14ac:dyDescent="0.4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3">
      <c r="A317" s="317" t="s">
        <v>168</v>
      </c>
      <c r="B317" s="317"/>
      <c r="C317" s="317"/>
      <c r="D317" s="317"/>
      <c r="E317" s="299"/>
      <c r="F317" s="299"/>
      <c r="G317" s="299"/>
      <c r="H317" s="299"/>
      <c r="I317" s="299"/>
      <c r="J317" s="299"/>
      <c r="K317" s="299"/>
      <c r="L317" s="299"/>
      <c r="M317" s="299"/>
      <c r="N317" s="299"/>
      <c r="O317" s="299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 1'!C346,'Gebouwgegevens Allacker'!$A$35:$F$46,5,0)</f>
        <v>#N/A</v>
      </c>
      <c r="H346" s="122" t="e">
        <f>VLOOKUP('Verwarming Tabula 2zone Ref 1'!D346,'Gebouwgegevens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 1'!C347,'Gebouwgegevens Allacker'!$A$35:$F$46,5,0)</f>
        <v>#N/A</v>
      </c>
      <c r="H347" s="122" t="e">
        <f>VLOOKUP('Verwarming Tabula 2zone Ref 1'!D347,'Gebouwgegevens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 1'!C348,'Gebouwgegevens Allacker'!$A$35:$F$46,5,0)</f>
        <v>#N/A</v>
      </c>
      <c r="H348" s="122" t="e">
        <f>VLOOKUP('Verwarming Tabula 2zone Ref 1'!D348,'Gebouwgegevens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 1'!C349,'Gebouwgegevens Allacker'!$A$35:$F$46,5,0)</f>
        <v>#N/A</v>
      </c>
      <c r="H349" s="122" t="e">
        <f>VLOOKUP('Verwarming Tabula 2zone Ref 1'!D349,'Gebouwgegevens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 1'!C350,'Gebouwgegevens Allacker'!$A$35:$F$46,5,0)</f>
        <v>#N/A</v>
      </c>
      <c r="H350" s="122" t="e">
        <f>VLOOKUP('Verwarming Tabula 2zone Ref 1'!D350,'Gebouwgegevens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3">
      <c r="A362" s="317" t="s">
        <v>194</v>
      </c>
      <c r="B362" s="317"/>
      <c r="C362" s="317"/>
      <c r="D362" s="125" t="s">
        <v>222</v>
      </c>
      <c r="E362" s="299"/>
      <c r="F362" s="299"/>
      <c r="G362" s="299"/>
      <c r="H362" s="299"/>
      <c r="I362" s="299"/>
      <c r="J362" s="299"/>
      <c r="K362" s="299"/>
      <c r="L362" s="299"/>
      <c r="M362" s="299"/>
      <c r="N362" s="299"/>
      <c r="O362" s="299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 2zone Ref 1'!$B$4)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5">
      <c r="A393" s="93"/>
      <c r="B393" s="299"/>
      <c r="C393" s="299"/>
      <c r="D393" s="299"/>
      <c r="E393" s="299"/>
      <c r="F393" s="299"/>
      <c r="G393" s="299"/>
      <c r="H393" s="299"/>
      <c r="I393" s="299"/>
      <c r="J393" s="299"/>
      <c r="K393" s="299"/>
      <c r="L393" s="299"/>
      <c r="M393" s="299"/>
      <c r="N393" s="299"/>
      <c r="O393" s="299"/>
      <c r="P393" s="94"/>
    </row>
    <row r="394" spans="1:16" ht="17.25" customHeight="1" thickTop="1" thickBot="1" x14ac:dyDescent="0.4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3">
      <c r="A395" s="317" t="s">
        <v>168</v>
      </c>
      <c r="B395" s="317"/>
      <c r="C395" s="317"/>
      <c r="D395" s="317"/>
      <c r="E395" s="299"/>
      <c r="F395" s="299"/>
      <c r="G395" s="299"/>
      <c r="H395" s="299"/>
      <c r="I395" s="299"/>
      <c r="J395" s="299"/>
      <c r="K395" s="299"/>
      <c r="L395" s="299"/>
      <c r="M395" s="299"/>
      <c r="N395" s="299"/>
      <c r="O395" s="299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 1'!C424,'Gebouwgegevens Allacker'!$A$35:$F$46,5,0)</f>
        <v>#N/A</v>
      </c>
      <c r="H424" s="122" t="e">
        <f>VLOOKUP('Verwarming Tabula 2zone Ref 1'!D424,'Gebouwgegevens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 1'!C425,'Gebouwgegevens Allacker'!$A$35:$F$46,5,0)</f>
        <v>#N/A</v>
      </c>
      <c r="H425" s="122" t="e">
        <f>VLOOKUP('Verwarming Tabula 2zone Ref 1'!D425,'Gebouwgegevens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 1'!C426,'Gebouwgegevens Allacker'!$A$35:$F$46,5,0)</f>
        <v>#N/A</v>
      </c>
      <c r="H426" s="122" t="e">
        <f>VLOOKUP('Verwarming Tabula 2zone Ref 1'!D426,'Gebouwgegevens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 1'!C427,'Gebouwgegevens Allacker'!$A$35:$F$46,5,0)</f>
        <v>#N/A</v>
      </c>
      <c r="H427" s="122" t="e">
        <f>VLOOKUP('Verwarming Tabula 2zone Ref 1'!D427,'Gebouwgegevens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 1'!C428,'Gebouwgegevens Allacker'!$A$35:$F$46,5,0)</f>
        <v>#N/A</v>
      </c>
      <c r="H428" s="122" t="e">
        <f>VLOOKUP('Verwarming Tabula 2zone Ref 1'!D428,'Gebouwgegevens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3">
      <c r="A440" s="317" t="s">
        <v>194</v>
      </c>
      <c r="B440" s="317"/>
      <c r="C440" s="317"/>
      <c r="D440" s="125" t="s">
        <v>222</v>
      </c>
      <c r="E440" s="299"/>
      <c r="F440" s="299"/>
      <c r="G440" s="299"/>
      <c r="H440" s="299"/>
      <c r="I440" s="299"/>
      <c r="J440" s="299"/>
      <c r="K440" s="299"/>
      <c r="L440" s="299"/>
      <c r="M440" s="299"/>
      <c r="N440" s="299"/>
      <c r="O440" s="299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 2zone Ref 1'!$B$4)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5">
      <c r="A471" s="93"/>
      <c r="B471" s="299"/>
      <c r="C471" s="299"/>
      <c r="D471" s="299"/>
      <c r="E471" s="299"/>
      <c r="F471" s="299"/>
      <c r="G471" s="299"/>
      <c r="H471" s="299"/>
      <c r="I471" s="299"/>
      <c r="J471" s="299"/>
      <c r="K471" s="299"/>
      <c r="L471" s="299"/>
      <c r="M471" s="299"/>
      <c r="N471" s="299"/>
      <c r="O471" s="299"/>
      <c r="P471" s="94"/>
    </row>
    <row r="472" spans="1:16" ht="17.25" customHeight="1" thickTop="1" thickBot="1" x14ac:dyDescent="0.4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3">
      <c r="A473" s="317" t="s">
        <v>168</v>
      </c>
      <c r="B473" s="317"/>
      <c r="C473" s="317"/>
      <c r="D473" s="317"/>
      <c r="E473" s="299"/>
      <c r="F473" s="299"/>
      <c r="G473" s="299"/>
      <c r="H473" s="299"/>
      <c r="I473" s="299"/>
      <c r="J473" s="299"/>
      <c r="K473" s="299"/>
      <c r="L473" s="299"/>
      <c r="M473" s="299"/>
      <c r="N473" s="299"/>
      <c r="O473" s="299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 1'!C502,'Gebouwgegevens Allacker'!$A$35:$F$46,5,0)</f>
        <v>#N/A</v>
      </c>
      <c r="H502" s="122" t="e">
        <f>VLOOKUP('Verwarming Tabula 2zone Ref 1'!D502,'Gebouwgegevens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 1'!C503,'Gebouwgegevens Allacker'!$A$35:$F$46,5,0)</f>
        <v>#N/A</v>
      </c>
      <c r="H503" s="122" t="e">
        <f>VLOOKUP('Verwarming Tabula 2zone Ref 1'!D503,'Gebouwgegevens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 1'!C504,'Gebouwgegevens Allacker'!$A$35:$F$46,5,0)</f>
        <v>#N/A</v>
      </c>
      <c r="H504" s="122" t="e">
        <f>VLOOKUP('Verwarming Tabula 2zone Ref 1'!D504,'Gebouwgegevens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3">
      <c r="A518" s="317" t="s">
        <v>194</v>
      </c>
      <c r="B518" s="317"/>
      <c r="C518" s="317"/>
      <c r="D518" s="125" t="s">
        <v>222</v>
      </c>
      <c r="E518" s="299"/>
      <c r="F518" s="299"/>
      <c r="G518" s="299"/>
      <c r="H518" s="299"/>
      <c r="I518" s="299"/>
      <c r="J518" s="299"/>
      <c r="K518" s="299"/>
      <c r="L518" s="299"/>
      <c r="M518" s="299"/>
      <c r="N518" s="299"/>
      <c r="O518" s="299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 2zone Ref 1'!$B$4)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5">
      <c r="A550" s="93"/>
      <c r="B550" s="299"/>
      <c r="C550" s="299"/>
      <c r="D550" s="299"/>
      <c r="E550" s="299"/>
      <c r="F550" s="299"/>
      <c r="G550" s="299"/>
      <c r="H550" s="299"/>
      <c r="I550" s="299"/>
      <c r="J550" s="299"/>
      <c r="K550" s="299"/>
      <c r="L550" s="299"/>
      <c r="M550" s="299"/>
      <c r="N550" s="299"/>
      <c r="O550" s="299"/>
      <c r="P550" s="94"/>
    </row>
    <row r="551" spans="1:16" ht="17.25" customHeight="1" thickTop="1" thickBot="1" x14ac:dyDescent="0.4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3">
      <c r="A552" s="317" t="s">
        <v>168</v>
      </c>
      <c r="B552" s="317"/>
      <c r="C552" s="317"/>
      <c r="D552" s="317"/>
      <c r="E552" s="299"/>
      <c r="F552" s="299"/>
      <c r="G552" s="299"/>
      <c r="H552" s="299"/>
      <c r="I552" s="299"/>
      <c r="J552" s="299"/>
      <c r="K552" s="299"/>
      <c r="L552" s="299"/>
      <c r="M552" s="299"/>
      <c r="N552" s="299"/>
      <c r="O552" s="299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 1'!C581,'Gebouwgegevens Allacker'!$A$35:$F$46,5,0)</f>
        <v>#N/A</v>
      </c>
      <c r="H581" s="122" t="e">
        <f>VLOOKUP('Verwarming Tabula 2zone Ref 1'!D581,'Gebouwgegevens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 1'!C582,'Gebouwgegevens Allacker'!$A$35:$F$46,5,0)</f>
        <v>#N/A</v>
      </c>
      <c r="H582" s="122" t="e">
        <f>VLOOKUP('Verwarming Tabula 2zone Ref 1'!D582,'Gebouwgegevens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 1'!C583,'Gebouwgegevens Allacker'!$A$35:$F$46,5,0)</f>
        <v>#N/A</v>
      </c>
      <c r="H583" s="122" t="e">
        <f>VLOOKUP('Verwarming Tabula 2zone Ref 1'!D583,'Gebouwgegevens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3">
      <c r="A597" s="317" t="s">
        <v>194</v>
      </c>
      <c r="B597" s="317"/>
      <c r="C597" s="317"/>
      <c r="D597" s="125" t="s">
        <v>222</v>
      </c>
      <c r="E597" s="299"/>
      <c r="F597" s="299"/>
      <c r="G597" s="299"/>
      <c r="H597" s="299"/>
      <c r="I597" s="299"/>
      <c r="J597" s="299"/>
      <c r="K597" s="299"/>
      <c r="L597" s="299"/>
      <c r="M597" s="299"/>
      <c r="N597" s="299"/>
      <c r="O597" s="299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 2zone Ref 1'!$B$4)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5">
      <c r="A629" s="93"/>
      <c r="B629" s="299"/>
      <c r="C629" s="299"/>
      <c r="D629" s="299"/>
      <c r="E629" s="299"/>
      <c r="F629" s="299"/>
      <c r="G629" s="299"/>
      <c r="H629" s="299"/>
      <c r="I629" s="299"/>
      <c r="J629" s="299"/>
      <c r="K629" s="299"/>
      <c r="L629" s="299"/>
      <c r="M629" s="299"/>
      <c r="N629" s="299"/>
      <c r="O629" s="299"/>
      <c r="P629" s="94"/>
    </row>
    <row r="630" spans="1:16" ht="17.25" customHeight="1" thickTop="1" thickBot="1" x14ac:dyDescent="0.4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3">
      <c r="A631" s="317" t="s">
        <v>168</v>
      </c>
      <c r="B631" s="317"/>
      <c r="C631" s="317"/>
      <c r="D631" s="317"/>
      <c r="E631" s="299"/>
      <c r="F631" s="299"/>
      <c r="G631" s="299"/>
      <c r="H631" s="299"/>
      <c r="I631" s="299"/>
      <c r="J631" s="299"/>
      <c r="K631" s="299"/>
      <c r="L631" s="299"/>
      <c r="M631" s="299"/>
      <c r="N631" s="299"/>
      <c r="O631" s="299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 1'!C660,'Gebouwgegevens Allacker'!$A$35:$F$46,5,0)</f>
        <v>#N/A</v>
      </c>
      <c r="H660" s="122" t="e">
        <f>VLOOKUP('Verwarming Tabula 2zone Ref 1'!D660,'Gebouwgegevens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 1'!C661,'Gebouwgegevens Allacker'!$A$35:$F$46,5,0)</f>
        <v>#N/A</v>
      </c>
      <c r="H661" s="122" t="e">
        <f>VLOOKUP('Verwarming Tabula 2zone Ref 1'!D661,'Gebouwgegevens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3">
      <c r="A676" s="317" t="s">
        <v>194</v>
      </c>
      <c r="B676" s="317"/>
      <c r="C676" s="317"/>
      <c r="D676" s="125" t="s">
        <v>222</v>
      </c>
      <c r="E676" s="299"/>
      <c r="F676" s="299"/>
      <c r="G676" s="299"/>
      <c r="H676" s="299"/>
      <c r="I676" s="299"/>
      <c r="J676" s="299"/>
      <c r="K676" s="299"/>
      <c r="L676" s="299"/>
      <c r="M676" s="299"/>
      <c r="N676" s="299"/>
      <c r="O676" s="299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 2zone Ref 1'!$B$4)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5">
      <c r="A708" s="93"/>
      <c r="B708" s="299"/>
      <c r="C708" s="299"/>
      <c r="D708" s="299"/>
      <c r="E708" s="299"/>
      <c r="F708" s="299"/>
      <c r="G708" s="299"/>
      <c r="H708" s="299"/>
      <c r="I708" s="299"/>
      <c r="J708" s="299"/>
      <c r="K708" s="299"/>
      <c r="L708" s="299"/>
      <c r="M708" s="299"/>
      <c r="N708" s="299"/>
      <c r="O708" s="299"/>
      <c r="P708" s="94"/>
    </row>
    <row r="709" spans="1:16" ht="17.25" customHeight="1" thickTop="1" thickBot="1" x14ac:dyDescent="0.4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3">
      <c r="A710" s="317" t="s">
        <v>168</v>
      </c>
      <c r="B710" s="317"/>
      <c r="C710" s="317"/>
      <c r="D710" s="317"/>
      <c r="E710" s="299"/>
      <c r="F710" s="299"/>
      <c r="G710" s="299"/>
      <c r="H710" s="299"/>
      <c r="I710" s="299"/>
      <c r="J710" s="299"/>
      <c r="K710" s="299"/>
      <c r="L710" s="299"/>
      <c r="M710" s="299"/>
      <c r="N710" s="299"/>
      <c r="O710" s="299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 1'!C739,'Gebouwgegevens Allacker'!$A$35:$F$46,5,0)</f>
        <v>#N/A</v>
      </c>
      <c r="H739" s="122" t="e">
        <f>VLOOKUP('Verwarming Tabula 2zone Ref 1'!D739,'Gebouwgegevens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 1'!C740,'Gebouwgegevens Allacker'!$A$35:$F$46,5,0)</f>
        <v>#N/A</v>
      </c>
      <c r="H740" s="122" t="e">
        <f>VLOOKUP('Verwarming Tabula 2zone Ref 1'!D740,'Gebouwgegevens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 1'!C741,'Gebouwgegevens Allacker'!$A$35:$F$46,5,0)</f>
        <v>#N/A</v>
      </c>
      <c r="H741" s="122" t="e">
        <f>VLOOKUP('Verwarming Tabula 2zone Ref 1'!D741,'Gebouwgegevens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 1'!C742,'Gebouwgegevens Allacker'!$A$35:$F$46,5,0)</f>
        <v>#N/A</v>
      </c>
      <c r="H742" s="122" t="e">
        <f>VLOOKUP('Verwarming Tabula 2zone Ref 1'!D742,'Gebouwgegevens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 1'!C743,'Gebouwgegevens Allacker'!$A$35:$F$46,5,0)</f>
        <v>#N/A</v>
      </c>
      <c r="H743" s="122" t="e">
        <f>VLOOKUP('Verwarming Tabula 2zone Ref 1'!D743,'Gebouwgegevens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 1'!C744,'Gebouwgegevens Allacker'!$A$35:$F$46,5,0)</f>
        <v>#N/A</v>
      </c>
      <c r="H744" s="122" t="e">
        <f>VLOOKUP('Verwarming Tabula 2zone Ref 1'!D744,'Gebouwgegevens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 1'!C745,'Gebouwgegevens Allacker'!$A$35:$F$46,5,0)</f>
        <v>#N/A</v>
      </c>
      <c r="H745" s="122" t="e">
        <f>VLOOKUP('Verwarming Tabula 2zone Ref 1'!D745,'Gebouwgegevens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 1'!C746,'Gebouwgegevens Allacker'!$A$35:$F$46,5,0)</f>
        <v>#N/A</v>
      </c>
      <c r="H746" s="122" t="e">
        <f>VLOOKUP('Verwarming Tabula 2zone Ref 1'!D746,'Gebouwgegevens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 1'!C747,'Gebouwgegevens Allacker'!$A$35:$F$46,5,0)</f>
        <v>#N/A</v>
      </c>
      <c r="H747" s="122" t="e">
        <f>VLOOKUP('Verwarming Tabula 2zone Ref 1'!D747,'Gebouwgegevens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 1'!C748,'Gebouwgegevens Allacker'!$A$35:$F$46,5,0)</f>
        <v>#N/A</v>
      </c>
      <c r="H748" s="122" t="e">
        <f>VLOOKUP('Verwarming Tabula 2zone Ref 1'!D748,'Gebouwgegevens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 1'!C749,'Gebouwgegevens Allacker'!$A$35:$F$46,5,0)</f>
        <v>#N/A</v>
      </c>
      <c r="H749" s="122" t="e">
        <f>VLOOKUP('Verwarming Tabula 2zone Ref 1'!D749,'Gebouwgegevens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 1'!C750,'Gebouwgegevens Allacker'!$A$35:$F$46,5,0)</f>
        <v>#N/A</v>
      </c>
      <c r="H750" s="122" t="e">
        <f>VLOOKUP('Verwarming Tabula 2zone Ref 1'!D750,'Gebouwgegevens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3">
      <c r="A755" s="317" t="s">
        <v>194</v>
      </c>
      <c r="B755" s="317"/>
      <c r="C755" s="317"/>
      <c r="D755" s="125" t="s">
        <v>222</v>
      </c>
      <c r="E755" s="299"/>
      <c r="F755" s="299"/>
      <c r="G755" s="299"/>
      <c r="H755" s="299"/>
      <c r="I755" s="299"/>
      <c r="J755" s="299"/>
      <c r="K755" s="299"/>
      <c r="L755" s="299"/>
      <c r="M755" s="299"/>
      <c r="N755" s="299"/>
      <c r="O755" s="299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 2zone Ref 1'!$B$4)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P1" zoomScaleNormal="100" workbookViewId="0">
      <selection activeCell="W9" sqref="W9:W16"/>
    </sheetView>
  </sheetViews>
  <sheetFormatPr defaultColWidth="9.109375" defaultRowHeight="14.4" x14ac:dyDescent="0.3"/>
  <cols>
    <col min="1" max="1025" width="9.109375" style="3"/>
    <col min="1026" max="16384" width="9.109375" style="81"/>
  </cols>
  <sheetData>
    <row r="1" spans="1:26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6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299"/>
      <c r="W4" s="299"/>
      <c r="X4" s="299"/>
      <c r="Y4" s="94"/>
    </row>
    <row r="5" spans="1:26" ht="18" customHeight="1" thickTop="1" thickBot="1" x14ac:dyDescent="0.35">
      <c r="A5" s="93"/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299"/>
      <c r="M5" s="299"/>
      <c r="N5" s="299"/>
      <c r="O5" s="299"/>
      <c r="P5" s="94"/>
      <c r="U5" s="95"/>
      <c r="V5" s="312" t="s">
        <v>165</v>
      </c>
      <c r="W5" s="312"/>
      <c r="X5" s="312"/>
      <c r="Y5" s="96"/>
    </row>
    <row r="6" spans="1:26" ht="18.75" customHeight="1" thickTop="1" thickBot="1" x14ac:dyDescent="0.4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299"/>
      <c r="Y6" s="96"/>
    </row>
    <row r="7" spans="1:26" ht="16.5" customHeight="1" thickTop="1" x14ac:dyDescent="0.3">
      <c r="A7" s="317" t="s">
        <v>168</v>
      </c>
      <c r="B7" s="317"/>
      <c r="C7" s="317"/>
      <c r="D7" s="317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94"/>
      <c r="U7" s="95"/>
      <c r="V7" s="101">
        <f>B6</f>
        <v>1</v>
      </c>
      <c r="W7" s="102">
        <f>B73</f>
        <v>6524.6528697042968</v>
      </c>
      <c r="X7" s="98" t="s">
        <v>169</v>
      </c>
      <c r="Y7" s="96"/>
      <c r="Z7" s="3">
        <f>0.7*W7</f>
        <v>4567.2570087930071</v>
      </c>
    </row>
    <row r="8" spans="1:26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2575.5547265572559</v>
      </c>
      <c r="X8" s="98" t="s">
        <v>169</v>
      </c>
      <c r="Y8" s="96"/>
      <c r="Z8" s="3">
        <f>0.7*W8</f>
        <v>1802.8883085900791</v>
      </c>
    </row>
    <row r="9" spans="1:26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5">
      <c r="A12" s="95"/>
      <c r="B12" s="106" t="str">
        <f>'Tabula 2zone Ref 2'!J6</f>
        <v>W1</v>
      </c>
      <c r="C12" s="107">
        <f>VLOOKUP(B12,'Tabula 2zone Ref 2'!$J$5:$Q$83,3,0)</f>
        <v>1</v>
      </c>
      <c r="D12" s="107" t="str">
        <f>VLOOKUP(B12,'Tabula 2zone Ref 2'!$J$5:$Q$83,4,0)</f>
        <v>Wall External</v>
      </c>
      <c r="E12" s="107">
        <f>VLOOKUP(B12,'Tabula 2zone Ref 2'!$J$5:$Q$83,5,0)</f>
        <v>54.722250000000003</v>
      </c>
      <c r="F12" s="107" t="str">
        <f>VLOOKUP(B12,'Tabula 2zone Ref 2'!$J$5:$Q$83,6,0)</f>
        <v>front</v>
      </c>
      <c r="G12" s="107">
        <f>VLOOKUP(B12,'Tabula 2zone Ref 2'!$J$5:$Q$83,7,0)</f>
        <v>0.22509582884017654</v>
      </c>
      <c r="H12" s="108">
        <f>VLOOKUP(B12,'Tabula 2zone Ref 2'!$J$5:$Q$83,8,0)</f>
        <v>12.317750219749351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5">
      <c r="A13" s="95"/>
      <c r="B13" s="106" t="str">
        <f>'Tabula 2zone Ref 2'!J7</f>
        <v>W2</v>
      </c>
      <c r="C13" s="107">
        <f>VLOOKUP(B13,'Tabula 2zone Ref 2'!$J$5:$Q$83,3,0)</f>
        <v>1</v>
      </c>
      <c r="D13" s="107" t="str">
        <f>VLOOKUP(B13,'Tabula 2zone Ref 2'!$J$5:$Q$83,4,0)</f>
        <v>Wall External</v>
      </c>
      <c r="E13" s="107">
        <f>VLOOKUP(B13,'Tabula 2zone Ref 2'!$J$5:$Q$83,5,0)</f>
        <v>31.657499999999995</v>
      </c>
      <c r="F13" s="107" t="str">
        <f>VLOOKUP(B13,'Tabula 2zone Ref 2'!$J$5:$Q$83,6,0)</f>
        <v>right</v>
      </c>
      <c r="G13" s="107">
        <f>VLOOKUP(B13,'Tabula 2zone Ref 2'!$J$5:$Q$83,7,0)</f>
        <v>0.22509582884017654</v>
      </c>
      <c r="H13" s="108">
        <f>VLOOKUP(B13,'Tabula 2zone Ref 2'!$J$5:$Q$83,8,0)</f>
        <v>7.1259712015078875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5">
      <c r="A14" s="95"/>
      <c r="B14" s="106" t="str">
        <f>'Tabula 2zone Ref 2'!J8</f>
        <v>W3</v>
      </c>
      <c r="C14" s="107">
        <f>VLOOKUP(B14,'Tabula 2zone Ref 2'!$J$5:$Q$83,3,0)</f>
        <v>1</v>
      </c>
      <c r="D14" s="107" t="str">
        <f>VLOOKUP(B14,'Tabula 2zone Ref 2'!$J$5:$Q$83,4,0)</f>
        <v>Wall External</v>
      </c>
      <c r="E14" s="107">
        <f>VLOOKUP(B14,'Tabula 2zone Ref 2'!$J$5:$Q$83,5,0)</f>
        <v>54.722250000000003</v>
      </c>
      <c r="F14" s="107" t="str">
        <f>VLOOKUP(B14,'Tabula 2zone Ref 2'!$J$5:$Q$83,6,0)</f>
        <v>back</v>
      </c>
      <c r="G14" s="107">
        <f>VLOOKUP(B14,'Tabula 2zone Ref 2'!$J$5:$Q$83,7,0)</f>
        <v>0.22509582884017654</v>
      </c>
      <c r="H14" s="108">
        <f>VLOOKUP(B14,'Tabula 2zone Ref 2'!$J$5:$Q$83,8,0)</f>
        <v>12.317750219749351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5">
      <c r="A15" s="95"/>
      <c r="B15" s="106" t="str">
        <f>'Tabula 2zone Ref 2'!J9</f>
        <v>W4</v>
      </c>
      <c r="C15" s="107">
        <f>VLOOKUP(B15,'Tabula 2zone Ref 2'!$J$5:$Q$83,3,0)</f>
        <v>1</v>
      </c>
      <c r="D15" s="107" t="str">
        <f>VLOOKUP(B15,'Tabula 2zone Ref 2'!$J$5:$Q$83,4,0)</f>
        <v>Wall External</v>
      </c>
      <c r="E15" s="107">
        <f>VLOOKUP(B15,'Tabula 2zone Ref 2'!$J$5:$Q$83,5,0)</f>
        <v>31.657499999999995</v>
      </c>
      <c r="F15" s="107" t="str">
        <f>VLOOKUP(B15,'Tabula 2zone Ref 2'!$J$5:$Q$83,6,0)</f>
        <v>left</v>
      </c>
      <c r="G15" s="107">
        <f>VLOOKUP(B15,'Tabula 2zone Ref 2'!$J$5:$Q$83,7,0)</f>
        <v>0.22509582884017654</v>
      </c>
      <c r="H15" s="108">
        <f>VLOOKUP(B15,'Tabula 2zone Ref 2'!$J$5:$Q$83,8,0)</f>
        <v>7.1259712015078875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5">
      <c r="A16" s="95"/>
      <c r="B16" s="106" t="str">
        <f>'Tabula 2zone Ref 2'!J10</f>
        <v>W5</v>
      </c>
      <c r="C16" s="107">
        <f>VLOOKUP(B16,'Tabula 2zone Ref 2'!$J$5:$Q$83,3,0)</f>
        <v>1</v>
      </c>
      <c r="D16" s="107" t="str">
        <f>VLOOKUP(B16,'Tabula 2zone Ref 2'!$J$5:$Q$83,4,0)</f>
        <v>Window</v>
      </c>
      <c r="E16" s="107">
        <f>VLOOKUP(B16,'Tabula 2zone Ref 2'!$J$5:$Q$83,5,0)</f>
        <v>6.93</v>
      </c>
      <c r="F16" s="107" t="str">
        <f>VLOOKUP(B16,'Tabula 2zone Ref 2'!$J$5:$Q$83,6,0)</f>
        <v>front</v>
      </c>
      <c r="G16" s="107">
        <f>VLOOKUP(B16,'Tabula 2zone Ref 2'!$J$5:$Q$83,7,0)</f>
        <v>1.1000000000000001</v>
      </c>
      <c r="H16" s="108">
        <f>VLOOKUP(B16,'Tabula 2zone Ref 2'!$J$5:$Q$83,8,0)</f>
        <v>7.6230000000000002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5">
      <c r="A17" s="95"/>
      <c r="B17" s="106" t="str">
        <f>'Tabula 2zone Ref 2'!J11</f>
        <v>W6</v>
      </c>
      <c r="C17" s="107">
        <f>VLOOKUP(B17,'Tabula 2zone Ref 2'!$J$5:$Q$83,3,0)</f>
        <v>1</v>
      </c>
      <c r="D17" s="107" t="str">
        <f>VLOOKUP(B17,'Tabula 2zone Ref 2'!$J$5:$Q$83,4,0)</f>
        <v>Window</v>
      </c>
      <c r="E17" s="107">
        <f>VLOOKUP(B17,'Tabula 2zone Ref 2'!$J$5:$Q$83,5,0)</f>
        <v>7.77</v>
      </c>
      <c r="F17" s="107" t="str">
        <f>VLOOKUP(B17,'Tabula 2zone Ref 2'!$J$5:$Q$83,6,0)</f>
        <v>right</v>
      </c>
      <c r="G17" s="107">
        <f>VLOOKUP(B17,'Tabula 2zone Ref 2'!$J$5:$Q$83,7,0)</f>
        <v>1.1000000000000001</v>
      </c>
      <c r="H17" s="108">
        <f>VLOOKUP(B17,'Tabula 2zone Ref 2'!$J$5:$Q$83,8,0)</f>
        <v>8.5470000000000006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5">
      <c r="A18" s="95"/>
      <c r="B18" s="106" t="str">
        <f>'Tabula 2zone Ref 2'!J12</f>
        <v>W7</v>
      </c>
      <c r="C18" s="107">
        <f>VLOOKUP(B18,'Tabula 2zone Ref 2'!$J$5:$Q$83,3,0)</f>
        <v>1</v>
      </c>
      <c r="D18" s="107" t="str">
        <f>VLOOKUP(B18,'Tabula 2zone Ref 2'!$J$5:$Q$83,4,0)</f>
        <v>Window</v>
      </c>
      <c r="E18" s="107">
        <f>VLOOKUP(B18,'Tabula 2zone Ref 2'!$J$5:$Q$83,5,0)</f>
        <v>9.1</v>
      </c>
      <c r="F18" s="107" t="str">
        <f>VLOOKUP(B18,'Tabula 2zone Ref 2'!$J$5:$Q$83,6,0)</f>
        <v>back</v>
      </c>
      <c r="G18" s="107">
        <f>VLOOKUP(B18,'Tabula 2zone Ref 2'!$J$5:$Q$83,7,0)</f>
        <v>1.1000000000000001</v>
      </c>
      <c r="H18" s="108">
        <f>VLOOKUP(B18,'Tabula 2zone Ref 2'!$J$5:$Q$83,8,0)</f>
        <v>10.01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9100.2075962615527</v>
      </c>
      <c r="X18" s="299" t="s">
        <v>169</v>
      </c>
      <c r="Y18" s="96"/>
    </row>
    <row r="19" spans="1:25" ht="16.5" customHeight="1" thickTop="1" thickBot="1" x14ac:dyDescent="0.35">
      <c r="A19" s="95"/>
      <c r="B19" s="106" t="str">
        <f>'Tabula 2zone Ref 2'!J13</f>
        <v>W8</v>
      </c>
      <c r="C19" s="107">
        <f>VLOOKUP(B19,'Tabula 2zone Ref 2'!$J$5:$Q$83,3,0)</f>
        <v>1</v>
      </c>
      <c r="D19" s="107" t="str">
        <f>VLOOKUP(B19,'Tabula 2zone Ref 2'!$J$5:$Q$83,4,0)</f>
        <v>Window</v>
      </c>
      <c r="E19" s="107">
        <f>VLOOKUP(B19,'Tabula 2zone Ref 2'!$J$5:$Q$83,5,0)</f>
        <v>7.9799999999999995</v>
      </c>
      <c r="F19" s="107" t="str">
        <f>VLOOKUP(B19,'Tabula 2zone Ref 2'!$J$5:$Q$83,6,0)</f>
        <v>left</v>
      </c>
      <c r="G19" s="107">
        <f>VLOOKUP(B19,'Tabula 2zone Ref 2'!$J$5:$Q$83,7,0)</f>
        <v>1.1000000000000001</v>
      </c>
      <c r="H19" s="108">
        <f>VLOOKUP(B19,'Tabula 2zone Ref 2'!$J$5:$Q$83,8,0)</f>
        <v>8.7780000000000005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5">
      <c r="A21" s="95"/>
      <c r="B21" s="106" t="str">
        <f>'Gebouwgegevens Allacker'!J15</f>
        <v>W10</v>
      </c>
      <c r="C21" s="107">
        <f>VLOOKUP(B21,'Tabula 2zone Ref 2'!$J$5:$Q$83,3,0)</f>
        <v>1</v>
      </c>
      <c r="D21" s="107" t="str">
        <f>VLOOKUP(B21,'Tabula 2zone Ref 2'!$J$5:$Q$83,4,0)</f>
        <v>Roof</v>
      </c>
      <c r="E21" s="107">
        <f>VLOOKUP(B21,'Tabula 2zone Ref 2'!$J$5:$Q$83,5,0)</f>
        <v>0</v>
      </c>
      <c r="F21" s="107">
        <f>VLOOKUP(B21,'Tabula 2zone Ref 2'!$J$5:$Q$83,6,0)</f>
        <v>0</v>
      </c>
      <c r="G21" s="107">
        <f>VLOOKUP(B21,'Tabula 2zone Ref 2'!$J$5:$Q$83,7,0)</f>
        <v>0.16141672417624836</v>
      </c>
      <c r="H21" s="108">
        <f>VLOOKUP(B21,'Tabula 2zone Ref 2'!$J$5:$Q$83,8,0)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7177.1181566747273</v>
      </c>
      <c r="X21" s="98"/>
      <c r="Y21" s="98"/>
    </row>
    <row r="22" spans="1:25" ht="16.5" customHeight="1" thickTop="1" thickBot="1" x14ac:dyDescent="0.35">
      <c r="A22" s="95"/>
      <c r="B22" s="106" t="s">
        <v>67</v>
      </c>
      <c r="C22" s="107">
        <f>VLOOKUP(B22,'Tabula 2zone Ref 2'!$J$5:$Q$83,3,0)</f>
        <v>1</v>
      </c>
      <c r="D22" s="107" t="str">
        <f>VLOOKUP(B22,'Tabula 2zone Ref 2'!$J$5:$Q$83,4,0)</f>
        <v>Door</v>
      </c>
      <c r="E22" s="107">
        <f>VLOOKUP(B22,'Tabula 2zone Ref 2'!$J$5:$Q$83,5,0)</f>
        <v>11.5</v>
      </c>
      <c r="F22" s="107">
        <f>VLOOKUP(B22,'Tabula 2zone Ref 2'!$J$5:$Q$83,6,0)</f>
        <v>0</v>
      </c>
      <c r="G22" s="107">
        <f>VLOOKUP(B22,'Tabula 2zone Ref 2'!$J$5:$Q$83,7,0)</f>
        <v>3.5</v>
      </c>
      <c r="H22" s="108">
        <f>VLOOKUP(B22,'Tabula 2zone Ref 2'!$J$5:$Q$83,8,0)</f>
        <v>40.25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5">
      <c r="A28" s="95"/>
      <c r="B28" s="116" t="s">
        <v>61</v>
      </c>
      <c r="C28" s="117">
        <f>VLOOKUP(B28,'Tabula 2zone Ref 2'!$J$5:$Q$83,3,0)</f>
        <v>1</v>
      </c>
      <c r="D28" s="117" t="str">
        <f>VLOOKUP(B28,'Tabula 2zone Ref 2'!$J$5:$Q$83,4,0)</f>
        <v>Floor</v>
      </c>
      <c r="E28" s="117">
        <f>VLOOKUP(B28,'Tabula 2zone Ref 2'!$J$5:$Q$83,5,0)</f>
        <v>138.80000000000001</v>
      </c>
      <c r="F28" s="117">
        <f>VLOOKUP(B28,'Tabula 2zone Ref 2'!$J$5:$Q$83,7,0)</f>
        <v>0.22994798795510538</v>
      </c>
      <c r="G28" s="118">
        <f>VLOOKUP(B28,'Tabula 2zone Ref 2'!$J$5:$Q$83,8,0)</f>
        <v>31.916780728168629</v>
      </c>
      <c r="H28" s="118">
        <f>N28/F28*1.45*(G34-12)/(G34+8)</f>
        <v>0.33873174055008876</v>
      </c>
      <c r="I28" s="117">
        <f>'Tabula 2zone Ref 2'!N14</f>
        <v>138.80000000000001</v>
      </c>
      <c r="J28" s="116">
        <f>SQRT(I28)*4</f>
        <v>47.125364720074053</v>
      </c>
      <c r="K28" s="116">
        <f>SUM('Tabula 2zone Ref 2'!Y17:Y19)</f>
        <v>0.16500000000000001</v>
      </c>
      <c r="L28" s="119">
        <f>I28/(0.5*J28)</f>
        <v>5.8906705900092566</v>
      </c>
      <c r="M28" s="119">
        <f>K28+2*(1/F28)</f>
        <v>8.862619047619047</v>
      </c>
      <c r="N28" s="120">
        <f>IF(M28&lt;L28,2*2/(PI()*L28+M28)*LN(PI()*L28/M28+1),2/(0.457*L28+M28))</f>
        <v>0.17309040488005265</v>
      </c>
      <c r="O28" s="98"/>
      <c r="P28" s="96"/>
    </row>
    <row r="29" spans="1:25" ht="15.75" customHeight="1" thickTop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10010.228355887708</v>
      </c>
    </row>
    <row r="32" spans="1:25" ht="15.75" customHeight="1" thickBot="1" x14ac:dyDescent="0.3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5">
      <c r="A33" s="95"/>
      <c r="B33" s="121" t="s">
        <v>98</v>
      </c>
      <c r="C33" s="122">
        <f>IF(VLOOKUP(B33,'Tabula 2zone Ref 2'!$J$5:$Q$83,2,0)=B$6,VLOOKUP(B33,'Tabula 2zone Ref 2'!$J$5:$Q$83,2,0),VLOOKUP(B33,'Tabula 2zone Ref 2'!$J$5:$Q$83,3,0))</f>
        <v>1</v>
      </c>
      <c r="D33" s="122">
        <f>IF(VLOOKUP(B33,'Tabula 2zone Ref 2'!$J$5:$Q$83,2,0)=B$6,VLOOKUP(B33,'Tabula 2zone Ref 2'!$J$5:$Q$83,3,0),VLOOKUP(B33,'Tabula 2zone Ref 2'!$J$5:$Q$83,2,0))</f>
        <v>2</v>
      </c>
      <c r="E33" s="122" t="str">
        <f>VLOOKUP(B33,'Tabula 2zone Ref 2'!$J$5:$Q$83,4,0)</f>
        <v>Floor internal</v>
      </c>
      <c r="F33" s="122">
        <f>VLOOKUP(B33,'Tabula 2zone Ref 2'!$J$5:$Q$83,5,0)</f>
        <v>119.59999999999997</v>
      </c>
      <c r="G33" s="122">
        <f>VLOOKUP('Verwarming Tabula 2zone Ref 2'!C33,'Tabula 2zone Ref 2'!$A$34:$F$45,5,0)</f>
        <v>21</v>
      </c>
      <c r="H33" s="122">
        <f>VLOOKUP('Verwarming Tabula 2zone Ref 2'!D33,'Tabula 2zone Ref 2'!$A$34:$F$45,5,0)</f>
        <v>18</v>
      </c>
      <c r="I33" s="122">
        <f>VLOOKUP(B33,'Tabula 2zone Ref 2'!$J$5:$Q$83,7,0)</f>
        <v>1.4549653579676673</v>
      </c>
      <c r="J33" s="118">
        <f>VLOOKUP(B33,'Tabula 2zone Ref 2'!$J$5:$Q$83,8,0)</f>
        <v>174.01385681293297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5">
      <c r="A34" s="95"/>
      <c r="B34" s="121" t="s">
        <v>101</v>
      </c>
      <c r="C34" s="122">
        <f>IF(VLOOKUP(B34,'Tabula 2zone Ref 2'!$J$5:$Q$83,2,0)=B$6,VLOOKUP(B34,'Tabula 2zone Ref 2'!$J$5:$Q$83,2,0),VLOOKUP(B34,'Tabula 2zone Ref 2'!$J$5:$Q$83,3,0))</f>
        <v>1</v>
      </c>
      <c r="D34" s="122">
        <f>IF(VLOOKUP(B34,'Tabula 2zone Ref 2'!$J$5:$Q$83,2,0)=B$6,VLOOKUP(B34,'Tabula 2zone Ref 2'!$J$5:$Q$83,3,0),VLOOKUP(B34,'Tabula 2zone Ref 2'!$J$5:$Q$83,2,0))</f>
        <v>1</v>
      </c>
      <c r="E34" s="122" t="str">
        <f>VLOOKUP(B34,'Tabula 2zone Ref 2'!$J$5:$Q$83,4,0)</f>
        <v>Wall internal</v>
      </c>
      <c r="F34" s="122">
        <f>VLOOKUP(B34,'Tabula 2zone Ref 2'!$J$5:$Q$83,5,0)</f>
        <v>172.7595</v>
      </c>
      <c r="G34" s="122">
        <f>VLOOKUP('Verwarming Tabula 2zone Ref 2'!C34,'Tabula 2zone Ref 2'!$A$34:$F$45,5,0)</f>
        <v>21</v>
      </c>
      <c r="H34" s="122">
        <f>VLOOKUP('Verwarming Tabula 2zone Ref 2'!D34,'Tabula 2zone Ref 2'!$A$34:$F$45,5,0)</f>
        <v>21</v>
      </c>
      <c r="I34" s="122">
        <f>VLOOKUP(B34,'Tabula 2zone Ref 2'!$J$5:$Q$83,7,0)</f>
        <v>1.7363344051446945</v>
      </c>
      <c r="J34" s="118">
        <f>VLOOKUP(B34,'Tabula 2zone Ref 2'!$J$5:$Q$83,8,0)</f>
        <v>299.96826366559486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SUMPRODUCT(H12:H22,I12:I22)+SUMPRODUCT(G28,H28)+SUMPRODUCT(J33:J38,K33:K38)</f>
        <v>142.90810299472943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4144.3349868471532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3">
      <c r="A45" s="317" t="s">
        <v>194</v>
      </c>
      <c r="B45" s="317"/>
      <c r="C45" s="317"/>
      <c r="D45" s="125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5">
      <c r="A48" s="127" t="s">
        <v>196</v>
      </c>
      <c r="B48" s="121">
        <f>'Tabula data'!F28</f>
        <v>1.9637579169598873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3">
      <c r="A51" s="124" t="s">
        <v>202</v>
      </c>
      <c r="B51" s="118">
        <f>VLOOKUP(B6,'Tabula 2zone Ref 2'!$A$34:$F$45,2,0)*B48/20</f>
        <v>47.699679802955671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'Tabula 2zone Ref 2'!G34</f>
        <v>138.80000000000001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f>0.4*(1-F55)*'Tabula 2zone Ref 2'!B34</f>
        <v>38.863999999999997</v>
      </c>
      <c r="C55" s="118" t="s">
        <v>203</v>
      </c>
      <c r="D55" s="98"/>
      <c r="E55" s="98" t="s">
        <v>206</v>
      </c>
      <c r="F55" s="98">
        <v>0.8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86.563679802955676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0.41713013465057042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29.43165113300493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853.51788285714292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5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5">
      <c r="A66" s="127" t="s">
        <v>113</v>
      </c>
      <c r="B66" s="121">
        <f>'Tabula 2zone Ref 2'!B7</f>
        <v>138.80000000000001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3">
      <c r="A67" s="124" t="s">
        <v>213</v>
      </c>
      <c r="B67" s="118">
        <f>B68/('Gebouwgegevens Tabula'!E35-'Verwarming Tabula 2zone Ref 2'!$B$4)</f>
        <v>52.648275862068971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1526.8000000000002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3">
      <c r="A72" s="124" t="s">
        <v>215</v>
      </c>
      <c r="B72" s="118">
        <f>SUM(B42,B60,B67)</f>
        <v>224.98802998980332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6524.6528697042968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5">
      <c r="A77" s="93"/>
      <c r="B77" s="299"/>
      <c r="C77" s="299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94"/>
    </row>
    <row r="78" spans="1:16" ht="17.25" customHeight="1" thickTop="1" thickBot="1" x14ac:dyDescent="0.4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3">
      <c r="A79" s="317" t="s">
        <v>168</v>
      </c>
      <c r="B79" s="317"/>
      <c r="C79" s="317"/>
      <c r="D79" s="317"/>
      <c r="E79" s="299"/>
      <c r="F79" s="299"/>
      <c r="G79" s="299"/>
      <c r="H79" s="299"/>
      <c r="I79" s="299"/>
      <c r="J79" s="299"/>
      <c r="K79" s="299"/>
      <c r="L79" s="299"/>
      <c r="M79" s="299"/>
      <c r="N79" s="299"/>
      <c r="O79" s="299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5">
      <c r="A84" s="95"/>
      <c r="B84" s="106" t="s">
        <v>71</v>
      </c>
      <c r="C84" s="107">
        <f>VLOOKUP(B84,'Tabula 2zone Ref 2'!$J$5:$Q$83,3,0)</f>
        <v>2</v>
      </c>
      <c r="D84" s="107" t="str">
        <f>VLOOKUP(B84,'Tabula 2zone Ref 2'!$J$5:$Q$83,4,0)</f>
        <v>Wall External</v>
      </c>
      <c r="E84" s="107">
        <f>VLOOKUP(B84,'Tabula 2zone Ref 2'!$J$5:$Q$83,5,0)</f>
        <v>0.55275000000000052</v>
      </c>
      <c r="F84" s="107" t="str">
        <f>VLOOKUP(B84,'Tabula 2zone Ref 2'!$J$5:$Q$83,6,0)</f>
        <v>front</v>
      </c>
      <c r="G84" s="107">
        <f>VLOOKUP(B84,'Tabula 2zone Ref 2'!$J$5:$Q$83,7,0)</f>
        <v>0.22509582884017654</v>
      </c>
      <c r="H84" s="108">
        <f>VLOOKUP(B84,'Tabula 2zone Ref 2'!$J$5:$Q$83,8,0)</f>
        <v>0.1244217193914077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5">
      <c r="A85" s="95"/>
      <c r="B85" s="106" t="s">
        <v>75</v>
      </c>
      <c r="C85" s="107">
        <f>VLOOKUP(B85,'Tabula 2zone Ref 2'!$J$5:$Q$83,3,0)</f>
        <v>2</v>
      </c>
      <c r="D85" s="107" t="str">
        <f>VLOOKUP(B85,'Tabula 2zone Ref 2'!$J$5:$Q$83,4,0)</f>
        <v>Wall External</v>
      </c>
      <c r="E85" s="107">
        <f>VLOOKUP(B85,'Tabula 2zone Ref 2'!$J$5:$Q$83,5,0)</f>
        <v>13.567500000000001</v>
      </c>
      <c r="F85" s="107" t="str">
        <f>VLOOKUP(B85,'Tabula 2zone Ref 2'!$J$5:$Q$83,6,0)</f>
        <v>right</v>
      </c>
      <c r="G85" s="107">
        <f>VLOOKUP(B85,'Tabula 2zone Ref 2'!$J$5:$Q$83,7,0)</f>
        <v>0.22509582884017654</v>
      </c>
      <c r="H85" s="108">
        <f>VLOOKUP(B85,'Tabula 2zone Ref 2'!$J$5:$Q$83,8,0)</f>
        <v>3.0539876577890954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5">
      <c r="A86" s="95"/>
      <c r="B86" s="106" t="s">
        <v>79</v>
      </c>
      <c r="C86" s="107">
        <f>VLOOKUP(B86,'Tabula 2zone Ref 2'!$J$5:$Q$83,3,0)</f>
        <v>2</v>
      </c>
      <c r="D86" s="107" t="str">
        <f>VLOOKUP(B86,'Tabula 2zone Ref 2'!$J$5:$Q$83,4,0)</f>
        <v>Wall External</v>
      </c>
      <c r="E86" s="107">
        <f>VLOOKUP(B86,'Tabula 2zone Ref 2'!$J$5:$Q$83,5,0)</f>
        <v>0.55275000000000052</v>
      </c>
      <c r="F86" s="107" t="str">
        <f>VLOOKUP(B86,'Tabula 2zone Ref 2'!$J$5:$Q$83,6,0)</f>
        <v>back</v>
      </c>
      <c r="G86" s="107">
        <f>VLOOKUP(B86,'Tabula 2zone Ref 2'!$J$5:$Q$83,7,0)</f>
        <v>0.22509582884017654</v>
      </c>
      <c r="H86" s="108">
        <f>VLOOKUP(B86,'Tabula 2zone Ref 2'!$J$5:$Q$83,8,0)</f>
        <v>0.1244217193914077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5">
      <c r="A87" s="95"/>
      <c r="B87" s="106" t="s">
        <v>82</v>
      </c>
      <c r="C87" s="107">
        <f>VLOOKUP(B87,'Tabula 2zone Ref 2'!$J$5:$Q$83,3,0)</f>
        <v>2</v>
      </c>
      <c r="D87" s="107" t="str">
        <f>VLOOKUP(B87,'Tabula 2zone Ref 2'!$J$5:$Q$83,4,0)</f>
        <v>Wall External</v>
      </c>
      <c r="E87" s="107">
        <f>VLOOKUP(B87,'Tabula 2zone Ref 2'!$J$5:$Q$83,5,0)</f>
        <v>13.567500000000001</v>
      </c>
      <c r="F87" s="107" t="str">
        <f>VLOOKUP(B87,'Tabula 2zone Ref 2'!$J$5:$Q$83,6,0)</f>
        <v>left</v>
      </c>
      <c r="G87" s="107">
        <f>VLOOKUP(B87,'Tabula 2zone Ref 2'!$J$5:$Q$83,7,0)</f>
        <v>0.22509582884017654</v>
      </c>
      <c r="H87" s="108">
        <f>VLOOKUP(B87,'Tabula 2zone Ref 2'!$J$5:$Q$83,8,0)</f>
        <v>3.0539876577890954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5">
      <c r="A88" s="95"/>
      <c r="B88" s="106" t="s">
        <v>84</v>
      </c>
      <c r="C88" s="107">
        <f>VLOOKUP(B88,'Tabula 2zone Ref 2'!$J$5:$Q$83,3,0)</f>
        <v>2</v>
      </c>
      <c r="D88" s="107" t="str">
        <f>VLOOKUP(B88,'Tabula 2zone Ref 2'!$J$5:$Q$83,4,0)</f>
        <v>Window</v>
      </c>
      <c r="E88" s="107">
        <f>VLOOKUP(B88,'Tabula 2zone Ref 2'!$J$5:$Q$83,5,0)</f>
        <v>2.9700000000000006</v>
      </c>
      <c r="F88" s="107" t="str">
        <f>VLOOKUP(B88,'Tabula 2zone Ref 2'!$J$5:$Q$83,6,0)</f>
        <v>front</v>
      </c>
      <c r="G88" s="107">
        <f>VLOOKUP(B88,'Tabula 2zone Ref 2'!$J$5:$Q$83,7,0)</f>
        <v>1.1000000000000001</v>
      </c>
      <c r="H88" s="108">
        <f>VLOOKUP(B88,'Tabula 2zone Ref 2'!$J$5:$Q$83,8,0)</f>
        <v>3.2670000000000008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5">
      <c r="A89" s="95"/>
      <c r="B89" s="106" t="s">
        <v>87</v>
      </c>
      <c r="C89" s="107">
        <f>VLOOKUP(B89,'Tabula 2zone Ref 2'!$J$5:$Q$83,3,0)</f>
        <v>2</v>
      </c>
      <c r="D89" s="107" t="str">
        <f>VLOOKUP(B89,'Tabula 2zone Ref 2'!$J$5:$Q$83,4,0)</f>
        <v>Window</v>
      </c>
      <c r="E89" s="107">
        <f>VLOOKUP(B89,'Tabula 2zone Ref 2'!$J$5:$Q$83,5,0)</f>
        <v>3.3300000000000005</v>
      </c>
      <c r="F89" s="107" t="str">
        <f>VLOOKUP(B89,'Tabula 2zone Ref 2'!$J$5:$Q$83,6,0)</f>
        <v>right</v>
      </c>
      <c r="G89" s="107">
        <f>VLOOKUP(B89,'Tabula 2zone Ref 2'!$J$5:$Q$83,7,0)</f>
        <v>1.1000000000000001</v>
      </c>
      <c r="H89" s="108">
        <f>VLOOKUP(B89,'Tabula 2zone Ref 2'!$J$5:$Q$83,8,0)</f>
        <v>3.6630000000000007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5">
      <c r="A90" s="95"/>
      <c r="B90" s="106" t="s">
        <v>89</v>
      </c>
      <c r="C90" s="107">
        <f>VLOOKUP(B90,'Tabula 2zone Ref 2'!$J$5:$Q$83,3,0)</f>
        <v>2</v>
      </c>
      <c r="D90" s="107" t="str">
        <f>VLOOKUP(B90,'Tabula 2zone Ref 2'!$J$5:$Q$83,4,0)</f>
        <v>Window</v>
      </c>
      <c r="E90" s="107">
        <f>VLOOKUP(B90,'Tabula 2zone Ref 2'!$J$5:$Q$83,5,0)</f>
        <v>3.9000000000000004</v>
      </c>
      <c r="F90" s="107" t="str">
        <f>VLOOKUP(B90,'Tabula 2zone Ref 2'!$J$5:$Q$83,6,0)</f>
        <v>back</v>
      </c>
      <c r="G90" s="107">
        <f>VLOOKUP(B90,'Tabula 2zone Ref 2'!$J$5:$Q$83,7,0)</f>
        <v>1.1000000000000001</v>
      </c>
      <c r="H90" s="108">
        <f>VLOOKUP(B90,'Tabula 2zone Ref 2'!$J$5:$Q$83,8,0)</f>
        <v>4.2900000000000009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5">
      <c r="A91" s="95"/>
      <c r="B91" s="106" t="s">
        <v>92</v>
      </c>
      <c r="C91" s="107">
        <f>VLOOKUP(B91,'Tabula 2zone Ref 2'!$J$5:$Q$83,3,0)</f>
        <v>2</v>
      </c>
      <c r="D91" s="107" t="str">
        <f>VLOOKUP(B91,'Tabula 2zone Ref 2'!$J$5:$Q$83,4,0)</f>
        <v>Window</v>
      </c>
      <c r="E91" s="107">
        <f>VLOOKUP(B91,'Tabula 2zone Ref 2'!$J$5:$Q$83,5,0)</f>
        <v>3.4200000000000008</v>
      </c>
      <c r="F91" s="107" t="str">
        <f>VLOOKUP(B91,'Tabula 2zone Ref 2'!$J$5:$Q$83,6,0)</f>
        <v>left</v>
      </c>
      <c r="G91" s="107">
        <f>VLOOKUP(B91,'Tabula 2zone Ref 2'!$J$5:$Q$83,7,0)</f>
        <v>1.1000000000000001</v>
      </c>
      <c r="H91" s="108">
        <f>VLOOKUP(B91,'Tabula 2zone Ref 2'!$J$5:$Q$83,8,0)</f>
        <v>3.7620000000000013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5">
      <c r="A92" s="95"/>
      <c r="B92" s="106" t="s">
        <v>96</v>
      </c>
      <c r="C92" s="107">
        <f>VLOOKUP(B92,'Tabula 2zone Ref 2'!$J$5:$Q$83,3,0)</f>
        <v>2</v>
      </c>
      <c r="D92" s="107" t="str">
        <f>VLOOKUP(B92,'Tabula 2zone Ref 2'!$J$5:$Q$83,4,0)</f>
        <v>Roof</v>
      </c>
      <c r="E92" s="107">
        <f>VLOOKUP(B92,'Tabula 2zone Ref 2'!$J$5:$Q$83,5,0)</f>
        <v>161.6</v>
      </c>
      <c r="F92" s="107" t="str">
        <f>VLOOKUP(B92,'Tabula 2zone Ref 2'!$J$5:$Q$83,6,0)</f>
        <v>front/back</v>
      </c>
      <c r="G92" s="107">
        <f>VLOOKUP(B92,'Tabula 2zone Ref 2'!$J$5:$Q$83,7,0)</f>
        <v>0.16141672417624836</v>
      </c>
      <c r="H92" s="108">
        <f>VLOOKUP(B92,'Tabula 2zone Ref 2'!$J$5:$Q$83,8,0)</f>
        <v>26.084942626881734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5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5">
      <c r="A108" s="95"/>
      <c r="B108" s="121" t="s">
        <v>98</v>
      </c>
      <c r="C108" s="122">
        <f>IF(VLOOKUP(B108,'Tabula 2zone Ref 2'!$J$5:$Q$83,2,0)=$B$78,VLOOKUP(B108,'Tabula 2zone Ref 2'!$J$5:$Q$83,2,0),VLOOKUP(B108,'Tabula 2zone Ref 2'!$J$5:$Q$83,3,0))</f>
        <v>2</v>
      </c>
      <c r="D108" s="122">
        <f>IF(VLOOKUP(B108,'Tabula 2zone Ref 2'!$J$5:$Q$83,2,0)=$B$78,VLOOKUP(B108,'Tabula 2zone Ref 2'!$J$5:$Q$83,3,0),VLOOKUP(B108,'Tabula 2zone Ref 2'!$J$5:$Q$83,2,0))</f>
        <v>1</v>
      </c>
      <c r="E108" s="122" t="str">
        <f>VLOOKUP(B108,'Tabula 2zone Ref 2'!$J$5:$Q$83,4,0)</f>
        <v>Floor internal</v>
      </c>
      <c r="F108" s="122">
        <f>VLOOKUP(B108,'Tabula 2zone Ref 2'!$J$5:$Q$83,5,0)</f>
        <v>119.59999999999997</v>
      </c>
      <c r="G108" s="122">
        <f>VLOOKUP('Verwarming Tabula 2zone Ref 2'!C108,'Tabula 2zone Ref 2'!$A$34:$F$45,5,0)</f>
        <v>18</v>
      </c>
      <c r="H108" s="122">
        <f>VLOOKUP('Verwarming Tabula 2zone Ref 2'!D108,'Tabula 2zone Ref 2'!$A$34:$F$45,5,0)</f>
        <v>21</v>
      </c>
      <c r="I108" s="122">
        <f>VLOOKUP(B108,'Tabula 2zone Ref 2'!$J$5:$Q$83,7,0)</f>
        <v>1.4549653579676673</v>
      </c>
      <c r="J108" s="118">
        <f>VLOOKUP(B108,'Tabula 2zone Ref 2'!$J$5:$Q$83,8,0)</f>
        <v>174.01385681293297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5">
      <c r="A109" s="95"/>
      <c r="B109" s="121" t="s">
        <v>102</v>
      </c>
      <c r="C109" s="122">
        <f>IF(VLOOKUP(B109,'Tabula 2zone Ref 2'!$J$5:$Q$83,2,0)=$B$78,VLOOKUP(B109,'Tabula 2zone Ref 2'!$J$5:$Q$83,2,0),VLOOKUP(B109,'Tabula 2zone Ref 2'!$J$5:$Q$83,3,0))</f>
        <v>2</v>
      </c>
      <c r="D109" s="122">
        <f>IF(VLOOKUP(B109,'Tabula 2zone Ref 2'!$J$5:$Q$83,2,0)=$B$78,VLOOKUP(B109,'Tabula 2zone Ref 2'!$J$5:$Q$83,3,0),VLOOKUP(B109,'Tabula 2zone Ref 2'!$J$5:$Q$83,2,0))</f>
        <v>2</v>
      </c>
      <c r="E109" s="122" t="str">
        <f>VLOOKUP(B109,'Tabula 2zone Ref 2'!$J$5:$Q$83,4,0)</f>
        <v>Wall internal</v>
      </c>
      <c r="F109" s="122">
        <f>VLOOKUP(B109,'Tabula 2zone Ref 2'!$J$5:$Q$83,5,0)</f>
        <v>28.240500000000004</v>
      </c>
      <c r="G109" s="122">
        <f>VLOOKUP('Verwarming Tabula 2zone Ref 2'!C109,'Tabula 2zone Ref 2'!$A$34:$F$45,5,0)</f>
        <v>18</v>
      </c>
      <c r="H109" s="122">
        <f>VLOOKUP('Verwarming Tabula 2zone Ref 2'!D109,'Tabula 2zone Ref 2'!$A$34:$F$45,5,0)</f>
        <v>18</v>
      </c>
      <c r="I109" s="122">
        <f>VLOOKUP(B109,'Tabula 2zone Ref 2'!$J$5:$Q$83,7,0)</f>
        <v>1.7363344051446945</v>
      </c>
      <c r="J109" s="118">
        <f>VLOOKUP(B109,'Tabula 2zone Ref 2'!$J$5:$Q$83,8,0)</f>
        <v>49.034951768488753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5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5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5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>
        <f>SUMPRODUCT(H84:H95,I84:I95)+SUMPRODUCT(G100:G104,H100:H104)+SUMPRODUCT(J108:J117,K108:K117)</f>
        <v>27.345239441288935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>
        <f>B121*(G109-$B$4)</f>
        <v>710.97622547351227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3">
      <c r="A124" s="317" t="s">
        <v>194</v>
      </c>
      <c r="B124" s="317"/>
      <c r="C124" s="317"/>
      <c r="D124" s="125" t="s">
        <v>222</v>
      </c>
      <c r="E124" s="299"/>
      <c r="F124" s="299"/>
      <c r="G124" s="299"/>
      <c r="H124" s="299"/>
      <c r="I124" s="299"/>
      <c r="J124" s="299"/>
      <c r="K124" s="299"/>
      <c r="L124" s="299"/>
      <c r="M124" s="299"/>
      <c r="N124" s="299"/>
      <c r="O124" s="299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5">
      <c r="A127" s="127" t="s">
        <v>196</v>
      </c>
      <c r="B127" s="121">
        <f>B48</f>
        <v>1.9637579169598873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3">
      <c r="A130" s="124" t="s">
        <v>202</v>
      </c>
      <c r="B130" s="118">
        <f>VLOOKUP(B78,'Tabula 2zone Ref 2'!$A$34:$F$45,2,0)*B127/20</f>
        <v>22.062820197044328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'Tabula 2zone Ref 2'!G35</f>
        <v>119.59999999999997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f>0.4*(1-F55)*'Tabula 2zone Ref 2'!B35</f>
        <v>17.975999999999992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SUM(B130,B134)</f>
        <v>40.038820197044316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0.25104597334623491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0.34*(B137+B130)</f>
        <v>21.114557733990143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B139*(G109-$B$4)</f>
        <v>548.97850108374371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5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5">
      <c r="A145" s="127" t="s">
        <v>113</v>
      </c>
      <c r="B145" s="121">
        <f>B133</f>
        <v>119.59999999999997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3">
      <c r="A146" s="124" t="s">
        <v>213</v>
      </c>
      <c r="B146" s="118">
        <f>B147/('Gebouwgegevens Allacker'!E100-'Verwarming Tabula 2zone Ref 2'!$B$4)</f>
        <v>164.44999999999996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1315.5999999999997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3">
      <c r="A151" s="124" t="s">
        <v>215</v>
      </c>
      <c r="B151" s="118">
        <f>SUM(B121,B139,B146)</f>
        <v>212.90979717527904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>
        <f>SUM(B122,B140,B147)</f>
        <v>2575.5547265572559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5">
      <c r="A157" s="93"/>
      <c r="B157" s="299"/>
      <c r="C157" s="299"/>
      <c r="D157" s="299"/>
      <c r="E157" s="299"/>
      <c r="F157" s="299"/>
      <c r="G157" s="299"/>
      <c r="H157" s="299"/>
      <c r="I157" s="299"/>
      <c r="J157" s="299"/>
      <c r="K157" s="299"/>
      <c r="L157" s="299"/>
      <c r="M157" s="299"/>
      <c r="N157" s="299"/>
      <c r="O157" s="299"/>
      <c r="P157" s="94"/>
    </row>
    <row r="158" spans="1:16" ht="17.25" customHeight="1" thickTop="1" thickBot="1" x14ac:dyDescent="0.4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3">
      <c r="A159" s="317" t="s">
        <v>168</v>
      </c>
      <c r="B159" s="317"/>
      <c r="C159" s="317"/>
      <c r="D159" s="317"/>
      <c r="E159" s="299"/>
      <c r="F159" s="299"/>
      <c r="G159" s="299"/>
      <c r="H159" s="299"/>
      <c r="I159" s="299"/>
      <c r="J159" s="299"/>
      <c r="K159" s="299"/>
      <c r="L159" s="299"/>
      <c r="M159" s="299"/>
      <c r="N159" s="299"/>
      <c r="O159" s="299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 2'!C188,'Gebouwgegevens Allacker'!$A$35:$F$46,5,0)</f>
        <v>#N/A</v>
      </c>
      <c r="H188" s="122" t="e">
        <f>VLOOKUP('Verwarming Tabula 2zone Ref 2'!D188,'Gebouwgegevens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 2'!C189,'Gebouwgegevens Allacker'!$A$35:$F$46,5,0)</f>
        <v>#N/A</v>
      </c>
      <c r="H189" s="122" t="e">
        <f>VLOOKUP('Verwarming Tabula 2zone Ref 2'!D189,'Gebouwgegevens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 2'!C190,'Gebouwgegevens Allacker'!$A$35:$F$46,5,0)</f>
        <v>#N/A</v>
      </c>
      <c r="H190" s="122" t="e">
        <f>VLOOKUP('Verwarming Tabula 2zone Ref 2'!D190,'Gebouwgegevens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3">
      <c r="A204" s="317" t="s">
        <v>194</v>
      </c>
      <c r="B204" s="317"/>
      <c r="C204" s="317"/>
      <c r="D204" s="125" t="s">
        <v>222</v>
      </c>
      <c r="E204" s="299"/>
      <c r="F204" s="299"/>
      <c r="G204" s="299"/>
      <c r="H204" s="299"/>
      <c r="I204" s="299"/>
      <c r="J204" s="299"/>
      <c r="K204" s="299"/>
      <c r="L204" s="299"/>
      <c r="M204" s="299"/>
      <c r="N204" s="299"/>
      <c r="O204" s="299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 2zone Ref 2'!$B$4)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5">
      <c r="A236" s="93"/>
      <c r="B236" s="299"/>
      <c r="C236" s="299"/>
      <c r="D236" s="299"/>
      <c r="E236" s="299"/>
      <c r="F236" s="299"/>
      <c r="G236" s="299"/>
      <c r="H236" s="299"/>
      <c r="I236" s="299"/>
      <c r="J236" s="299"/>
      <c r="K236" s="299"/>
      <c r="L236" s="299"/>
      <c r="M236" s="299"/>
      <c r="N236" s="299"/>
      <c r="O236" s="299"/>
      <c r="P236" s="94"/>
    </row>
    <row r="237" spans="1:16" ht="17.25" customHeight="1" thickTop="1" thickBot="1" x14ac:dyDescent="0.4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3">
      <c r="A238" s="317" t="s">
        <v>168</v>
      </c>
      <c r="B238" s="317"/>
      <c r="C238" s="317"/>
      <c r="D238" s="317"/>
      <c r="E238" s="299"/>
      <c r="F238" s="299"/>
      <c r="G238" s="299"/>
      <c r="H238" s="299"/>
      <c r="I238" s="299"/>
      <c r="J238" s="299"/>
      <c r="K238" s="299"/>
      <c r="L238" s="299"/>
      <c r="M238" s="299"/>
      <c r="N238" s="299"/>
      <c r="O238" s="299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 2'!C267,'Gebouwgegevens Allacker'!$A$35:$F$46,5,0)</f>
        <v>#N/A</v>
      </c>
      <c r="H267" s="122" t="e">
        <f>VLOOKUP('Verwarming Tabula 2zone Ref 2'!D267,'Gebouwgegevens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 2'!C268,'Gebouwgegevens Allacker'!$A$35:$F$46,5,0)</f>
        <v>#N/A</v>
      </c>
      <c r="H268" s="122" t="e">
        <f>VLOOKUP('Verwarming Tabula 2zone Ref 2'!D268,'Gebouwgegevens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 2'!C269,'Gebouwgegevens Allacker'!$A$35:$F$46,5,0)</f>
        <v>#N/A</v>
      </c>
      <c r="H269" s="122" t="e">
        <f>VLOOKUP('Verwarming Tabula 2zone Ref 2'!D269,'Gebouwgegevens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 2'!C270,'Gebouwgegevens Allacker'!$A$35:$F$46,5,0)</f>
        <v>#N/A</v>
      </c>
      <c r="H270" s="122" t="e">
        <f>VLOOKUP('Verwarming Tabula 2zone Ref 2'!D270,'Gebouwgegevens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3">
      <c r="A283" s="317" t="s">
        <v>194</v>
      </c>
      <c r="B283" s="317"/>
      <c r="C283" s="317"/>
      <c r="D283" s="125" t="s">
        <v>222</v>
      </c>
      <c r="E283" s="299"/>
      <c r="F283" s="299"/>
      <c r="G283" s="299"/>
      <c r="H283" s="299"/>
      <c r="I283" s="299"/>
      <c r="J283" s="299"/>
      <c r="K283" s="299"/>
      <c r="L283" s="299"/>
      <c r="M283" s="299"/>
      <c r="N283" s="299"/>
      <c r="O283" s="299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 2zone Ref 2'!$B$4)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5">
      <c r="A315" s="93"/>
      <c r="B315" s="299"/>
      <c r="C315" s="299"/>
      <c r="D315" s="299"/>
      <c r="E315" s="299"/>
      <c r="F315" s="299"/>
      <c r="G315" s="299"/>
      <c r="H315" s="299"/>
      <c r="I315" s="299"/>
      <c r="J315" s="299"/>
      <c r="K315" s="299"/>
      <c r="L315" s="299"/>
      <c r="M315" s="299"/>
      <c r="N315" s="299"/>
      <c r="O315" s="299"/>
      <c r="P315" s="94"/>
    </row>
    <row r="316" spans="1:16" ht="17.25" customHeight="1" thickTop="1" thickBot="1" x14ac:dyDescent="0.4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3">
      <c r="A317" s="317" t="s">
        <v>168</v>
      </c>
      <c r="B317" s="317"/>
      <c r="C317" s="317"/>
      <c r="D317" s="317"/>
      <c r="E317" s="299"/>
      <c r="F317" s="299"/>
      <c r="G317" s="299"/>
      <c r="H317" s="299"/>
      <c r="I317" s="299"/>
      <c r="J317" s="299"/>
      <c r="K317" s="299"/>
      <c r="L317" s="299"/>
      <c r="M317" s="299"/>
      <c r="N317" s="299"/>
      <c r="O317" s="299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 2'!C346,'Gebouwgegevens Allacker'!$A$35:$F$46,5,0)</f>
        <v>#N/A</v>
      </c>
      <c r="H346" s="122" t="e">
        <f>VLOOKUP('Verwarming Tabula 2zone Ref 2'!D346,'Gebouwgegevens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 2'!C347,'Gebouwgegevens Allacker'!$A$35:$F$46,5,0)</f>
        <v>#N/A</v>
      </c>
      <c r="H347" s="122" t="e">
        <f>VLOOKUP('Verwarming Tabula 2zone Ref 2'!D347,'Gebouwgegevens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 2'!C348,'Gebouwgegevens Allacker'!$A$35:$F$46,5,0)</f>
        <v>#N/A</v>
      </c>
      <c r="H348" s="122" t="e">
        <f>VLOOKUP('Verwarming Tabula 2zone Ref 2'!D348,'Gebouwgegevens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 2'!C349,'Gebouwgegevens Allacker'!$A$35:$F$46,5,0)</f>
        <v>#N/A</v>
      </c>
      <c r="H349" s="122" t="e">
        <f>VLOOKUP('Verwarming Tabula 2zone Ref 2'!D349,'Gebouwgegevens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 2'!C350,'Gebouwgegevens Allacker'!$A$35:$F$46,5,0)</f>
        <v>#N/A</v>
      </c>
      <c r="H350" s="122" t="e">
        <f>VLOOKUP('Verwarming Tabula 2zone Ref 2'!D350,'Gebouwgegevens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3">
      <c r="A362" s="317" t="s">
        <v>194</v>
      </c>
      <c r="B362" s="317"/>
      <c r="C362" s="317"/>
      <c r="D362" s="125" t="s">
        <v>222</v>
      </c>
      <c r="E362" s="299"/>
      <c r="F362" s="299"/>
      <c r="G362" s="299"/>
      <c r="H362" s="299"/>
      <c r="I362" s="299"/>
      <c r="J362" s="299"/>
      <c r="K362" s="299"/>
      <c r="L362" s="299"/>
      <c r="M362" s="299"/>
      <c r="N362" s="299"/>
      <c r="O362" s="299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 2zone Ref 2'!$B$4)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5">
      <c r="A393" s="93"/>
      <c r="B393" s="299"/>
      <c r="C393" s="299"/>
      <c r="D393" s="299"/>
      <c r="E393" s="299"/>
      <c r="F393" s="299"/>
      <c r="G393" s="299"/>
      <c r="H393" s="299"/>
      <c r="I393" s="299"/>
      <c r="J393" s="299"/>
      <c r="K393" s="299"/>
      <c r="L393" s="299"/>
      <c r="M393" s="299"/>
      <c r="N393" s="299"/>
      <c r="O393" s="299"/>
      <c r="P393" s="94"/>
    </row>
    <row r="394" spans="1:16" ht="17.25" customHeight="1" thickTop="1" thickBot="1" x14ac:dyDescent="0.4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3">
      <c r="A395" s="317" t="s">
        <v>168</v>
      </c>
      <c r="B395" s="317"/>
      <c r="C395" s="317"/>
      <c r="D395" s="317"/>
      <c r="E395" s="299"/>
      <c r="F395" s="299"/>
      <c r="G395" s="299"/>
      <c r="H395" s="299"/>
      <c r="I395" s="299"/>
      <c r="J395" s="299"/>
      <c r="K395" s="299"/>
      <c r="L395" s="299"/>
      <c r="M395" s="299"/>
      <c r="N395" s="299"/>
      <c r="O395" s="299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 2'!C424,'Gebouwgegevens Allacker'!$A$35:$F$46,5,0)</f>
        <v>#N/A</v>
      </c>
      <c r="H424" s="122" t="e">
        <f>VLOOKUP('Verwarming Tabula 2zone Ref 2'!D424,'Gebouwgegevens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 2'!C425,'Gebouwgegevens Allacker'!$A$35:$F$46,5,0)</f>
        <v>#N/A</v>
      </c>
      <c r="H425" s="122" t="e">
        <f>VLOOKUP('Verwarming Tabula 2zone Ref 2'!D425,'Gebouwgegevens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 2'!C426,'Gebouwgegevens Allacker'!$A$35:$F$46,5,0)</f>
        <v>#N/A</v>
      </c>
      <c r="H426" s="122" t="e">
        <f>VLOOKUP('Verwarming Tabula 2zone Ref 2'!D426,'Gebouwgegevens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 2'!C427,'Gebouwgegevens Allacker'!$A$35:$F$46,5,0)</f>
        <v>#N/A</v>
      </c>
      <c r="H427" s="122" t="e">
        <f>VLOOKUP('Verwarming Tabula 2zone Ref 2'!D427,'Gebouwgegevens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 2'!C428,'Gebouwgegevens Allacker'!$A$35:$F$46,5,0)</f>
        <v>#N/A</v>
      </c>
      <c r="H428" s="122" t="e">
        <f>VLOOKUP('Verwarming Tabula 2zone Ref 2'!D428,'Gebouwgegevens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3">
      <c r="A440" s="317" t="s">
        <v>194</v>
      </c>
      <c r="B440" s="317"/>
      <c r="C440" s="317"/>
      <c r="D440" s="125" t="s">
        <v>222</v>
      </c>
      <c r="E440" s="299"/>
      <c r="F440" s="299"/>
      <c r="G440" s="299"/>
      <c r="H440" s="299"/>
      <c r="I440" s="299"/>
      <c r="J440" s="299"/>
      <c r="K440" s="299"/>
      <c r="L440" s="299"/>
      <c r="M440" s="299"/>
      <c r="N440" s="299"/>
      <c r="O440" s="299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 2zone Ref 2'!$B$4)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5">
      <c r="A471" s="93"/>
      <c r="B471" s="299"/>
      <c r="C471" s="299"/>
      <c r="D471" s="299"/>
      <c r="E471" s="299"/>
      <c r="F471" s="299"/>
      <c r="G471" s="299"/>
      <c r="H471" s="299"/>
      <c r="I471" s="299"/>
      <c r="J471" s="299"/>
      <c r="K471" s="299"/>
      <c r="L471" s="299"/>
      <c r="M471" s="299"/>
      <c r="N471" s="299"/>
      <c r="O471" s="299"/>
      <c r="P471" s="94"/>
    </row>
    <row r="472" spans="1:16" ht="17.25" customHeight="1" thickTop="1" thickBot="1" x14ac:dyDescent="0.4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3">
      <c r="A473" s="317" t="s">
        <v>168</v>
      </c>
      <c r="B473" s="317"/>
      <c r="C473" s="317"/>
      <c r="D473" s="317"/>
      <c r="E473" s="299"/>
      <c r="F473" s="299"/>
      <c r="G473" s="299"/>
      <c r="H473" s="299"/>
      <c r="I473" s="299"/>
      <c r="J473" s="299"/>
      <c r="K473" s="299"/>
      <c r="L473" s="299"/>
      <c r="M473" s="299"/>
      <c r="N473" s="299"/>
      <c r="O473" s="299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 2'!C502,'Gebouwgegevens Allacker'!$A$35:$F$46,5,0)</f>
        <v>#N/A</v>
      </c>
      <c r="H502" s="122" t="e">
        <f>VLOOKUP('Verwarming Tabula 2zone Ref 2'!D502,'Gebouwgegevens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 2'!C503,'Gebouwgegevens Allacker'!$A$35:$F$46,5,0)</f>
        <v>#N/A</v>
      </c>
      <c r="H503" s="122" t="e">
        <f>VLOOKUP('Verwarming Tabula 2zone Ref 2'!D503,'Gebouwgegevens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 2'!C504,'Gebouwgegevens Allacker'!$A$35:$F$46,5,0)</f>
        <v>#N/A</v>
      </c>
      <c r="H504" s="122" t="e">
        <f>VLOOKUP('Verwarming Tabula 2zone Ref 2'!D504,'Gebouwgegevens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3">
      <c r="A518" s="317" t="s">
        <v>194</v>
      </c>
      <c r="B518" s="317"/>
      <c r="C518" s="317"/>
      <c r="D518" s="125" t="s">
        <v>222</v>
      </c>
      <c r="E518" s="299"/>
      <c r="F518" s="299"/>
      <c r="G518" s="299"/>
      <c r="H518" s="299"/>
      <c r="I518" s="299"/>
      <c r="J518" s="299"/>
      <c r="K518" s="299"/>
      <c r="L518" s="299"/>
      <c r="M518" s="299"/>
      <c r="N518" s="299"/>
      <c r="O518" s="299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 2zone Ref 2'!$B$4)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5">
      <c r="A550" s="93"/>
      <c r="B550" s="299"/>
      <c r="C550" s="299"/>
      <c r="D550" s="299"/>
      <c r="E550" s="299"/>
      <c r="F550" s="299"/>
      <c r="G550" s="299"/>
      <c r="H550" s="299"/>
      <c r="I550" s="299"/>
      <c r="J550" s="299"/>
      <c r="K550" s="299"/>
      <c r="L550" s="299"/>
      <c r="M550" s="299"/>
      <c r="N550" s="299"/>
      <c r="O550" s="299"/>
      <c r="P550" s="94"/>
    </row>
    <row r="551" spans="1:16" ht="17.25" customHeight="1" thickTop="1" thickBot="1" x14ac:dyDescent="0.4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3">
      <c r="A552" s="317" t="s">
        <v>168</v>
      </c>
      <c r="B552" s="317"/>
      <c r="C552" s="317"/>
      <c r="D552" s="317"/>
      <c r="E552" s="299"/>
      <c r="F552" s="299"/>
      <c r="G552" s="299"/>
      <c r="H552" s="299"/>
      <c r="I552" s="299"/>
      <c r="J552" s="299"/>
      <c r="K552" s="299"/>
      <c r="L552" s="299"/>
      <c r="M552" s="299"/>
      <c r="N552" s="299"/>
      <c r="O552" s="299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 2'!C581,'Gebouwgegevens Allacker'!$A$35:$F$46,5,0)</f>
        <v>#N/A</v>
      </c>
      <c r="H581" s="122" t="e">
        <f>VLOOKUP('Verwarming Tabula 2zone Ref 2'!D581,'Gebouwgegevens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 2'!C582,'Gebouwgegevens Allacker'!$A$35:$F$46,5,0)</f>
        <v>#N/A</v>
      </c>
      <c r="H582" s="122" t="e">
        <f>VLOOKUP('Verwarming Tabula 2zone Ref 2'!D582,'Gebouwgegevens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 2'!C583,'Gebouwgegevens Allacker'!$A$35:$F$46,5,0)</f>
        <v>#N/A</v>
      </c>
      <c r="H583" s="122" t="e">
        <f>VLOOKUP('Verwarming Tabula 2zone Ref 2'!D583,'Gebouwgegevens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3">
      <c r="A597" s="317" t="s">
        <v>194</v>
      </c>
      <c r="B597" s="317"/>
      <c r="C597" s="317"/>
      <c r="D597" s="125" t="s">
        <v>222</v>
      </c>
      <c r="E597" s="299"/>
      <c r="F597" s="299"/>
      <c r="G597" s="299"/>
      <c r="H597" s="299"/>
      <c r="I597" s="299"/>
      <c r="J597" s="299"/>
      <c r="K597" s="299"/>
      <c r="L597" s="299"/>
      <c r="M597" s="299"/>
      <c r="N597" s="299"/>
      <c r="O597" s="299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 2zone Ref 2'!$B$4)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5">
      <c r="A629" s="93"/>
      <c r="B629" s="299"/>
      <c r="C629" s="299"/>
      <c r="D629" s="299"/>
      <c r="E629" s="299"/>
      <c r="F629" s="299"/>
      <c r="G629" s="299"/>
      <c r="H629" s="299"/>
      <c r="I629" s="299"/>
      <c r="J629" s="299"/>
      <c r="K629" s="299"/>
      <c r="L629" s="299"/>
      <c r="M629" s="299"/>
      <c r="N629" s="299"/>
      <c r="O629" s="299"/>
      <c r="P629" s="94"/>
    </row>
    <row r="630" spans="1:16" ht="17.25" customHeight="1" thickTop="1" thickBot="1" x14ac:dyDescent="0.4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3">
      <c r="A631" s="317" t="s">
        <v>168</v>
      </c>
      <c r="B631" s="317"/>
      <c r="C631" s="317"/>
      <c r="D631" s="317"/>
      <c r="E631" s="299"/>
      <c r="F631" s="299"/>
      <c r="G631" s="299"/>
      <c r="H631" s="299"/>
      <c r="I631" s="299"/>
      <c r="J631" s="299"/>
      <c r="K631" s="299"/>
      <c r="L631" s="299"/>
      <c r="M631" s="299"/>
      <c r="N631" s="299"/>
      <c r="O631" s="299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 2'!C660,'Gebouwgegevens Allacker'!$A$35:$F$46,5,0)</f>
        <v>#N/A</v>
      </c>
      <c r="H660" s="122" t="e">
        <f>VLOOKUP('Verwarming Tabula 2zone Ref 2'!D660,'Gebouwgegevens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 2'!C661,'Gebouwgegevens Allacker'!$A$35:$F$46,5,0)</f>
        <v>#N/A</v>
      </c>
      <c r="H661" s="122" t="e">
        <f>VLOOKUP('Verwarming Tabula 2zone Ref 2'!D661,'Gebouwgegevens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3">
      <c r="A676" s="317" t="s">
        <v>194</v>
      </c>
      <c r="B676" s="317"/>
      <c r="C676" s="317"/>
      <c r="D676" s="125" t="s">
        <v>222</v>
      </c>
      <c r="E676" s="299"/>
      <c r="F676" s="299"/>
      <c r="G676" s="299"/>
      <c r="H676" s="299"/>
      <c r="I676" s="299"/>
      <c r="J676" s="299"/>
      <c r="K676" s="299"/>
      <c r="L676" s="299"/>
      <c r="M676" s="299"/>
      <c r="N676" s="299"/>
      <c r="O676" s="299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 2zone Ref 2'!$B$4)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5">
      <c r="A708" s="93"/>
      <c r="B708" s="299"/>
      <c r="C708" s="299"/>
      <c r="D708" s="299"/>
      <c r="E708" s="299"/>
      <c r="F708" s="299"/>
      <c r="G708" s="299"/>
      <c r="H708" s="299"/>
      <c r="I708" s="299"/>
      <c r="J708" s="299"/>
      <c r="K708" s="299"/>
      <c r="L708" s="299"/>
      <c r="M708" s="299"/>
      <c r="N708" s="299"/>
      <c r="O708" s="299"/>
      <c r="P708" s="94"/>
    </row>
    <row r="709" spans="1:16" ht="17.25" customHeight="1" thickTop="1" thickBot="1" x14ac:dyDescent="0.4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3">
      <c r="A710" s="317" t="s">
        <v>168</v>
      </c>
      <c r="B710" s="317"/>
      <c r="C710" s="317"/>
      <c r="D710" s="317"/>
      <c r="E710" s="299"/>
      <c r="F710" s="299"/>
      <c r="G710" s="299"/>
      <c r="H710" s="299"/>
      <c r="I710" s="299"/>
      <c r="J710" s="299"/>
      <c r="K710" s="299"/>
      <c r="L710" s="299"/>
      <c r="M710" s="299"/>
      <c r="N710" s="299"/>
      <c r="O710" s="299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 2'!C739,'Gebouwgegevens Allacker'!$A$35:$F$46,5,0)</f>
        <v>#N/A</v>
      </c>
      <c r="H739" s="122" t="e">
        <f>VLOOKUP('Verwarming Tabula 2zone Ref 2'!D739,'Gebouwgegevens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 2'!C740,'Gebouwgegevens Allacker'!$A$35:$F$46,5,0)</f>
        <v>#N/A</v>
      </c>
      <c r="H740" s="122" t="e">
        <f>VLOOKUP('Verwarming Tabula 2zone Ref 2'!D740,'Gebouwgegevens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 2'!C741,'Gebouwgegevens Allacker'!$A$35:$F$46,5,0)</f>
        <v>#N/A</v>
      </c>
      <c r="H741" s="122" t="e">
        <f>VLOOKUP('Verwarming Tabula 2zone Ref 2'!D741,'Gebouwgegevens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 2'!C742,'Gebouwgegevens Allacker'!$A$35:$F$46,5,0)</f>
        <v>#N/A</v>
      </c>
      <c r="H742" s="122" t="e">
        <f>VLOOKUP('Verwarming Tabula 2zone Ref 2'!D742,'Gebouwgegevens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 2'!C743,'Gebouwgegevens Allacker'!$A$35:$F$46,5,0)</f>
        <v>#N/A</v>
      </c>
      <c r="H743" s="122" t="e">
        <f>VLOOKUP('Verwarming Tabula 2zone Ref 2'!D743,'Gebouwgegevens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 2'!C744,'Gebouwgegevens Allacker'!$A$35:$F$46,5,0)</f>
        <v>#N/A</v>
      </c>
      <c r="H744" s="122" t="e">
        <f>VLOOKUP('Verwarming Tabula 2zone Ref 2'!D744,'Gebouwgegevens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 2'!C745,'Gebouwgegevens Allacker'!$A$35:$F$46,5,0)</f>
        <v>#N/A</v>
      </c>
      <c r="H745" s="122" t="e">
        <f>VLOOKUP('Verwarming Tabula 2zone Ref 2'!D745,'Gebouwgegevens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 2'!C746,'Gebouwgegevens Allacker'!$A$35:$F$46,5,0)</f>
        <v>#N/A</v>
      </c>
      <c r="H746" s="122" t="e">
        <f>VLOOKUP('Verwarming Tabula 2zone Ref 2'!D746,'Gebouwgegevens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 2'!C747,'Gebouwgegevens Allacker'!$A$35:$F$46,5,0)</f>
        <v>#N/A</v>
      </c>
      <c r="H747" s="122" t="e">
        <f>VLOOKUP('Verwarming Tabula 2zone Ref 2'!D747,'Gebouwgegevens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 2'!C748,'Gebouwgegevens Allacker'!$A$35:$F$46,5,0)</f>
        <v>#N/A</v>
      </c>
      <c r="H748" s="122" t="e">
        <f>VLOOKUP('Verwarming Tabula 2zone Ref 2'!D748,'Gebouwgegevens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 2'!C749,'Gebouwgegevens Allacker'!$A$35:$F$46,5,0)</f>
        <v>#N/A</v>
      </c>
      <c r="H749" s="122" t="e">
        <f>VLOOKUP('Verwarming Tabula 2zone Ref 2'!D749,'Gebouwgegevens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 2'!C750,'Gebouwgegevens Allacker'!$A$35:$F$46,5,0)</f>
        <v>#N/A</v>
      </c>
      <c r="H750" s="122" t="e">
        <f>VLOOKUP('Verwarming Tabula 2zone Ref 2'!D750,'Gebouwgegevens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3">
      <c r="A755" s="317" t="s">
        <v>194</v>
      </c>
      <c r="B755" s="317"/>
      <c r="C755" s="317"/>
      <c r="D755" s="125" t="s">
        <v>222</v>
      </c>
      <c r="E755" s="299"/>
      <c r="F755" s="299"/>
      <c r="G755" s="299"/>
      <c r="H755" s="299"/>
      <c r="I755" s="299"/>
      <c r="J755" s="299"/>
      <c r="K755" s="299"/>
      <c r="L755" s="299"/>
      <c r="M755" s="299"/>
      <c r="N755" s="299"/>
      <c r="O755" s="299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 2zone Ref 2'!$B$4)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55" zoomScaleNormal="55" workbookViewId="0">
      <selection sqref="A1:I1"/>
    </sheetView>
  </sheetViews>
  <sheetFormatPr defaultColWidth="9.109375" defaultRowHeight="14.4" x14ac:dyDescent="0.3"/>
  <cols>
    <col min="1" max="1025" width="9.109375" style="3"/>
    <col min="1026" max="16384" width="9.109375" style="81"/>
  </cols>
  <sheetData>
    <row r="1" spans="1:26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6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04"/>
      <c r="W4" s="304"/>
      <c r="X4" s="304"/>
      <c r="Y4" s="94"/>
    </row>
    <row r="5" spans="1:26" ht="18" customHeight="1" thickTop="1" thickBot="1" x14ac:dyDescent="0.35">
      <c r="A5" s="93"/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94"/>
      <c r="U5" s="95"/>
      <c r="V5" s="312" t="s">
        <v>165</v>
      </c>
      <c r="W5" s="312"/>
      <c r="X5" s="312"/>
      <c r="Y5" s="96"/>
    </row>
    <row r="6" spans="1:26" ht="18.75" customHeight="1" thickTop="1" thickBot="1" x14ac:dyDescent="0.4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04"/>
      <c r="Y6" s="96"/>
    </row>
    <row r="7" spans="1:26" ht="16.5" customHeight="1" thickTop="1" x14ac:dyDescent="0.3">
      <c r="A7" s="317" t="s">
        <v>168</v>
      </c>
      <c r="B7" s="317"/>
      <c r="C7" s="317"/>
      <c r="D7" s="317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94"/>
      <c r="U7" s="95"/>
      <c r="V7" s="101">
        <f>B6</f>
        <v>1</v>
      </c>
      <c r="W7" s="102">
        <f>B73</f>
        <v>9585.5487553417843</v>
      </c>
      <c r="X7" s="98" t="s">
        <v>169</v>
      </c>
      <c r="Y7" s="96"/>
      <c r="Z7" s="3">
        <f>0.7*W7</f>
        <v>6709.8841287392488</v>
      </c>
    </row>
    <row r="8" spans="1:26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3762.9125987789748</v>
      </c>
      <c r="X8" s="98" t="s">
        <v>169</v>
      </c>
      <c r="Y8" s="96"/>
      <c r="Z8" s="3">
        <f>0.7*W8</f>
        <v>2634.0388191452821</v>
      </c>
    </row>
    <row r="9" spans="1:26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5">
      <c r="A12" s="95"/>
      <c r="B12" s="106" t="str">
        <f>'Tabula RefULG 1'!K6</f>
        <v>W1</v>
      </c>
      <c r="C12" s="107">
        <f>VLOOKUP(B12,'Tabula RefULG 1'!$K$5:$R$83,3,0)</f>
        <v>1</v>
      </c>
      <c r="D12" s="107" t="str">
        <f>VLOOKUP(B12,'Tabula RefULG 1'!$K$5:$R$83,4,0)</f>
        <v>Wall External</v>
      </c>
      <c r="E12" s="107">
        <f>VLOOKUP(B12,'Tabula RefULG 1'!$K$5:$R$83,5,0)</f>
        <v>54.722250000000003</v>
      </c>
      <c r="F12" s="107" t="str">
        <f>VLOOKUP(B12,'Tabula RefULG 1'!$K$5:$R$83,6,0)</f>
        <v>front</v>
      </c>
      <c r="G12" s="107">
        <f>VLOOKUP(B12,'Tabula RefULG 1'!$K$5:$R$83,7,0)</f>
        <v>0.59788861556532236</v>
      </c>
      <c r="H12" s="108">
        <f>VLOOKUP(B12,'Tabula RefULG 1'!$K$5:$R$83,8,0)</f>
        <v>32.717810293119463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5">
      <c r="A13" s="95"/>
      <c r="B13" s="106" t="str">
        <f>'Tabula RefULG 1'!K7</f>
        <v>W2</v>
      </c>
      <c r="C13" s="107">
        <f>VLOOKUP(B13,'Tabula RefULG 1'!$K$5:$R$83,3,0)</f>
        <v>1</v>
      </c>
      <c r="D13" s="107" t="str">
        <f>VLOOKUP(B13,'Tabula RefULG 1'!$K$5:$R$83,4,0)</f>
        <v>Wall External</v>
      </c>
      <c r="E13" s="107">
        <f>VLOOKUP(B13,'Tabula RefULG 1'!$K$5:$R$83,5,0)</f>
        <v>31.657499999999995</v>
      </c>
      <c r="F13" s="107" t="str">
        <f>VLOOKUP(B13,'Tabula RefULG 1'!$K$5:$R$83,6,0)</f>
        <v>right</v>
      </c>
      <c r="G13" s="107">
        <f>VLOOKUP(B13,'Tabula RefULG 1'!$K$5:$R$83,7,0)</f>
        <v>0.59788861556532236</v>
      </c>
      <c r="H13" s="108">
        <f>VLOOKUP(B13,'Tabula RefULG 1'!$K$5:$R$83,8,0)</f>
        <v>18.927658847259188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5">
      <c r="A14" s="95"/>
      <c r="B14" s="106" t="str">
        <f>'Tabula RefULG 1'!K8</f>
        <v>W3</v>
      </c>
      <c r="C14" s="107">
        <f>VLOOKUP(B14,'Tabula RefULG 1'!$K$5:$R$83,3,0)</f>
        <v>1</v>
      </c>
      <c r="D14" s="107" t="str">
        <f>VLOOKUP(B14,'Tabula RefULG 1'!$K$5:$R$83,4,0)</f>
        <v>Wall External</v>
      </c>
      <c r="E14" s="107">
        <f>VLOOKUP(B14,'Tabula RefULG 1'!$K$5:$R$83,5,0)</f>
        <v>54.722250000000003</v>
      </c>
      <c r="F14" s="107" t="str">
        <f>VLOOKUP(B14,'Tabula RefULG 1'!$K$5:$R$83,6,0)</f>
        <v>back</v>
      </c>
      <c r="G14" s="107">
        <f>VLOOKUP(B14,'Tabula RefULG 1'!$K$5:$R$83,7,0)</f>
        <v>0.59788861556532236</v>
      </c>
      <c r="H14" s="108">
        <f>VLOOKUP(B14,'Tabula RefULG 1'!$K$5:$R$83,8,0)</f>
        <v>32.717810293119463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5">
      <c r="A15" s="95"/>
      <c r="B15" s="106" t="str">
        <f>'Tabula RefULG 1'!K9</f>
        <v>W4</v>
      </c>
      <c r="C15" s="107">
        <f>VLOOKUP(B15,'Tabula RefULG 1'!$K$5:$R$83,3,0)</f>
        <v>1</v>
      </c>
      <c r="D15" s="107" t="str">
        <f>VLOOKUP(B15,'Tabula RefULG 1'!$K$5:$R$83,4,0)</f>
        <v>Wall External</v>
      </c>
      <c r="E15" s="107">
        <f>VLOOKUP(B15,'Tabula RefULG 1'!$K$5:$R$83,5,0)</f>
        <v>31.657499999999995</v>
      </c>
      <c r="F15" s="107" t="str">
        <f>VLOOKUP(B15,'Tabula RefULG 1'!$K$5:$R$83,6,0)</f>
        <v>left</v>
      </c>
      <c r="G15" s="107">
        <f>VLOOKUP(B15,'Tabula RefULG 1'!$K$5:$R$83,7,0)</f>
        <v>0.59788861556532236</v>
      </c>
      <c r="H15" s="108">
        <f>VLOOKUP(B15,'Tabula RefULG 1'!$K$5:$R$83,8,0)</f>
        <v>18.927658847259188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5">
      <c r="A16" s="95"/>
      <c r="B16" s="106" t="str">
        <f>'Tabula RefULG 1'!K10</f>
        <v>W5</v>
      </c>
      <c r="C16" s="107">
        <f>VLOOKUP(B16,'Tabula RefULG 1'!$K$5:$R$83,3,0)</f>
        <v>1</v>
      </c>
      <c r="D16" s="107" t="str">
        <f>VLOOKUP(B16,'Tabula RefULG 1'!$K$5:$R$83,4,0)</f>
        <v>Window</v>
      </c>
      <c r="E16" s="107">
        <f>VLOOKUP(B16,'Tabula RefULG 1'!$K$5:$R$83,5,0)</f>
        <v>6.93</v>
      </c>
      <c r="F16" s="107" t="str">
        <f>VLOOKUP(B16,'Tabula RefULG 1'!$K$5:$R$83,6,0)</f>
        <v>front</v>
      </c>
      <c r="G16" s="107">
        <f>VLOOKUP(B16,'Tabula RefULG 1'!$K$5:$R$83,7,0)</f>
        <v>2</v>
      </c>
      <c r="H16" s="108">
        <f>VLOOKUP(B16,'Tabula RefULG 1'!$K$5:$R$83,8,0)</f>
        <v>13.86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5">
      <c r="A17" s="95"/>
      <c r="B17" s="106" t="str">
        <f>'Tabula RefULG 1'!K11</f>
        <v>W6</v>
      </c>
      <c r="C17" s="107">
        <f>VLOOKUP(B17,'Tabula RefULG 1'!$K$5:$R$83,3,0)</f>
        <v>1</v>
      </c>
      <c r="D17" s="107" t="str">
        <f>VLOOKUP(B17,'Tabula RefULG 1'!$K$5:$R$83,4,0)</f>
        <v>Window</v>
      </c>
      <c r="E17" s="107">
        <f>VLOOKUP(B17,'Tabula RefULG 1'!$K$5:$R$83,5,0)</f>
        <v>7.77</v>
      </c>
      <c r="F17" s="107" t="str">
        <f>VLOOKUP(B17,'Tabula RefULG 1'!$K$5:$R$83,6,0)</f>
        <v>right</v>
      </c>
      <c r="G17" s="107">
        <f>VLOOKUP(B17,'Tabula RefULG 1'!$K$5:$R$83,7,0)</f>
        <v>2</v>
      </c>
      <c r="H17" s="108">
        <f>VLOOKUP(B17,'Tabula RefULG 1'!$K$5:$R$83,8,0)</f>
        <v>15.54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5">
      <c r="A18" s="95"/>
      <c r="B18" s="106" t="str">
        <f>'Tabula RefULG 1'!K12</f>
        <v>W7</v>
      </c>
      <c r="C18" s="107">
        <f>VLOOKUP(B18,'Tabula RefULG 1'!$K$5:$R$83,3,0)</f>
        <v>1</v>
      </c>
      <c r="D18" s="107" t="str">
        <f>VLOOKUP(B18,'Tabula RefULG 1'!$K$5:$R$83,4,0)</f>
        <v>Window</v>
      </c>
      <c r="E18" s="107">
        <f>VLOOKUP(B18,'Tabula RefULG 1'!$K$5:$R$83,5,0)</f>
        <v>9.1</v>
      </c>
      <c r="F18" s="107" t="str">
        <f>VLOOKUP(B18,'Tabula RefULG 1'!$K$5:$R$83,6,0)</f>
        <v>back</v>
      </c>
      <c r="G18" s="107">
        <f>VLOOKUP(B18,'Tabula RefULG 1'!$K$5:$R$83,7,0)</f>
        <v>2</v>
      </c>
      <c r="H18" s="108">
        <f>VLOOKUP(B18,'Tabula RefULG 1'!$K$5:$R$83,8,0)</f>
        <v>18.2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13348.461354120758</v>
      </c>
      <c r="X18" s="304" t="s">
        <v>169</v>
      </c>
      <c r="Y18" s="96"/>
    </row>
    <row r="19" spans="1:25" ht="16.5" customHeight="1" thickTop="1" thickBot="1" x14ac:dyDescent="0.35">
      <c r="A19" s="95"/>
      <c r="B19" s="106" t="str">
        <f>'Tabula RefULG 1'!K13</f>
        <v>W8</v>
      </c>
      <c r="C19" s="107">
        <f>VLOOKUP(B19,'Tabula RefULG 1'!$K$5:$R$83,3,0)</f>
        <v>1</v>
      </c>
      <c r="D19" s="107" t="str">
        <f>VLOOKUP(B19,'Tabula RefULG 1'!$K$5:$R$83,4,0)</f>
        <v>Window</v>
      </c>
      <c r="E19" s="107">
        <f>VLOOKUP(B19,'Tabula RefULG 1'!$K$5:$R$83,5,0)</f>
        <v>7.9799999999999995</v>
      </c>
      <c r="F19" s="107" t="str">
        <f>VLOOKUP(B19,'Tabula RefULG 1'!$K$5:$R$83,6,0)</f>
        <v>left</v>
      </c>
      <c r="G19" s="107">
        <f>VLOOKUP(B19,'Tabula RefULG 1'!$K$5:$R$83,7,0)</f>
        <v>2</v>
      </c>
      <c r="H19" s="108">
        <f>VLOOKUP(B19,'Tabula RefULG 1'!$K$5:$R$83,8,0)</f>
        <v>15.959999999999999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5">
      <c r="A21" s="95"/>
      <c r="B21" s="106" t="str">
        <f>'Gebouwgegevens Allacker'!J15</f>
        <v>W10</v>
      </c>
      <c r="C21" s="107">
        <f>VLOOKUP(B21,'Tabula RefULG 1'!$K$5:$R$83,3,0)</f>
        <v>1</v>
      </c>
      <c r="D21" s="107" t="str">
        <f>VLOOKUP(B21,'Tabula RefULG 1'!$K$5:$R$83,4,0)</f>
        <v>Roof</v>
      </c>
      <c r="E21" s="107">
        <f>VLOOKUP(B21,'Tabula RefULG 1'!$K$5:$R$83,5,0)</f>
        <v>0</v>
      </c>
      <c r="F21" s="107">
        <f>VLOOKUP(B21,'Tabula RefULG 1'!$K$5:$R$83,6,0)</f>
        <v>0</v>
      </c>
      <c r="G21" s="107">
        <f>VLOOKUP(B21,'Tabula RefULG 1'!$K$5:$R$83,7,0)</f>
        <v>0.27062537995411134</v>
      </c>
      <c r="H21" s="108">
        <f>VLOOKUP(B21,'Tabula RefULG 1'!$K$5:$R$83,8,0)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10544.103630875963</v>
      </c>
      <c r="X21" s="98"/>
      <c r="Y21" s="98"/>
    </row>
    <row r="22" spans="1:25" ht="16.5" customHeight="1" thickTop="1" thickBot="1" x14ac:dyDescent="0.35">
      <c r="A22" s="95"/>
      <c r="B22" s="106" t="s">
        <v>67</v>
      </c>
      <c r="C22" s="107">
        <f>VLOOKUP(B22,'Tabula RefULG 1'!$K$5:$R$83,3,0)</f>
        <v>1</v>
      </c>
      <c r="D22" s="107" t="str">
        <f>VLOOKUP(B22,'Tabula RefULG 1'!$K$5:$R$83,4,0)</f>
        <v>Door</v>
      </c>
      <c r="E22" s="107">
        <f>VLOOKUP(B22,'Tabula RefULG 1'!$K$5:$R$83,5,0)</f>
        <v>11.5</v>
      </c>
      <c r="F22" s="107">
        <f>VLOOKUP(B22,'Tabula RefULG 1'!$K$5:$R$83,6,0)</f>
        <v>0</v>
      </c>
      <c r="G22" s="107">
        <f>VLOOKUP(B22,'Tabula RefULG 1'!$K$5:$R$83,7,0)</f>
        <v>3.5</v>
      </c>
      <c r="H22" s="108">
        <f>VLOOKUP(B22,'Tabula RefULG 1'!$K$5:$R$83,8,0)</f>
        <v>40.25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5">
      <c r="A28" s="95"/>
      <c r="B28" s="116" t="s">
        <v>61</v>
      </c>
      <c r="C28" s="117">
        <f>VLOOKUP(B28,'Tabula RefULG 1'!$K$5:$R$83,3,0)</f>
        <v>1</v>
      </c>
      <c r="D28" s="117" t="str">
        <f>VLOOKUP(B28,'Tabula RefULG 1'!$K$5:$R$83,4,0)</f>
        <v>Floor</v>
      </c>
      <c r="E28" s="117">
        <f>VLOOKUP(B28,'Tabula RefULG 1'!$K$5:$R$83,5,0)</f>
        <v>138.80000000000001</v>
      </c>
      <c r="F28" s="117">
        <f>VLOOKUP(B28,'Tabula RefULG 1'!$K$5:$R$83,7,0)</f>
        <v>0.66596194503171247</v>
      </c>
      <c r="G28" s="118">
        <f>VLOOKUP(B28,'Tabula RefULG 1'!$K$5:$R$83,8,0)</f>
        <v>92.435517970401705</v>
      </c>
      <c r="H28" s="118">
        <f>N28/F28*1.45*(G34-12)/(G34+8)</f>
        <v>0.2402486792471136</v>
      </c>
      <c r="I28" s="117">
        <f>'Tabula RefULG 1'!O14</f>
        <v>138.80000000000001</v>
      </c>
      <c r="J28" s="116">
        <f>SQRT(I28)*4</f>
        <v>47.125364720074053</v>
      </c>
      <c r="K28" s="116">
        <f>SUM('Tabula RefULG 1'!Z17:Z19)</f>
        <v>0.155</v>
      </c>
      <c r="L28" s="119">
        <f>I28/(0.5*J28)</f>
        <v>5.8906705900092566</v>
      </c>
      <c r="M28" s="119">
        <f>K28+2*(1/F28)</f>
        <v>3.158174603174603</v>
      </c>
      <c r="N28" s="120">
        <f>IF(M28&lt;L28,2*2/(PI()*L28+M28)*LN(PI()*L28/M28+1),2/(0.457*L28+M28))</f>
        <v>0.35554772827268399</v>
      </c>
      <c r="O28" s="98"/>
      <c r="P28" s="96"/>
    </row>
    <row r="29" spans="1:25" ht="15.75" customHeight="1" thickTop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14683.307489532835</v>
      </c>
    </row>
    <row r="32" spans="1:25" ht="15.75" customHeight="1" thickBot="1" x14ac:dyDescent="0.3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5">
      <c r="A33" s="95"/>
      <c r="B33" s="121" t="s">
        <v>98</v>
      </c>
      <c r="C33" s="122">
        <f>IF(VLOOKUP(B33,'Tabula RefULG 1'!$K$5:$R$83,2,0)=B$6,VLOOKUP(B33,'Tabula RefULG 1'!$K$5:$R$83,2,0),VLOOKUP(B33,'Tabula RefULG 1'!$K$5:$R$83,3,0))</f>
        <v>1</v>
      </c>
      <c r="D33" s="122">
        <f>IF(VLOOKUP(B33,'Tabula RefULG 1'!$K$5:$R$83,2,0)=B$6,VLOOKUP(B33,'Tabula RefULG 1'!$K$5:$R$83,3,0),VLOOKUP(B33,'Tabula RefULG 1'!$K$5:$R$83,2,0))</f>
        <v>2</v>
      </c>
      <c r="E33" s="122" t="str">
        <f>VLOOKUP(B33,'Tabula RefULG 1'!$K$5:$R$83,4,0)</f>
        <v>Floor internal</v>
      </c>
      <c r="F33" s="122">
        <f>VLOOKUP(B33,'Tabula RefULG 1'!$K$5:$R$83,5,0)</f>
        <v>119.59999999999997</v>
      </c>
      <c r="G33" s="122">
        <f>VLOOKUP('Verwarming Tabula 2zone RefULG1'!C33,'Tabula RefULG 1'!$A$34:$F$45,5,0)</f>
        <v>21</v>
      </c>
      <c r="H33" s="122">
        <f>VLOOKUP('Verwarming Tabula 2zone RefULG1'!D33,'Tabula RefULG 1'!$A$34:$F$45,5,0)</f>
        <v>18</v>
      </c>
      <c r="I33" s="122">
        <f>VLOOKUP(B33,'Tabula RefULG 1'!$K$5:$R$83,7,0)</f>
        <v>1.4549653579676673</v>
      </c>
      <c r="J33" s="118">
        <f>VLOOKUP(B33,'Tabula RefULG 1'!$K$5:$R$83,8,0)</f>
        <v>174.01385681293297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5">
      <c r="A34" s="95"/>
      <c r="B34" s="121" t="s">
        <v>101</v>
      </c>
      <c r="C34" s="122">
        <f>IF(VLOOKUP(B34,'Tabula RefULG 1'!$K$5:$R$83,2,0)=B$6,VLOOKUP(B34,'Tabula RefULG 1'!$K$5:$R$83,2,0),VLOOKUP(B34,'Tabula RefULG 1'!$K$5:$R$83,3,0))</f>
        <v>1</v>
      </c>
      <c r="D34" s="122">
        <f>IF(VLOOKUP(B34,'Tabula RefULG 1'!$K$5:$R$83,2,0)=B$6,VLOOKUP(B34,'Tabula RefULG 1'!$K$5:$R$83,3,0),VLOOKUP(B34,'Tabula RefULG 1'!$K$5:$R$83,2,0))</f>
        <v>1</v>
      </c>
      <c r="E34" s="122" t="str">
        <f>VLOOKUP(B34,'Tabula RefULG 1'!$K$5:$R$83,4,0)</f>
        <v>Wall internal</v>
      </c>
      <c r="F34" s="122">
        <f>VLOOKUP(B34,'Tabula RefULG 1'!$K$5:$R$83,5,0)</f>
        <v>172.7595</v>
      </c>
      <c r="G34" s="122">
        <f>VLOOKUP('Verwarming Tabula 2zone RefULG1'!C34,'Tabula RefULG 1'!$A$34:$F$45,5,0)</f>
        <v>21</v>
      </c>
      <c r="H34" s="122">
        <f>VLOOKUP('Verwarming Tabula 2zone RefULG1'!D34,'Tabula RefULG 1'!$A$34:$F$45,5,0)</f>
        <v>21</v>
      </c>
      <c r="I34" s="122">
        <f>VLOOKUP(B34,'Tabula RefULG 1'!$K$5:$R$83,7,0)</f>
        <v>1.7363344051446945</v>
      </c>
      <c r="J34" s="118">
        <f>VLOOKUP(B34,'Tabula RefULG 1'!$K$5:$R$83,8,0)</f>
        <v>299.96826366559486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SUMPRODUCT(H12:H22,I12:I22)+SUMPRODUCT(G28,H28)+SUMPRODUCT(J33:J38,K33:K38)</f>
        <v>247.30988285207602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7171.9866027102044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3">
      <c r="A45" s="317" t="s">
        <v>194</v>
      </c>
      <c r="B45" s="317"/>
      <c r="C45" s="317"/>
      <c r="D45" s="125"/>
      <c r="E45" s="304"/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5">
      <c r="A48" s="127" t="s">
        <v>196</v>
      </c>
      <c r="B48" s="121">
        <f>'Tabula data'!E28</f>
        <v>4.7130190007037305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3">
      <c r="A51" s="124" t="s">
        <v>202</v>
      </c>
      <c r="B51" s="118">
        <f>VLOOKUP(B6,'Tabula RefULG 1'!$A$34:$F$45,2,0)*B48/20</f>
        <v>89.935309597523243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'Tabula RefULG 1'!G34</f>
        <v>138.80000000000001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89.935309597523243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0.43337723035400222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30.578005263157905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886.76215263157928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5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5">
      <c r="A66" s="127" t="s">
        <v>113</v>
      </c>
      <c r="B66" s="121">
        <f>'Tabula RefULG 1'!B7</f>
        <v>138.80000000000001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3">
      <c r="A67" s="124" t="s">
        <v>213</v>
      </c>
      <c r="B67" s="118">
        <f>B68/('Gebouwgegevens Tabula'!E35-'Verwarming Tabula 2zone RefULG1'!$B$4)</f>
        <v>52.648275862068971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1526.8000000000002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3">
      <c r="A72" s="124" t="s">
        <v>215</v>
      </c>
      <c r="B72" s="118">
        <f>SUM(B42,B60,B67)</f>
        <v>330.53616397730286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9585.5487553417843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5">
      <c r="A77" s="93"/>
      <c r="B77" s="304"/>
      <c r="C77" s="304"/>
      <c r="D77" s="304"/>
      <c r="E77" s="304"/>
      <c r="F77" s="304"/>
      <c r="G77" s="304"/>
      <c r="H77" s="304"/>
      <c r="I77" s="304"/>
      <c r="J77" s="304"/>
      <c r="K77" s="304"/>
      <c r="L77" s="304"/>
      <c r="M77" s="304"/>
      <c r="N77" s="304"/>
      <c r="O77" s="304"/>
      <c r="P77" s="94"/>
    </row>
    <row r="78" spans="1:16" ht="17.25" customHeight="1" thickTop="1" thickBot="1" x14ac:dyDescent="0.4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3">
      <c r="A79" s="317" t="s">
        <v>168</v>
      </c>
      <c r="B79" s="317"/>
      <c r="C79" s="317"/>
      <c r="D79" s="317"/>
      <c r="E79" s="304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5">
      <c r="A84" s="95"/>
      <c r="B84" s="106" t="s">
        <v>71</v>
      </c>
      <c r="C84" s="107">
        <f>VLOOKUP(B84,'Tabula RefULG 1'!$K$5:$R$83,3,0)</f>
        <v>2</v>
      </c>
      <c r="D84" s="107" t="str">
        <f>VLOOKUP(B84,'Tabula RefULG 1'!$K$5:$R$83,4,0)</f>
        <v>Wall External</v>
      </c>
      <c r="E84" s="107">
        <f>VLOOKUP(B84,'Tabula RefULG 1'!$K$5:$R$83,5,0)</f>
        <v>0.55275000000000052</v>
      </c>
      <c r="F84" s="107" t="str">
        <f>VLOOKUP(B84,'Tabula RefULG 1'!$K$5:$R$83,6,0)</f>
        <v>front</v>
      </c>
      <c r="G84" s="107">
        <f>VLOOKUP(B84,'Tabula RefULG 1'!$K$5:$R$83,7,0)</f>
        <v>0.59788861556532236</v>
      </c>
      <c r="H84" s="108">
        <f>VLOOKUP(B84,'Tabula RefULG 1'!$K$5:$R$83,8,0)</f>
        <v>0.33048293225373226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5">
      <c r="A85" s="95"/>
      <c r="B85" s="106" t="s">
        <v>75</v>
      </c>
      <c r="C85" s="107">
        <f>VLOOKUP(B85,'Tabula RefULG 1'!$K$5:$R$83,3,0)</f>
        <v>2</v>
      </c>
      <c r="D85" s="107" t="str">
        <f>VLOOKUP(B85,'Tabula RefULG 1'!$K$5:$R$83,4,0)</f>
        <v>Wall External</v>
      </c>
      <c r="E85" s="107">
        <f>VLOOKUP(B85,'Tabula RefULG 1'!$K$5:$R$83,5,0)</f>
        <v>13.567500000000001</v>
      </c>
      <c r="F85" s="107" t="str">
        <f>VLOOKUP(B85,'Tabula RefULG 1'!$K$5:$R$83,6,0)</f>
        <v>right</v>
      </c>
      <c r="G85" s="107">
        <f>VLOOKUP(B85,'Tabula RefULG 1'!$K$5:$R$83,7,0)</f>
        <v>0.59788861556532236</v>
      </c>
      <c r="H85" s="108">
        <f>VLOOKUP(B85,'Tabula RefULG 1'!$K$5:$R$83,8,0)</f>
        <v>8.1118537916825115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5">
      <c r="A86" s="95"/>
      <c r="B86" s="106" t="s">
        <v>79</v>
      </c>
      <c r="C86" s="107">
        <f>VLOOKUP(B86,'Tabula RefULG 1'!$K$5:$R$83,3,0)</f>
        <v>2</v>
      </c>
      <c r="D86" s="107" t="str">
        <f>VLOOKUP(B86,'Tabula RefULG 1'!$K$5:$R$83,4,0)</f>
        <v>Wall External</v>
      </c>
      <c r="E86" s="107">
        <f>VLOOKUP(B86,'Tabula RefULG 1'!$K$5:$R$83,5,0)</f>
        <v>0.55275000000000052</v>
      </c>
      <c r="F86" s="107" t="str">
        <f>VLOOKUP(B86,'Tabula RefULG 1'!$K$5:$R$83,6,0)</f>
        <v>back</v>
      </c>
      <c r="G86" s="107">
        <f>VLOOKUP(B86,'Tabula RefULG 1'!$K$5:$R$83,7,0)</f>
        <v>0.59788861556532236</v>
      </c>
      <c r="H86" s="108">
        <f>VLOOKUP(B86,'Tabula RefULG 1'!$K$5:$R$83,8,0)</f>
        <v>0.33048293225373226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5">
      <c r="A87" s="95"/>
      <c r="B87" s="106" t="s">
        <v>82</v>
      </c>
      <c r="C87" s="107">
        <f>VLOOKUP(B87,'Tabula RefULG 1'!$K$5:$R$83,3,0)</f>
        <v>2</v>
      </c>
      <c r="D87" s="107" t="str">
        <f>VLOOKUP(B87,'Tabula RefULG 1'!$K$5:$R$83,4,0)</f>
        <v>Wall External</v>
      </c>
      <c r="E87" s="107">
        <f>VLOOKUP(B87,'Tabula RefULG 1'!$K$5:$R$83,5,0)</f>
        <v>13.567500000000001</v>
      </c>
      <c r="F87" s="107" t="str">
        <f>VLOOKUP(B87,'Tabula RefULG 1'!$K$5:$R$83,6,0)</f>
        <v>left</v>
      </c>
      <c r="G87" s="107">
        <f>VLOOKUP(B87,'Tabula RefULG 1'!$K$5:$R$83,7,0)</f>
        <v>0.59788861556532236</v>
      </c>
      <c r="H87" s="108">
        <f>VLOOKUP(B87,'Tabula RefULG 1'!$K$5:$R$83,8,0)</f>
        <v>8.1118537916825115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5">
      <c r="A88" s="95"/>
      <c r="B88" s="106" t="s">
        <v>84</v>
      </c>
      <c r="C88" s="107">
        <f>VLOOKUP(B88,'Tabula RefULG 1'!$K$5:$R$83,3,0)</f>
        <v>2</v>
      </c>
      <c r="D88" s="107" t="str">
        <f>VLOOKUP(B88,'Tabula RefULG 1'!$K$5:$R$83,4,0)</f>
        <v>Window</v>
      </c>
      <c r="E88" s="107">
        <f>VLOOKUP(B88,'Tabula RefULG 1'!$K$5:$R$83,5,0)</f>
        <v>2.9700000000000006</v>
      </c>
      <c r="F88" s="107" t="str">
        <f>VLOOKUP(B88,'Tabula RefULG 1'!$K$5:$R$83,6,0)</f>
        <v>front</v>
      </c>
      <c r="G88" s="107">
        <f>VLOOKUP(B88,'Tabula RefULG 1'!$K$5:$R$83,7,0)</f>
        <v>2</v>
      </c>
      <c r="H88" s="108">
        <f>VLOOKUP(B88,'Tabula RefULG 1'!$K$5:$R$83,8,0)</f>
        <v>5.9400000000000013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5">
      <c r="A89" s="95"/>
      <c r="B89" s="106" t="s">
        <v>87</v>
      </c>
      <c r="C89" s="107">
        <f>VLOOKUP(B89,'Tabula RefULG 1'!$K$5:$R$83,3,0)</f>
        <v>2</v>
      </c>
      <c r="D89" s="107" t="str">
        <f>VLOOKUP(B89,'Tabula RefULG 1'!$K$5:$R$83,4,0)</f>
        <v>Window</v>
      </c>
      <c r="E89" s="107">
        <f>VLOOKUP(B89,'Tabula RefULG 1'!$K$5:$R$83,5,0)</f>
        <v>3.3300000000000005</v>
      </c>
      <c r="F89" s="107" t="str">
        <f>VLOOKUP(B89,'Tabula RefULG 1'!$K$5:$R$83,6,0)</f>
        <v>right</v>
      </c>
      <c r="G89" s="107">
        <f>VLOOKUP(B89,'Tabula RefULG 1'!$K$5:$R$83,7,0)</f>
        <v>2</v>
      </c>
      <c r="H89" s="108">
        <f>VLOOKUP(B89,'Tabula RefULG 1'!$K$5:$R$83,8,0)</f>
        <v>6.660000000000001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5">
      <c r="A90" s="95"/>
      <c r="B90" s="106" t="s">
        <v>89</v>
      </c>
      <c r="C90" s="107">
        <f>VLOOKUP(B90,'Tabula RefULG 1'!$K$5:$R$83,3,0)</f>
        <v>2</v>
      </c>
      <c r="D90" s="107" t="str">
        <f>VLOOKUP(B90,'Tabula RefULG 1'!$K$5:$R$83,4,0)</f>
        <v>Window</v>
      </c>
      <c r="E90" s="107">
        <f>VLOOKUP(B90,'Tabula RefULG 1'!$K$5:$R$83,5,0)</f>
        <v>3.9000000000000004</v>
      </c>
      <c r="F90" s="107" t="str">
        <f>VLOOKUP(B90,'Tabula RefULG 1'!$K$5:$R$83,6,0)</f>
        <v>back</v>
      </c>
      <c r="G90" s="107">
        <f>VLOOKUP(B90,'Tabula RefULG 1'!$K$5:$R$83,7,0)</f>
        <v>2</v>
      </c>
      <c r="H90" s="108">
        <f>VLOOKUP(B90,'Tabula RefULG 1'!$K$5:$R$83,8,0)</f>
        <v>7.8000000000000007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5">
      <c r="A91" s="95"/>
      <c r="B91" s="106" t="s">
        <v>92</v>
      </c>
      <c r="C91" s="107">
        <f>VLOOKUP(B91,'Tabula RefULG 1'!$K$5:$R$83,3,0)</f>
        <v>2</v>
      </c>
      <c r="D91" s="107" t="str">
        <f>VLOOKUP(B91,'Tabula RefULG 1'!$K$5:$R$83,4,0)</f>
        <v>Window</v>
      </c>
      <c r="E91" s="107">
        <f>VLOOKUP(B91,'Tabula RefULG 1'!$K$5:$R$83,5,0)</f>
        <v>3.4200000000000008</v>
      </c>
      <c r="F91" s="107" t="str">
        <f>VLOOKUP(B91,'Tabula RefULG 1'!$K$5:$R$83,6,0)</f>
        <v>left</v>
      </c>
      <c r="G91" s="107">
        <f>VLOOKUP(B91,'Tabula RefULG 1'!$K$5:$R$83,7,0)</f>
        <v>2</v>
      </c>
      <c r="H91" s="108">
        <f>VLOOKUP(B91,'Tabula RefULG 1'!$K$5:$R$83,8,0)</f>
        <v>6.8400000000000016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5">
      <c r="A92" s="95"/>
      <c r="B92" s="106" t="s">
        <v>96</v>
      </c>
      <c r="C92" s="107">
        <f>VLOOKUP(B92,'Tabula RefULG 1'!$K$5:$R$83,3,0)</f>
        <v>2</v>
      </c>
      <c r="D92" s="107" t="str">
        <f>VLOOKUP(B92,'Tabula RefULG 1'!$K$5:$R$83,4,0)</f>
        <v>Roof</v>
      </c>
      <c r="E92" s="107">
        <f>VLOOKUP(B92,'Tabula RefULG 1'!$K$5:$R$83,5,0)</f>
        <v>161.6</v>
      </c>
      <c r="F92" s="107" t="str">
        <f>VLOOKUP(B92,'Tabula RefULG 1'!$K$5:$R$83,6,0)</f>
        <v>front/back</v>
      </c>
      <c r="G92" s="107">
        <f>VLOOKUP(B92,'Tabula RefULG 1'!$K$5:$R$83,7,0)</f>
        <v>0.27062537995411134</v>
      </c>
      <c r="H92" s="108">
        <f>VLOOKUP(B92,'Tabula RefULG 1'!$K$5:$R$83,8,0)</f>
        <v>43.73306140058439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5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5">
      <c r="A108" s="95"/>
      <c r="B108" s="121" t="s">
        <v>98</v>
      </c>
      <c r="C108" s="122">
        <f>IF(VLOOKUP(B108,'Tabula RefULG 1'!$K$5:$R$83,2,0)=$B$78,VLOOKUP(B108,'Tabula RefULG 1'!$K$5:$R$83,2,0),VLOOKUP(B108,'Tabula RefULG 1'!$K$5:$R$83,3,0))</f>
        <v>2</v>
      </c>
      <c r="D108" s="122">
        <f>IF(VLOOKUP(B108,'Tabula RefULG 1'!$K$5:$R$83,2,0)=$B$78,VLOOKUP(B108,'Tabula RefULG 1'!$K$5:$R$83,3,0),VLOOKUP(B108,'Tabula RefULG 1'!$K$5:$R$83,2,0))</f>
        <v>1</v>
      </c>
      <c r="E108" s="122" t="str">
        <f>VLOOKUP(B108,'Tabula RefULG 1'!$K$5:$R$83,4,0)</f>
        <v>Floor internal</v>
      </c>
      <c r="F108" s="122">
        <f>VLOOKUP(B108,'Tabula RefULG 1'!$K$5:$R$83,5,0)</f>
        <v>119.59999999999997</v>
      </c>
      <c r="G108" s="122">
        <f>VLOOKUP('Verwarming Tabula 2zone RefULG1'!C108,'Tabula RefULG 1'!$A$34:$F$45,5,0)</f>
        <v>18</v>
      </c>
      <c r="H108" s="122">
        <f>VLOOKUP('Verwarming Tabula 2zone RefULG1'!D108,'Tabula RefULG 1'!$A$34:$F$45,5,0)</f>
        <v>21</v>
      </c>
      <c r="I108" s="122">
        <f>VLOOKUP(B108,'Tabula RefULG 1'!$K$5:$R$83,7,0)</f>
        <v>1.4549653579676673</v>
      </c>
      <c r="J108" s="118">
        <f>VLOOKUP(B108,'Tabula RefULG 1'!$K$5:$R$83,8,0)</f>
        <v>174.01385681293297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5">
      <c r="A109" s="95"/>
      <c r="B109" s="121" t="s">
        <v>102</v>
      </c>
      <c r="C109" s="122">
        <f>IF(VLOOKUP(B109,'Tabula RefULG 1'!$K$5:$R$83,2,0)=$B$78,VLOOKUP(B109,'Tabula RefULG 1'!$K$5:$R$83,2,0),VLOOKUP(B109,'Tabula RefULG 1'!$K$5:$R$83,3,0))</f>
        <v>2</v>
      </c>
      <c r="D109" s="122">
        <f>IF(VLOOKUP(B109,'Tabula RefULG 1'!$K$5:$R$83,2,0)=$B$78,VLOOKUP(B109,'Tabula RefULG 1'!$K$5:$R$83,3,0),VLOOKUP(B109,'Tabula RefULG 1'!$K$5:$R$83,2,0))</f>
        <v>2</v>
      </c>
      <c r="E109" s="122" t="str">
        <f>VLOOKUP(B109,'Tabula RefULG 1'!$K$5:$R$83,4,0)</f>
        <v>Wall internal</v>
      </c>
      <c r="F109" s="122">
        <f>VLOOKUP(B109,'Tabula RefULG 1'!$K$5:$R$83,5,0)</f>
        <v>28.240500000000004</v>
      </c>
      <c r="G109" s="122">
        <f>VLOOKUP('Verwarming Tabula 2zone RefULG1'!C109,'Tabula RefULG 1'!$A$34:$F$45,5,0)</f>
        <v>18</v>
      </c>
      <c r="H109" s="122">
        <f>VLOOKUP('Verwarming Tabula 2zone RefULG1'!D109,'Tabula RefULG 1'!$A$34:$F$45,5,0)</f>
        <v>18</v>
      </c>
      <c r="I109" s="122">
        <f>VLOOKUP(B109,'Tabula RefULG 1'!$K$5:$R$83,7,0)</f>
        <v>1.7363344051446945</v>
      </c>
      <c r="J109" s="118">
        <f>VLOOKUP(B109,'Tabula RefULG 1'!$K$5:$R$83,8,0)</f>
        <v>49.034951768488753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5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5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5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>
        <f>SUMPRODUCT(H84:H95,I84:I95)+SUMPRODUCT(G100:G104,H100:H104)+SUMPRODUCT(J108:J117,K108:K117)</f>
        <v>67.779212908503084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>
        <f>B121*(G109-$B$4)</f>
        <v>1762.2595356210802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3">
      <c r="A124" s="317" t="s">
        <v>194</v>
      </c>
      <c r="B124" s="317"/>
      <c r="C124" s="317"/>
      <c r="D124" s="125" t="s">
        <v>222</v>
      </c>
      <c r="E124" s="304"/>
      <c r="F124" s="304"/>
      <c r="G124" s="304"/>
      <c r="H124" s="304"/>
      <c r="I124" s="304"/>
      <c r="J124" s="304"/>
      <c r="K124" s="304"/>
      <c r="L124" s="304"/>
      <c r="M124" s="304"/>
      <c r="N124" s="304"/>
      <c r="O124" s="304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5">
      <c r="A127" s="127" t="s">
        <v>196</v>
      </c>
      <c r="B127" s="121">
        <f>'Tabula data'!E28</f>
        <v>4.7130190007037305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3">
      <c r="A130" s="124" t="s">
        <v>202</v>
      </c>
      <c r="B130" s="118">
        <f>VLOOKUP(B78,'Tabula RefULG 1'!$A$34:$F$45,2,0)*B127/20</f>
        <v>77.494690402476778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'Tabula RefULG 1'!G35</f>
        <v>119.59999999999997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SUM(B130,B134)</f>
        <v>77.494690402476778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0.48589668440557765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0.34*(B137)</f>
        <v>26.348194736842107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B139*(G109-$B$4)</f>
        <v>685.05306315789483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5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5">
      <c r="A145" s="127" t="s">
        <v>113</v>
      </c>
      <c r="B145" s="121">
        <f>B133</f>
        <v>119.59999999999997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3">
      <c r="A146" s="124" t="s">
        <v>213</v>
      </c>
      <c r="B146" s="118">
        <f>B147/('Gebouwgegevens Allacker'!E100-'Verwarming Tabula 2zone RefULG1'!$B$4)</f>
        <v>164.44999999999996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1315.5999999999997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3">
      <c r="A151" s="124" t="s">
        <v>215</v>
      </c>
      <c r="B151" s="118">
        <f>SUM(B121,B139,B146)</f>
        <v>258.57740764534515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>
        <f>SUM(B122,B140,B147)</f>
        <v>3762.9125987789748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5">
      <c r="A157" s="93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04"/>
      <c r="O157" s="304"/>
      <c r="P157" s="94"/>
    </row>
    <row r="158" spans="1:16" ht="17.25" customHeight="1" thickTop="1" thickBot="1" x14ac:dyDescent="0.4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3">
      <c r="A159" s="317" t="s">
        <v>168</v>
      </c>
      <c r="B159" s="317"/>
      <c r="C159" s="317"/>
      <c r="D159" s="317"/>
      <c r="E159" s="304"/>
      <c r="F159" s="304"/>
      <c r="G159" s="304"/>
      <c r="H159" s="304"/>
      <c r="I159" s="304"/>
      <c r="J159" s="304"/>
      <c r="K159" s="304"/>
      <c r="L159" s="304"/>
      <c r="M159" s="304"/>
      <c r="N159" s="304"/>
      <c r="O159" s="304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RefULG1'!C188,'Gebouwgegevens Allacker'!$A$35:$F$46,5,0)</f>
        <v>#N/A</v>
      </c>
      <c r="H188" s="122" t="e">
        <f>VLOOKUP('Verwarming Tabula 2zone RefULG1'!D188,'Gebouwgegevens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RefULG1'!C189,'Gebouwgegevens Allacker'!$A$35:$F$46,5,0)</f>
        <v>#N/A</v>
      </c>
      <c r="H189" s="122" t="e">
        <f>VLOOKUP('Verwarming Tabula 2zone RefULG1'!D189,'Gebouwgegevens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RefULG1'!C190,'Gebouwgegevens Allacker'!$A$35:$F$46,5,0)</f>
        <v>#N/A</v>
      </c>
      <c r="H190" s="122" t="e">
        <f>VLOOKUP('Verwarming Tabula 2zone RefULG1'!D190,'Gebouwgegevens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3">
      <c r="A204" s="317" t="s">
        <v>194</v>
      </c>
      <c r="B204" s="317"/>
      <c r="C204" s="317"/>
      <c r="D204" s="125" t="s">
        <v>222</v>
      </c>
      <c r="E204" s="304"/>
      <c r="F204" s="304"/>
      <c r="G204" s="304"/>
      <c r="H204" s="304"/>
      <c r="I204" s="304"/>
      <c r="J204" s="304"/>
      <c r="K204" s="304"/>
      <c r="L204" s="304"/>
      <c r="M204" s="304"/>
      <c r="N204" s="304"/>
      <c r="O204" s="304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 2zone RefULG1'!$B$4)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5">
      <c r="A236" s="93"/>
      <c r="B236" s="304"/>
      <c r="C236" s="304"/>
      <c r="D236" s="304"/>
      <c r="E236" s="304"/>
      <c r="F236" s="304"/>
      <c r="G236" s="304"/>
      <c r="H236" s="304"/>
      <c r="I236" s="304"/>
      <c r="J236" s="304"/>
      <c r="K236" s="304"/>
      <c r="L236" s="304"/>
      <c r="M236" s="304"/>
      <c r="N236" s="304"/>
      <c r="O236" s="304"/>
      <c r="P236" s="94"/>
    </row>
    <row r="237" spans="1:16" ht="17.25" customHeight="1" thickTop="1" thickBot="1" x14ac:dyDescent="0.4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3">
      <c r="A238" s="317" t="s">
        <v>168</v>
      </c>
      <c r="B238" s="317"/>
      <c r="C238" s="317"/>
      <c r="D238" s="317"/>
      <c r="E238" s="304"/>
      <c r="F238" s="304"/>
      <c r="G238" s="304"/>
      <c r="H238" s="304"/>
      <c r="I238" s="304"/>
      <c r="J238" s="304"/>
      <c r="K238" s="304"/>
      <c r="L238" s="304"/>
      <c r="M238" s="304"/>
      <c r="N238" s="304"/>
      <c r="O238" s="304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RefULG1'!C267,'Gebouwgegevens Allacker'!$A$35:$F$46,5,0)</f>
        <v>#N/A</v>
      </c>
      <c r="H267" s="122" t="e">
        <f>VLOOKUP('Verwarming Tabula 2zone RefULG1'!D267,'Gebouwgegevens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RefULG1'!C268,'Gebouwgegevens Allacker'!$A$35:$F$46,5,0)</f>
        <v>#N/A</v>
      </c>
      <c r="H268" s="122" t="e">
        <f>VLOOKUP('Verwarming Tabula 2zone RefULG1'!D268,'Gebouwgegevens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RefULG1'!C269,'Gebouwgegevens Allacker'!$A$35:$F$46,5,0)</f>
        <v>#N/A</v>
      </c>
      <c r="H269" s="122" t="e">
        <f>VLOOKUP('Verwarming Tabula 2zone RefULG1'!D269,'Gebouwgegevens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RefULG1'!C270,'Gebouwgegevens Allacker'!$A$35:$F$46,5,0)</f>
        <v>#N/A</v>
      </c>
      <c r="H270" s="122" t="e">
        <f>VLOOKUP('Verwarming Tabula 2zone RefULG1'!D270,'Gebouwgegevens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3">
      <c r="A283" s="317" t="s">
        <v>194</v>
      </c>
      <c r="B283" s="317"/>
      <c r="C283" s="317"/>
      <c r="D283" s="125" t="s">
        <v>222</v>
      </c>
      <c r="E283" s="304"/>
      <c r="F283" s="304"/>
      <c r="G283" s="304"/>
      <c r="H283" s="304"/>
      <c r="I283" s="304"/>
      <c r="J283" s="304"/>
      <c r="K283" s="304"/>
      <c r="L283" s="304"/>
      <c r="M283" s="304"/>
      <c r="N283" s="304"/>
      <c r="O283" s="304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 2zone RefULG1'!$B$4)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5">
      <c r="A315" s="93"/>
      <c r="B315" s="304"/>
      <c r="C315" s="304"/>
      <c r="D315" s="304"/>
      <c r="E315" s="304"/>
      <c r="F315" s="304"/>
      <c r="G315" s="304"/>
      <c r="H315" s="304"/>
      <c r="I315" s="304"/>
      <c r="J315" s="304"/>
      <c r="K315" s="304"/>
      <c r="L315" s="304"/>
      <c r="M315" s="304"/>
      <c r="N315" s="304"/>
      <c r="O315" s="304"/>
      <c r="P315" s="94"/>
    </row>
    <row r="316" spans="1:16" ht="17.25" customHeight="1" thickTop="1" thickBot="1" x14ac:dyDescent="0.4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3">
      <c r="A317" s="317" t="s">
        <v>168</v>
      </c>
      <c r="B317" s="317"/>
      <c r="C317" s="317"/>
      <c r="D317" s="317"/>
      <c r="E317" s="304"/>
      <c r="F317" s="304"/>
      <c r="G317" s="304"/>
      <c r="H317" s="304"/>
      <c r="I317" s="304"/>
      <c r="J317" s="304"/>
      <c r="K317" s="304"/>
      <c r="L317" s="304"/>
      <c r="M317" s="304"/>
      <c r="N317" s="304"/>
      <c r="O317" s="304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RefULG1'!C346,'Gebouwgegevens Allacker'!$A$35:$F$46,5,0)</f>
        <v>#N/A</v>
      </c>
      <c r="H346" s="122" t="e">
        <f>VLOOKUP('Verwarming Tabula 2zone RefULG1'!D346,'Gebouwgegevens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RefULG1'!C347,'Gebouwgegevens Allacker'!$A$35:$F$46,5,0)</f>
        <v>#N/A</v>
      </c>
      <c r="H347" s="122" t="e">
        <f>VLOOKUP('Verwarming Tabula 2zone RefULG1'!D347,'Gebouwgegevens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RefULG1'!C348,'Gebouwgegevens Allacker'!$A$35:$F$46,5,0)</f>
        <v>#N/A</v>
      </c>
      <c r="H348" s="122" t="e">
        <f>VLOOKUP('Verwarming Tabula 2zone RefULG1'!D348,'Gebouwgegevens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RefULG1'!C349,'Gebouwgegevens Allacker'!$A$35:$F$46,5,0)</f>
        <v>#N/A</v>
      </c>
      <c r="H349" s="122" t="e">
        <f>VLOOKUP('Verwarming Tabula 2zone RefULG1'!D349,'Gebouwgegevens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RefULG1'!C350,'Gebouwgegevens Allacker'!$A$35:$F$46,5,0)</f>
        <v>#N/A</v>
      </c>
      <c r="H350" s="122" t="e">
        <f>VLOOKUP('Verwarming Tabula 2zone RefULG1'!D350,'Gebouwgegevens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3">
      <c r="A362" s="317" t="s">
        <v>194</v>
      </c>
      <c r="B362" s="317"/>
      <c r="C362" s="317"/>
      <c r="D362" s="125" t="s">
        <v>222</v>
      </c>
      <c r="E362" s="304"/>
      <c r="F362" s="304"/>
      <c r="G362" s="304"/>
      <c r="H362" s="304"/>
      <c r="I362" s="304"/>
      <c r="J362" s="304"/>
      <c r="K362" s="304"/>
      <c r="L362" s="304"/>
      <c r="M362" s="304"/>
      <c r="N362" s="304"/>
      <c r="O362" s="304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 2zone RefULG1'!$B$4)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5">
      <c r="A393" s="93"/>
      <c r="B393" s="304"/>
      <c r="C393" s="304"/>
      <c r="D393" s="304"/>
      <c r="E393" s="304"/>
      <c r="F393" s="304"/>
      <c r="G393" s="304"/>
      <c r="H393" s="304"/>
      <c r="I393" s="304"/>
      <c r="J393" s="304"/>
      <c r="K393" s="304"/>
      <c r="L393" s="304"/>
      <c r="M393" s="304"/>
      <c r="N393" s="304"/>
      <c r="O393" s="304"/>
      <c r="P393" s="94"/>
    </row>
    <row r="394" spans="1:16" ht="17.25" customHeight="1" thickTop="1" thickBot="1" x14ac:dyDescent="0.4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3">
      <c r="A395" s="317" t="s">
        <v>168</v>
      </c>
      <c r="B395" s="317"/>
      <c r="C395" s="317"/>
      <c r="D395" s="317"/>
      <c r="E395" s="304"/>
      <c r="F395" s="304"/>
      <c r="G395" s="304"/>
      <c r="H395" s="304"/>
      <c r="I395" s="304"/>
      <c r="J395" s="304"/>
      <c r="K395" s="304"/>
      <c r="L395" s="304"/>
      <c r="M395" s="304"/>
      <c r="N395" s="304"/>
      <c r="O395" s="304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RefULG1'!C424,'Gebouwgegevens Allacker'!$A$35:$F$46,5,0)</f>
        <v>#N/A</v>
      </c>
      <c r="H424" s="122" t="e">
        <f>VLOOKUP('Verwarming Tabula 2zone RefULG1'!D424,'Gebouwgegevens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RefULG1'!C425,'Gebouwgegevens Allacker'!$A$35:$F$46,5,0)</f>
        <v>#N/A</v>
      </c>
      <c r="H425" s="122" t="e">
        <f>VLOOKUP('Verwarming Tabula 2zone RefULG1'!D425,'Gebouwgegevens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RefULG1'!C426,'Gebouwgegevens Allacker'!$A$35:$F$46,5,0)</f>
        <v>#N/A</v>
      </c>
      <c r="H426" s="122" t="e">
        <f>VLOOKUP('Verwarming Tabula 2zone RefULG1'!D426,'Gebouwgegevens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RefULG1'!C427,'Gebouwgegevens Allacker'!$A$35:$F$46,5,0)</f>
        <v>#N/A</v>
      </c>
      <c r="H427" s="122" t="e">
        <f>VLOOKUP('Verwarming Tabula 2zone RefULG1'!D427,'Gebouwgegevens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RefULG1'!C428,'Gebouwgegevens Allacker'!$A$35:$F$46,5,0)</f>
        <v>#N/A</v>
      </c>
      <c r="H428" s="122" t="e">
        <f>VLOOKUP('Verwarming Tabula 2zone RefULG1'!D428,'Gebouwgegevens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3">
      <c r="A440" s="317" t="s">
        <v>194</v>
      </c>
      <c r="B440" s="317"/>
      <c r="C440" s="317"/>
      <c r="D440" s="125" t="s">
        <v>222</v>
      </c>
      <c r="E440" s="304"/>
      <c r="F440" s="304"/>
      <c r="G440" s="304"/>
      <c r="H440" s="304"/>
      <c r="I440" s="304"/>
      <c r="J440" s="304"/>
      <c r="K440" s="304"/>
      <c r="L440" s="304"/>
      <c r="M440" s="304"/>
      <c r="N440" s="304"/>
      <c r="O440" s="304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 2zone RefULG1'!$B$4)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5">
      <c r="A471" s="93"/>
      <c r="B471" s="304"/>
      <c r="C471" s="304"/>
      <c r="D471" s="304"/>
      <c r="E471" s="304"/>
      <c r="F471" s="304"/>
      <c r="G471" s="304"/>
      <c r="H471" s="304"/>
      <c r="I471" s="304"/>
      <c r="J471" s="304"/>
      <c r="K471" s="304"/>
      <c r="L471" s="304"/>
      <c r="M471" s="304"/>
      <c r="N471" s="304"/>
      <c r="O471" s="304"/>
      <c r="P471" s="94"/>
    </row>
    <row r="472" spans="1:16" ht="17.25" customHeight="1" thickTop="1" thickBot="1" x14ac:dyDescent="0.4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3">
      <c r="A473" s="317" t="s">
        <v>168</v>
      </c>
      <c r="B473" s="317"/>
      <c r="C473" s="317"/>
      <c r="D473" s="317"/>
      <c r="E473" s="304"/>
      <c r="F473" s="304"/>
      <c r="G473" s="304"/>
      <c r="H473" s="304"/>
      <c r="I473" s="304"/>
      <c r="J473" s="304"/>
      <c r="K473" s="304"/>
      <c r="L473" s="304"/>
      <c r="M473" s="304"/>
      <c r="N473" s="304"/>
      <c r="O473" s="304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RefULG1'!C502,'Gebouwgegevens Allacker'!$A$35:$F$46,5,0)</f>
        <v>#N/A</v>
      </c>
      <c r="H502" s="122" t="e">
        <f>VLOOKUP('Verwarming Tabula 2zone RefULG1'!D502,'Gebouwgegevens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RefULG1'!C503,'Gebouwgegevens Allacker'!$A$35:$F$46,5,0)</f>
        <v>#N/A</v>
      </c>
      <c r="H503" s="122" t="e">
        <f>VLOOKUP('Verwarming Tabula 2zone RefULG1'!D503,'Gebouwgegevens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RefULG1'!C504,'Gebouwgegevens Allacker'!$A$35:$F$46,5,0)</f>
        <v>#N/A</v>
      </c>
      <c r="H504" s="122" t="e">
        <f>VLOOKUP('Verwarming Tabula 2zone RefULG1'!D504,'Gebouwgegevens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3">
      <c r="A518" s="317" t="s">
        <v>194</v>
      </c>
      <c r="B518" s="317"/>
      <c r="C518" s="317"/>
      <c r="D518" s="125" t="s">
        <v>222</v>
      </c>
      <c r="E518" s="304"/>
      <c r="F518" s="304"/>
      <c r="G518" s="304"/>
      <c r="H518" s="304"/>
      <c r="I518" s="304"/>
      <c r="J518" s="304"/>
      <c r="K518" s="304"/>
      <c r="L518" s="304"/>
      <c r="M518" s="304"/>
      <c r="N518" s="304"/>
      <c r="O518" s="304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 2zone RefULG1'!$B$4)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5">
      <c r="A550" s="93"/>
      <c r="B550" s="304"/>
      <c r="C550" s="304"/>
      <c r="D550" s="304"/>
      <c r="E550" s="304"/>
      <c r="F550" s="304"/>
      <c r="G550" s="304"/>
      <c r="H550" s="304"/>
      <c r="I550" s="304"/>
      <c r="J550" s="304"/>
      <c r="K550" s="304"/>
      <c r="L550" s="304"/>
      <c r="M550" s="304"/>
      <c r="N550" s="304"/>
      <c r="O550" s="304"/>
      <c r="P550" s="94"/>
    </row>
    <row r="551" spans="1:16" ht="17.25" customHeight="1" thickTop="1" thickBot="1" x14ac:dyDescent="0.4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3">
      <c r="A552" s="317" t="s">
        <v>168</v>
      </c>
      <c r="B552" s="317"/>
      <c r="C552" s="317"/>
      <c r="D552" s="317"/>
      <c r="E552" s="304"/>
      <c r="F552" s="304"/>
      <c r="G552" s="304"/>
      <c r="H552" s="304"/>
      <c r="I552" s="304"/>
      <c r="J552" s="304"/>
      <c r="K552" s="304"/>
      <c r="L552" s="304"/>
      <c r="M552" s="304"/>
      <c r="N552" s="304"/>
      <c r="O552" s="304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RefULG1'!C581,'Gebouwgegevens Allacker'!$A$35:$F$46,5,0)</f>
        <v>#N/A</v>
      </c>
      <c r="H581" s="122" t="e">
        <f>VLOOKUP('Verwarming Tabula 2zone RefULG1'!D581,'Gebouwgegevens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RefULG1'!C582,'Gebouwgegevens Allacker'!$A$35:$F$46,5,0)</f>
        <v>#N/A</v>
      </c>
      <c r="H582" s="122" t="e">
        <f>VLOOKUP('Verwarming Tabula 2zone RefULG1'!D582,'Gebouwgegevens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RefULG1'!C583,'Gebouwgegevens Allacker'!$A$35:$F$46,5,0)</f>
        <v>#N/A</v>
      </c>
      <c r="H583" s="122" t="e">
        <f>VLOOKUP('Verwarming Tabula 2zone RefULG1'!D583,'Gebouwgegevens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3">
      <c r="A597" s="317" t="s">
        <v>194</v>
      </c>
      <c r="B597" s="317"/>
      <c r="C597" s="317"/>
      <c r="D597" s="125" t="s">
        <v>222</v>
      </c>
      <c r="E597" s="304"/>
      <c r="F597" s="304"/>
      <c r="G597" s="304"/>
      <c r="H597" s="304"/>
      <c r="I597" s="304"/>
      <c r="J597" s="304"/>
      <c r="K597" s="304"/>
      <c r="L597" s="304"/>
      <c r="M597" s="304"/>
      <c r="N597" s="304"/>
      <c r="O597" s="304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 2zone RefULG1'!$B$4)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5">
      <c r="A629" s="93"/>
      <c r="B629" s="304"/>
      <c r="C629" s="304"/>
      <c r="D629" s="304"/>
      <c r="E629" s="304"/>
      <c r="F629" s="304"/>
      <c r="G629" s="304"/>
      <c r="H629" s="304"/>
      <c r="I629" s="304"/>
      <c r="J629" s="304"/>
      <c r="K629" s="304"/>
      <c r="L629" s="304"/>
      <c r="M629" s="304"/>
      <c r="N629" s="304"/>
      <c r="O629" s="304"/>
      <c r="P629" s="94"/>
    </row>
    <row r="630" spans="1:16" ht="17.25" customHeight="1" thickTop="1" thickBot="1" x14ac:dyDescent="0.4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3">
      <c r="A631" s="317" t="s">
        <v>168</v>
      </c>
      <c r="B631" s="317"/>
      <c r="C631" s="317"/>
      <c r="D631" s="317"/>
      <c r="E631" s="304"/>
      <c r="F631" s="304"/>
      <c r="G631" s="304"/>
      <c r="H631" s="304"/>
      <c r="I631" s="304"/>
      <c r="J631" s="304"/>
      <c r="K631" s="304"/>
      <c r="L631" s="304"/>
      <c r="M631" s="304"/>
      <c r="N631" s="304"/>
      <c r="O631" s="304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RefULG1'!C660,'Gebouwgegevens Allacker'!$A$35:$F$46,5,0)</f>
        <v>#N/A</v>
      </c>
      <c r="H660" s="122" t="e">
        <f>VLOOKUP('Verwarming Tabula 2zone RefULG1'!D660,'Gebouwgegevens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RefULG1'!C661,'Gebouwgegevens Allacker'!$A$35:$F$46,5,0)</f>
        <v>#N/A</v>
      </c>
      <c r="H661" s="122" t="e">
        <f>VLOOKUP('Verwarming Tabula 2zone RefULG1'!D661,'Gebouwgegevens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3">
      <c r="A676" s="317" t="s">
        <v>194</v>
      </c>
      <c r="B676" s="317"/>
      <c r="C676" s="317"/>
      <c r="D676" s="125" t="s">
        <v>222</v>
      </c>
      <c r="E676" s="304"/>
      <c r="F676" s="304"/>
      <c r="G676" s="304"/>
      <c r="H676" s="304"/>
      <c r="I676" s="304"/>
      <c r="J676" s="304"/>
      <c r="K676" s="304"/>
      <c r="L676" s="304"/>
      <c r="M676" s="304"/>
      <c r="N676" s="304"/>
      <c r="O676" s="304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 2zone RefULG1'!$B$4)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5">
      <c r="A708" s="93"/>
      <c r="B708" s="304"/>
      <c r="C708" s="304"/>
      <c r="D708" s="304"/>
      <c r="E708" s="304"/>
      <c r="F708" s="304"/>
      <c r="G708" s="304"/>
      <c r="H708" s="304"/>
      <c r="I708" s="304"/>
      <c r="J708" s="304"/>
      <c r="K708" s="304"/>
      <c r="L708" s="304"/>
      <c r="M708" s="304"/>
      <c r="N708" s="304"/>
      <c r="O708" s="304"/>
      <c r="P708" s="94"/>
    </row>
    <row r="709" spans="1:16" ht="17.25" customHeight="1" thickTop="1" thickBot="1" x14ac:dyDescent="0.4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3">
      <c r="A710" s="317" t="s">
        <v>168</v>
      </c>
      <c r="B710" s="317"/>
      <c r="C710" s="317"/>
      <c r="D710" s="317"/>
      <c r="E710" s="304"/>
      <c r="F710" s="304"/>
      <c r="G710" s="304"/>
      <c r="H710" s="304"/>
      <c r="I710" s="304"/>
      <c r="J710" s="304"/>
      <c r="K710" s="304"/>
      <c r="L710" s="304"/>
      <c r="M710" s="304"/>
      <c r="N710" s="304"/>
      <c r="O710" s="304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RefULG1'!C739,'Gebouwgegevens Allacker'!$A$35:$F$46,5,0)</f>
        <v>#N/A</v>
      </c>
      <c r="H739" s="122" t="e">
        <f>VLOOKUP('Verwarming Tabula 2zone RefULG1'!D739,'Gebouwgegevens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RefULG1'!C740,'Gebouwgegevens Allacker'!$A$35:$F$46,5,0)</f>
        <v>#N/A</v>
      </c>
      <c r="H740" s="122" t="e">
        <f>VLOOKUP('Verwarming Tabula 2zone RefULG1'!D740,'Gebouwgegevens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RefULG1'!C741,'Gebouwgegevens Allacker'!$A$35:$F$46,5,0)</f>
        <v>#N/A</v>
      </c>
      <c r="H741" s="122" t="e">
        <f>VLOOKUP('Verwarming Tabula 2zone RefULG1'!D741,'Gebouwgegevens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RefULG1'!C742,'Gebouwgegevens Allacker'!$A$35:$F$46,5,0)</f>
        <v>#N/A</v>
      </c>
      <c r="H742" s="122" t="e">
        <f>VLOOKUP('Verwarming Tabula 2zone RefULG1'!D742,'Gebouwgegevens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RefULG1'!C743,'Gebouwgegevens Allacker'!$A$35:$F$46,5,0)</f>
        <v>#N/A</v>
      </c>
      <c r="H743" s="122" t="e">
        <f>VLOOKUP('Verwarming Tabula 2zone RefULG1'!D743,'Gebouwgegevens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RefULG1'!C744,'Gebouwgegevens Allacker'!$A$35:$F$46,5,0)</f>
        <v>#N/A</v>
      </c>
      <c r="H744" s="122" t="e">
        <f>VLOOKUP('Verwarming Tabula 2zone RefULG1'!D744,'Gebouwgegevens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RefULG1'!C745,'Gebouwgegevens Allacker'!$A$35:$F$46,5,0)</f>
        <v>#N/A</v>
      </c>
      <c r="H745" s="122" t="e">
        <f>VLOOKUP('Verwarming Tabula 2zone RefULG1'!D745,'Gebouwgegevens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RefULG1'!C746,'Gebouwgegevens Allacker'!$A$35:$F$46,5,0)</f>
        <v>#N/A</v>
      </c>
      <c r="H746" s="122" t="e">
        <f>VLOOKUP('Verwarming Tabula 2zone RefULG1'!D746,'Gebouwgegevens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RefULG1'!C747,'Gebouwgegevens Allacker'!$A$35:$F$46,5,0)</f>
        <v>#N/A</v>
      </c>
      <c r="H747" s="122" t="e">
        <f>VLOOKUP('Verwarming Tabula 2zone RefULG1'!D747,'Gebouwgegevens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RefULG1'!C748,'Gebouwgegevens Allacker'!$A$35:$F$46,5,0)</f>
        <v>#N/A</v>
      </c>
      <c r="H748" s="122" t="e">
        <f>VLOOKUP('Verwarming Tabula 2zone RefULG1'!D748,'Gebouwgegevens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RefULG1'!C749,'Gebouwgegevens Allacker'!$A$35:$F$46,5,0)</f>
        <v>#N/A</v>
      </c>
      <c r="H749" s="122" t="e">
        <f>VLOOKUP('Verwarming Tabula 2zone RefULG1'!D749,'Gebouwgegevens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RefULG1'!C750,'Gebouwgegevens Allacker'!$A$35:$F$46,5,0)</f>
        <v>#N/A</v>
      </c>
      <c r="H750" s="122" t="e">
        <f>VLOOKUP('Verwarming Tabula 2zone RefULG1'!D750,'Gebouwgegevens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3">
      <c r="A755" s="317" t="s">
        <v>194</v>
      </c>
      <c r="B755" s="317"/>
      <c r="C755" s="317"/>
      <c r="D755" s="125" t="s">
        <v>222</v>
      </c>
      <c r="E755" s="304"/>
      <c r="F755" s="304"/>
      <c r="G755" s="304"/>
      <c r="H755" s="304"/>
      <c r="I755" s="304"/>
      <c r="J755" s="304"/>
      <c r="K755" s="304"/>
      <c r="L755" s="304"/>
      <c r="M755" s="304"/>
      <c r="N755" s="304"/>
      <c r="O755" s="304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 2zone RefULG1'!$B$4)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activeCell="B128" sqref="B128"/>
    </sheetView>
  </sheetViews>
  <sheetFormatPr defaultColWidth="9.109375" defaultRowHeight="14.4" x14ac:dyDescent="0.3"/>
  <cols>
    <col min="1" max="1025" width="9.109375" style="3"/>
    <col min="1026" max="16384" width="9.109375" style="81"/>
  </cols>
  <sheetData>
    <row r="1" spans="1:26" ht="20.25" customHeight="1" x14ac:dyDescent="0.3">
      <c r="A1" s="315" t="s">
        <v>161</v>
      </c>
      <c r="B1" s="315"/>
      <c r="C1" s="315"/>
      <c r="D1" s="315"/>
      <c r="E1" s="315"/>
      <c r="F1" s="315"/>
      <c r="G1" s="315"/>
      <c r="H1" s="315"/>
      <c r="I1" s="315"/>
      <c r="J1" s="91"/>
      <c r="K1" s="91"/>
      <c r="L1" s="91"/>
      <c r="M1" s="91"/>
      <c r="N1" s="91"/>
      <c r="O1" s="91"/>
      <c r="P1" s="91"/>
    </row>
    <row r="2" spans="1:26" ht="15.7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04"/>
      <c r="W4" s="304"/>
      <c r="X4" s="304"/>
      <c r="Y4" s="94"/>
    </row>
    <row r="5" spans="1:26" ht="18" customHeight="1" thickTop="1" thickBot="1" x14ac:dyDescent="0.35">
      <c r="A5" s="93"/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94"/>
      <c r="U5" s="95"/>
      <c r="V5" s="312" t="s">
        <v>165</v>
      </c>
      <c r="W5" s="312"/>
      <c r="X5" s="312"/>
      <c r="Y5" s="96"/>
    </row>
    <row r="6" spans="1:26" ht="18.75" customHeight="1" thickTop="1" thickBot="1" x14ac:dyDescent="0.4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04"/>
      <c r="Y6" s="96"/>
    </row>
    <row r="7" spans="1:26" ht="16.5" customHeight="1" thickTop="1" x14ac:dyDescent="0.3">
      <c r="A7" s="317" t="s">
        <v>168</v>
      </c>
      <c r="B7" s="317"/>
      <c r="C7" s="317"/>
      <c r="D7" s="317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94"/>
      <c r="U7" s="95"/>
      <c r="V7" s="101">
        <f>B6</f>
        <v>1</v>
      </c>
      <c r="W7" s="102">
        <f>B73</f>
        <v>7992.0196195948165</v>
      </c>
      <c r="X7" s="98" t="s">
        <v>169</v>
      </c>
      <c r="Y7" s="96"/>
      <c r="Z7" s="3">
        <f>0.7*W7</f>
        <v>5594.4137337163711</v>
      </c>
    </row>
    <row r="8" spans="1:26" ht="15" customHeight="1" x14ac:dyDescent="0.3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4422.6187360639915</v>
      </c>
      <c r="X8" s="98" t="s">
        <v>169</v>
      </c>
      <c r="Y8" s="96"/>
      <c r="Z8" s="3">
        <f>0.7*W8</f>
        <v>3095.833115244794</v>
      </c>
    </row>
    <row r="9" spans="1:26" ht="15" customHeight="1" x14ac:dyDescent="0.3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3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5">
      <c r="A12" s="95"/>
      <c r="B12" s="106" t="str">
        <f>'Tabula RefULG 2'!K6</f>
        <v>W1</v>
      </c>
      <c r="C12" s="107">
        <f>VLOOKUP(B12,'Tabula RefULG 2'!$K$5:$R$83,3,0)</f>
        <v>1</v>
      </c>
      <c r="D12" s="107" t="str">
        <f>VLOOKUP(B12,'Tabula RefULG 2'!$K$5:$R$83,4,0)</f>
        <v>Wall External</v>
      </c>
      <c r="E12" s="107">
        <f>VLOOKUP(B12,'Tabula RefULG 2'!$K$5:$R$83,5,0)</f>
        <v>54.722250000000003</v>
      </c>
      <c r="F12" s="107" t="str">
        <f>VLOOKUP(B12,'Tabula RefULG 2'!$K$5:$R$83,6,0)</f>
        <v>front</v>
      </c>
      <c r="G12" s="107">
        <f>VLOOKUP(B12,'Tabula RefULG 2'!$K$5:$R$83,7,0)</f>
        <v>0.36462385321100915</v>
      </c>
      <c r="H12" s="108">
        <f>VLOOKUP(B12,'Tabula RefULG 2'!$K$5:$R$83,8,0)</f>
        <v>19.953037651376146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5">
      <c r="A13" s="95"/>
      <c r="B13" s="106" t="str">
        <f>'Tabula RefULG 2'!K7</f>
        <v>W2</v>
      </c>
      <c r="C13" s="107">
        <f>VLOOKUP(B13,'Tabula RefULG 2'!$K$5:$R$83,3,0)</f>
        <v>1</v>
      </c>
      <c r="D13" s="107" t="str">
        <f>VLOOKUP(B13,'Tabula RefULG 2'!$K$5:$R$83,4,0)</f>
        <v>Wall External</v>
      </c>
      <c r="E13" s="107">
        <f>VLOOKUP(B13,'Tabula RefULG 2'!$K$5:$R$83,5,0)</f>
        <v>31.657499999999995</v>
      </c>
      <c r="F13" s="107" t="str">
        <f>VLOOKUP(B13,'Tabula RefULG 2'!$K$5:$R$83,6,0)</f>
        <v>right</v>
      </c>
      <c r="G13" s="107">
        <f>VLOOKUP(B13,'Tabula RefULG 2'!$K$5:$R$83,7,0)</f>
        <v>0.36462385321100915</v>
      </c>
      <c r="H13" s="108">
        <f>VLOOKUP(B13,'Tabula RefULG 2'!$K$5:$R$83,8,0)</f>
        <v>11.543079633027521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5">
      <c r="A14" s="95"/>
      <c r="B14" s="106" t="str">
        <f>'Tabula RefULG 2'!K8</f>
        <v>W3</v>
      </c>
      <c r="C14" s="107">
        <f>VLOOKUP(B14,'Tabula RefULG 2'!$K$5:$R$83,3,0)</f>
        <v>1</v>
      </c>
      <c r="D14" s="107" t="str">
        <f>VLOOKUP(B14,'Tabula RefULG 2'!$K$5:$R$83,4,0)</f>
        <v>Wall External</v>
      </c>
      <c r="E14" s="107">
        <f>VLOOKUP(B14,'Tabula RefULG 2'!$K$5:$R$83,5,0)</f>
        <v>54.722250000000003</v>
      </c>
      <c r="F14" s="107" t="str">
        <f>VLOOKUP(B14,'Tabula RefULG 2'!$K$5:$R$83,6,0)</f>
        <v>back</v>
      </c>
      <c r="G14" s="107">
        <f>VLOOKUP(B14,'Tabula RefULG 2'!$K$5:$R$83,7,0)</f>
        <v>0.36462385321100915</v>
      </c>
      <c r="H14" s="108">
        <f>VLOOKUP(B14,'Tabula RefULG 2'!$K$5:$R$83,8,0)</f>
        <v>19.953037651376146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5">
      <c r="A15" s="95"/>
      <c r="B15" s="106" t="str">
        <f>'Tabula RefULG 2'!K9</f>
        <v>W4</v>
      </c>
      <c r="C15" s="107">
        <f>VLOOKUP(B15,'Tabula RefULG 2'!$K$5:$R$83,3,0)</f>
        <v>1</v>
      </c>
      <c r="D15" s="107" t="str">
        <f>VLOOKUP(B15,'Tabula RefULG 2'!$K$5:$R$83,4,0)</f>
        <v>Wall External</v>
      </c>
      <c r="E15" s="107">
        <f>VLOOKUP(B15,'Tabula RefULG 2'!$K$5:$R$83,5,0)</f>
        <v>31.657499999999995</v>
      </c>
      <c r="F15" s="107" t="str">
        <f>VLOOKUP(B15,'Tabula RefULG 2'!$K$5:$R$83,6,0)</f>
        <v>left</v>
      </c>
      <c r="G15" s="107">
        <f>VLOOKUP(B15,'Tabula RefULG 2'!$K$5:$R$83,7,0)</f>
        <v>0.36462385321100915</v>
      </c>
      <c r="H15" s="108">
        <f>VLOOKUP(B15,'Tabula RefULG 2'!$K$5:$R$83,8,0)</f>
        <v>11.543079633027521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5">
      <c r="A16" s="95"/>
      <c r="B16" s="106" t="str">
        <f>'Tabula RefULG 2'!K10</f>
        <v>W5</v>
      </c>
      <c r="C16" s="107">
        <f>VLOOKUP(B16,'Tabula RefULG 2'!$K$5:$R$83,3,0)</f>
        <v>1</v>
      </c>
      <c r="D16" s="107" t="str">
        <f>VLOOKUP(B16,'Tabula RefULG 2'!$K$5:$R$83,4,0)</f>
        <v>Window</v>
      </c>
      <c r="E16" s="107">
        <f>VLOOKUP(B16,'Tabula RefULG 2'!$K$5:$R$83,5,0)</f>
        <v>6.93</v>
      </c>
      <c r="F16" s="107" t="str">
        <f>VLOOKUP(B16,'Tabula RefULG 2'!$K$5:$R$83,6,0)</f>
        <v>front</v>
      </c>
      <c r="G16" s="107">
        <f>VLOOKUP(B16,'Tabula RefULG 2'!$K$5:$R$83,7,0)</f>
        <v>2</v>
      </c>
      <c r="H16" s="108">
        <f>VLOOKUP(B16,'Tabula RefULG 2'!$K$5:$R$83,8,0)</f>
        <v>13.86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5">
      <c r="A17" s="95"/>
      <c r="B17" s="106" t="str">
        <f>'Tabula RefULG 2'!K11</f>
        <v>W6</v>
      </c>
      <c r="C17" s="107">
        <f>VLOOKUP(B17,'Tabula RefULG 2'!$K$5:$R$83,3,0)</f>
        <v>1</v>
      </c>
      <c r="D17" s="107" t="str">
        <f>VLOOKUP(B17,'Tabula RefULG 2'!$K$5:$R$83,4,0)</f>
        <v>Window</v>
      </c>
      <c r="E17" s="107">
        <f>VLOOKUP(B17,'Tabula RefULG 2'!$K$5:$R$83,5,0)</f>
        <v>7.77</v>
      </c>
      <c r="F17" s="107" t="str">
        <f>VLOOKUP(B17,'Tabula RefULG 2'!$K$5:$R$83,6,0)</f>
        <v>right</v>
      </c>
      <c r="G17" s="107">
        <f>VLOOKUP(B17,'Tabula RefULG 2'!$K$5:$R$83,7,0)</f>
        <v>2</v>
      </c>
      <c r="H17" s="108">
        <f>VLOOKUP(B17,'Tabula RefULG 2'!$K$5:$R$83,8,0)</f>
        <v>15.54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5">
      <c r="A18" s="95"/>
      <c r="B18" s="106" t="str">
        <f>'Tabula RefULG 2'!K12</f>
        <v>W7</v>
      </c>
      <c r="C18" s="107">
        <f>VLOOKUP(B18,'Tabula RefULG 2'!$K$5:$R$83,3,0)</f>
        <v>1</v>
      </c>
      <c r="D18" s="107" t="str">
        <f>VLOOKUP(B18,'Tabula RefULG 2'!$K$5:$R$83,4,0)</f>
        <v>Window</v>
      </c>
      <c r="E18" s="107">
        <f>VLOOKUP(B18,'Tabula RefULG 2'!$K$5:$R$83,5,0)</f>
        <v>9.1</v>
      </c>
      <c r="F18" s="107" t="str">
        <f>VLOOKUP(B18,'Tabula RefULG 2'!$K$5:$R$83,6,0)</f>
        <v>back</v>
      </c>
      <c r="G18" s="107">
        <f>VLOOKUP(B18,'Tabula RefULG 2'!$K$5:$R$83,7,0)</f>
        <v>2</v>
      </c>
      <c r="H18" s="108">
        <f>VLOOKUP(B18,'Tabula RefULG 2'!$K$5:$R$83,8,0)</f>
        <v>18.2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12414.638355658808</v>
      </c>
      <c r="X18" s="304" t="s">
        <v>169</v>
      </c>
      <c r="Y18" s="96"/>
    </row>
    <row r="19" spans="1:25" ht="16.5" customHeight="1" thickTop="1" thickBot="1" x14ac:dyDescent="0.35">
      <c r="A19" s="95"/>
      <c r="B19" s="106" t="str">
        <f>'Tabula RefULG 2'!K13</f>
        <v>W8</v>
      </c>
      <c r="C19" s="107">
        <f>VLOOKUP(B19,'Tabula RefULG 2'!$K$5:$R$83,3,0)</f>
        <v>1</v>
      </c>
      <c r="D19" s="107" t="str">
        <f>VLOOKUP(B19,'Tabula RefULG 2'!$K$5:$R$83,4,0)</f>
        <v>Window</v>
      </c>
      <c r="E19" s="107">
        <f>VLOOKUP(B19,'Tabula RefULG 2'!$K$5:$R$83,5,0)</f>
        <v>7.9799999999999995</v>
      </c>
      <c r="F19" s="107" t="str">
        <f>VLOOKUP(B19,'Tabula RefULG 2'!$K$5:$R$83,6,0)</f>
        <v>left</v>
      </c>
      <c r="G19" s="107">
        <f>VLOOKUP(B19,'Tabula RefULG 2'!$K$5:$R$83,7,0)</f>
        <v>2</v>
      </c>
      <c r="H19" s="108">
        <f>VLOOKUP(B19,'Tabula RefULG 2'!$K$5:$R$83,8,0)</f>
        <v>15.959999999999999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5">
      <c r="A21" s="95"/>
      <c r="B21" s="106" t="str">
        <f>'Gebouwgegevens Allacker'!J15</f>
        <v>W10</v>
      </c>
      <c r="C21" s="107">
        <f>VLOOKUP(B21,'Tabula RefULG 2'!$K$5:$R$83,3,0)</f>
        <v>1</v>
      </c>
      <c r="D21" s="107" t="str">
        <f>VLOOKUP(B21,'Tabula RefULG 2'!$K$5:$R$83,4,0)</f>
        <v>Roof</v>
      </c>
      <c r="E21" s="107">
        <f>VLOOKUP(B21,'Tabula RefULG 2'!$K$5:$R$83,5,0)</f>
        <v>0</v>
      </c>
      <c r="F21" s="107">
        <f>VLOOKUP(B21,'Tabula RefULG 2'!$K$5:$R$83,6,0)</f>
        <v>0</v>
      </c>
      <c r="G21" s="107">
        <f>VLOOKUP(B21,'Tabula RefULG 2'!$K$5:$R$83,7,0)</f>
        <v>0.27062537995411134</v>
      </c>
      <c r="H21" s="108">
        <f>VLOOKUP(B21,'Tabula RefULG 2'!$K$5:$R$83,8,0)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8791.2215815542986</v>
      </c>
      <c r="X21" s="98"/>
      <c r="Y21" s="98"/>
    </row>
    <row r="22" spans="1:25" ht="16.5" customHeight="1" thickTop="1" thickBot="1" x14ac:dyDescent="0.35">
      <c r="A22" s="95"/>
      <c r="B22" s="106" t="s">
        <v>67</v>
      </c>
      <c r="C22" s="107">
        <f>VLOOKUP(B22,'Tabula RefULG 2'!$K$5:$R$83,3,0)</f>
        <v>1</v>
      </c>
      <c r="D22" s="107" t="str">
        <f>VLOOKUP(B22,'Tabula RefULG 2'!$K$5:$R$83,4,0)</f>
        <v>Door</v>
      </c>
      <c r="E22" s="107">
        <f>VLOOKUP(B22,'Tabula RefULG 2'!$K$5:$R$83,5,0)</f>
        <v>11.5</v>
      </c>
      <c r="F22" s="107">
        <f>VLOOKUP(B22,'Tabula RefULG 2'!$K$5:$R$83,6,0)</f>
        <v>0</v>
      </c>
      <c r="G22" s="107">
        <f>VLOOKUP(B22,'Tabula RefULG 2'!$K$5:$R$83,7,0)</f>
        <v>3.5</v>
      </c>
      <c r="H22" s="108">
        <f>VLOOKUP(B22,'Tabula RefULG 2'!$K$5:$R$83,8,0)</f>
        <v>40.25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3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3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3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3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5">
      <c r="A28" s="95"/>
      <c r="B28" s="116" t="s">
        <v>61</v>
      </c>
      <c r="C28" s="117">
        <f>VLOOKUP(B28,'Tabula RefULG 2'!$K$5:$R$83,3,0)</f>
        <v>1</v>
      </c>
      <c r="D28" s="117" t="str">
        <f>VLOOKUP(B28,'Tabula RefULG 2'!$K$5:$R$83,4,0)</f>
        <v>Floor</v>
      </c>
      <c r="E28" s="117">
        <f>VLOOKUP(B28,'Tabula RefULG 2'!$K$5:$R$83,5,0)</f>
        <v>138.80000000000001</v>
      </c>
      <c r="F28" s="117">
        <f>VLOOKUP(B28,'Tabula RefULG 2'!$K$5:$R$83,7,0)</f>
        <v>0.28445648493057907</v>
      </c>
      <c r="G28" s="118">
        <f>VLOOKUP(B28,'Tabula RefULG 2'!$K$5:$R$83,8,0)</f>
        <v>39.482560108364375</v>
      </c>
      <c r="H28" s="118">
        <f>N28/F28*1.45*(G34-12)/(G34+8)</f>
        <v>0.31884834521707789</v>
      </c>
      <c r="I28" s="117">
        <f>'Tabula RefULG 2'!O14</f>
        <v>138.80000000000001</v>
      </c>
      <c r="J28" s="116">
        <f>SQRT(I28)*4</f>
        <v>47.125364720074053</v>
      </c>
      <c r="K28" s="116">
        <f>SUM('Tabula RefULG 2'!Z17:Z19)</f>
        <v>0.19999999999999998</v>
      </c>
      <c r="L28" s="119">
        <f>I28/(0.5*J28)</f>
        <v>5.8906705900092566</v>
      </c>
      <c r="M28" s="119">
        <f>K28+2*(1/F28)</f>
        <v>7.230952380952381</v>
      </c>
      <c r="N28" s="120">
        <f>IF(M28&lt;L28,2*2/(PI()*L28+M28)*LN(PI()*L28/M28+1),2/(0.457*L28+M28))</f>
        <v>0.2015521766808484</v>
      </c>
      <c r="O28" s="98"/>
      <c r="P28" s="96"/>
    </row>
    <row r="29" spans="1:25" ht="15.75" customHeight="1" thickTop="1" x14ac:dyDescent="0.3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3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3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13656.102191224691</v>
      </c>
    </row>
    <row r="32" spans="1:25" ht="15.75" customHeight="1" thickBot="1" x14ac:dyDescent="0.3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5">
      <c r="A33" s="95"/>
      <c r="B33" s="121" t="s">
        <v>98</v>
      </c>
      <c r="C33" s="122">
        <f>IF(VLOOKUP(B33,'Tabula RefULG 2'!$K$5:$R$83,2,0)=B$6,VLOOKUP(B33,'Tabula RefULG 2'!$K$5:$R$83,2,0),VLOOKUP(B33,'Tabula RefULG 2'!$K$5:$R$83,3,0))</f>
        <v>1</v>
      </c>
      <c r="D33" s="122">
        <f>IF(VLOOKUP(B33,'Tabula RefULG 2'!$K$5:$R$83,2,0)=B$6,VLOOKUP(B33,'Tabula RefULG 2'!$K$5:$R$83,3,0),VLOOKUP(B33,'Tabula RefULG 2'!$K$5:$R$83,2,0))</f>
        <v>2</v>
      </c>
      <c r="E33" s="122" t="str">
        <f>VLOOKUP(B33,'Tabula RefULG 2'!$K$5:$R$83,4,0)</f>
        <v>Floor internal</v>
      </c>
      <c r="F33" s="122">
        <f>VLOOKUP(B33,'Tabula RefULG 2'!$K$5:$R$83,5,0)</f>
        <v>119.59999999999997</v>
      </c>
      <c r="G33" s="122">
        <f>VLOOKUP('Verwarming Tabula 2zone RefULG2'!C33,'Tabula RefULG 2'!$A$34:$F$45,5,0)</f>
        <v>21</v>
      </c>
      <c r="H33" s="122">
        <f>VLOOKUP('Verwarming Tabula 2zone RefULG2'!D33,'Tabula RefULG 2'!$A$34:$F$45,5,0)</f>
        <v>18</v>
      </c>
      <c r="I33" s="122">
        <f>VLOOKUP(B33,'Tabula RefULG 2'!$K$5:$R$83,7,0)</f>
        <v>1.0482529118136439</v>
      </c>
      <c r="J33" s="118">
        <f>VLOOKUP(B33,'Tabula RefULG 2'!$K$5:$R$83,8,0)</f>
        <v>125.37104825291178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5">
      <c r="A34" s="95"/>
      <c r="B34" s="121" t="s">
        <v>101</v>
      </c>
      <c r="C34" s="122">
        <f>IF(VLOOKUP(B34,'Tabula RefULG 2'!$K$5:$R$83,2,0)=B$6,VLOOKUP(B34,'Tabula RefULG 2'!$K$5:$R$83,2,0),VLOOKUP(B34,'Tabula RefULG 2'!$K$5:$R$83,3,0))</f>
        <v>1</v>
      </c>
      <c r="D34" s="122">
        <f>IF(VLOOKUP(B34,'Tabula RefULG 2'!$K$5:$R$83,2,0)=B$6,VLOOKUP(B34,'Tabula RefULG 2'!$K$5:$R$83,3,0),VLOOKUP(B34,'Tabula RefULG 2'!$K$5:$R$83,2,0))</f>
        <v>1</v>
      </c>
      <c r="E34" s="122" t="str">
        <f>VLOOKUP(B34,'Tabula RefULG 2'!$K$5:$R$83,4,0)</f>
        <v>Wall internal</v>
      </c>
      <c r="F34" s="122">
        <f>VLOOKUP(B34,'Tabula RefULG 2'!$K$5:$R$83,5,0)</f>
        <v>172.7595</v>
      </c>
      <c r="G34" s="122">
        <f>VLOOKUP('Verwarming Tabula 2zone RefULG2'!C34,'Tabula RefULG 2'!$A$34:$F$45,5,0)</f>
        <v>21</v>
      </c>
      <c r="H34" s="122">
        <f>VLOOKUP('Verwarming Tabula 2zone RefULG2'!D34,'Tabula RefULG 2'!$A$34:$F$45,5,0)</f>
        <v>21</v>
      </c>
      <c r="I34" s="122">
        <f>VLOOKUP(B34,'Tabula RefULG 2'!$K$5:$R$83,7,0)</f>
        <v>1.7363344051446945</v>
      </c>
      <c r="J34" s="118">
        <f>VLOOKUP(B34,'Tabula RefULG 2'!$K$5:$R$83,8,0)</f>
        <v>299.96826366559486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3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3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3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3">
      <c r="A42" s="124" t="s">
        <v>193</v>
      </c>
      <c r="B42" s="118">
        <f>SUMPRODUCT(H12:H22,I12:I22)+SUMPRODUCT(G28,H28)+SUMPRODUCT(J33:J38,K33:K38)</f>
        <v>192.36060230907711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3">
      <c r="A43" s="124" t="s">
        <v>167</v>
      </c>
      <c r="B43" s="118">
        <f>B42*(G33-$B$4)</f>
        <v>5578.4574669632366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3">
      <c r="A45" s="317" t="s">
        <v>194</v>
      </c>
      <c r="B45" s="317"/>
      <c r="C45" s="317"/>
      <c r="D45" s="125"/>
      <c r="E45" s="304"/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94"/>
    </row>
    <row r="46" spans="1:16" ht="15" customHeight="1" x14ac:dyDescent="0.3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5">
      <c r="A48" s="127" t="s">
        <v>196</v>
      </c>
      <c r="B48" s="121">
        <f>'Tabula data'!E28</f>
        <v>4.7130190007037305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3">
      <c r="A51" s="124" t="s">
        <v>202</v>
      </c>
      <c r="B51" s="118">
        <f>VLOOKUP(B6,'Tabula RefULG 2'!$A$34:$F$45,2,0)*B48/20</f>
        <v>89.935309597523243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3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3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3">
      <c r="A54" s="95" t="s">
        <v>180</v>
      </c>
      <c r="B54" s="98">
        <f>'Tabula RefULG 2'!G34</f>
        <v>138.80000000000001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3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3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3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3">
      <c r="A58" s="124" t="s">
        <v>207</v>
      </c>
      <c r="B58" s="118">
        <f>B51+B55</f>
        <v>89.935309597523243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0.43337723035400222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3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3">
      <c r="A60" s="124" t="s">
        <v>209</v>
      </c>
      <c r="B60" s="118">
        <f>0.34*B58</f>
        <v>30.578005263157905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3">
      <c r="A61" s="124" t="s">
        <v>167</v>
      </c>
      <c r="B61" s="118">
        <f>B60*('Gebouwgegevens Tabula'!E35-$B$4)</f>
        <v>886.76215263157928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3">
      <c r="A63" s="317" t="s">
        <v>210</v>
      </c>
      <c r="B63" s="317"/>
      <c r="C63" s="317"/>
      <c r="D63" s="31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5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5">
      <c r="A66" s="127" t="s">
        <v>113</v>
      </c>
      <c r="B66" s="121">
        <f>'Tabula RefULG 2'!B7</f>
        <v>138.80000000000001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3">
      <c r="A67" s="124" t="s">
        <v>213</v>
      </c>
      <c r="B67" s="118">
        <f>B68/('Gebouwgegevens Tabula'!E35-'Verwarming Tabula 2zone RefULG2'!$B$4)</f>
        <v>52.648275862068971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3">
      <c r="A68" s="124" t="s">
        <v>167</v>
      </c>
      <c r="B68" s="118">
        <f>B65*B66</f>
        <v>1526.8000000000002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3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3">
      <c r="A72" s="124" t="s">
        <v>215</v>
      </c>
      <c r="B72" s="118">
        <f>SUM(B42,B60,B67)</f>
        <v>275.58688343430401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3">
      <c r="A73" s="124" t="s">
        <v>167</v>
      </c>
      <c r="B73" s="118">
        <f>SUM(B43,B61,B68)</f>
        <v>7992.0196195948165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3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5">
      <c r="A77" s="93"/>
      <c r="B77" s="304"/>
      <c r="C77" s="304"/>
      <c r="D77" s="304"/>
      <c r="E77" s="304"/>
      <c r="F77" s="304"/>
      <c r="G77" s="304"/>
      <c r="H77" s="304"/>
      <c r="I77" s="304"/>
      <c r="J77" s="304"/>
      <c r="K77" s="304"/>
      <c r="L77" s="304"/>
      <c r="M77" s="304"/>
      <c r="N77" s="304"/>
      <c r="O77" s="304"/>
      <c r="P77" s="94"/>
    </row>
    <row r="78" spans="1:16" ht="17.25" customHeight="1" thickTop="1" thickBot="1" x14ac:dyDescent="0.4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3">
      <c r="A79" s="317" t="s">
        <v>168</v>
      </c>
      <c r="B79" s="317"/>
      <c r="C79" s="317"/>
      <c r="D79" s="317"/>
      <c r="E79" s="304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94"/>
    </row>
    <row r="80" spans="1:16" ht="15" customHeight="1" x14ac:dyDescent="0.3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3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3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5">
      <c r="A84" s="95"/>
      <c r="B84" s="106" t="s">
        <v>71</v>
      </c>
      <c r="C84" s="107">
        <f>VLOOKUP(B84,'Tabula RefULG 2'!$K$5:$R$83,3,0)</f>
        <v>2</v>
      </c>
      <c r="D84" s="107" t="str">
        <f>VLOOKUP(B84,'Tabula RefULG 2'!$K$5:$R$83,4,0)</f>
        <v>Wall External</v>
      </c>
      <c r="E84" s="107">
        <f>VLOOKUP(B84,'Tabula RefULG 2'!$K$5:$R$83,5,0)</f>
        <v>0.55275000000000052</v>
      </c>
      <c r="F84" s="107" t="str">
        <f>VLOOKUP(B84,'Tabula RefULG 2'!$K$5:$R$83,6,0)</f>
        <v>front</v>
      </c>
      <c r="G84" s="107">
        <f>VLOOKUP(B84,'Tabula RefULG 2'!$K$5:$R$83,7,0)</f>
        <v>0.36462385321100915</v>
      </c>
      <c r="H84" s="108">
        <f>VLOOKUP(B84,'Tabula RefULG 2'!$K$5:$R$83,8,0)</f>
        <v>0.2015458348623855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5">
      <c r="A85" s="95"/>
      <c r="B85" s="106" t="s">
        <v>75</v>
      </c>
      <c r="C85" s="107">
        <f>VLOOKUP(B85,'Tabula RefULG 2'!$K$5:$R$83,3,0)</f>
        <v>2</v>
      </c>
      <c r="D85" s="107" t="str">
        <f>VLOOKUP(B85,'Tabula RefULG 2'!$K$5:$R$83,4,0)</f>
        <v>Wall External</v>
      </c>
      <c r="E85" s="107">
        <f>VLOOKUP(B85,'Tabula RefULG 2'!$K$5:$R$83,5,0)</f>
        <v>13.567500000000001</v>
      </c>
      <c r="F85" s="107" t="str">
        <f>VLOOKUP(B85,'Tabula RefULG 2'!$K$5:$R$83,6,0)</f>
        <v>right</v>
      </c>
      <c r="G85" s="107">
        <f>VLOOKUP(B85,'Tabula RefULG 2'!$K$5:$R$83,7,0)</f>
        <v>0.36462385321100915</v>
      </c>
      <c r="H85" s="108">
        <f>VLOOKUP(B85,'Tabula RefULG 2'!$K$5:$R$83,8,0)</f>
        <v>4.9470341284403672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5">
      <c r="A86" s="95"/>
      <c r="B86" s="106" t="s">
        <v>79</v>
      </c>
      <c r="C86" s="107">
        <f>VLOOKUP(B86,'Tabula RefULG 2'!$K$5:$R$83,3,0)</f>
        <v>2</v>
      </c>
      <c r="D86" s="107" t="str">
        <f>VLOOKUP(B86,'Tabula RefULG 2'!$K$5:$R$83,4,0)</f>
        <v>Wall External</v>
      </c>
      <c r="E86" s="107">
        <f>VLOOKUP(B86,'Tabula RefULG 2'!$K$5:$R$83,5,0)</f>
        <v>0.55275000000000052</v>
      </c>
      <c r="F86" s="107" t="str">
        <f>VLOOKUP(B86,'Tabula RefULG 2'!$K$5:$R$83,6,0)</f>
        <v>back</v>
      </c>
      <c r="G86" s="107">
        <f>VLOOKUP(B86,'Tabula RefULG 2'!$K$5:$R$83,7,0)</f>
        <v>0.36462385321100915</v>
      </c>
      <c r="H86" s="108">
        <f>VLOOKUP(B86,'Tabula RefULG 2'!$K$5:$R$83,8,0)</f>
        <v>0.2015458348623855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5">
      <c r="A87" s="95"/>
      <c r="B87" s="106" t="s">
        <v>82</v>
      </c>
      <c r="C87" s="107">
        <f>VLOOKUP(B87,'Tabula RefULG 2'!$K$5:$R$83,3,0)</f>
        <v>2</v>
      </c>
      <c r="D87" s="107" t="str">
        <f>VLOOKUP(B87,'Tabula RefULG 2'!$K$5:$R$83,4,0)</f>
        <v>Wall External</v>
      </c>
      <c r="E87" s="107">
        <f>VLOOKUP(B87,'Tabula RefULG 2'!$K$5:$R$83,5,0)</f>
        <v>13.567500000000001</v>
      </c>
      <c r="F87" s="107" t="str">
        <f>VLOOKUP(B87,'Tabula RefULG 2'!$K$5:$R$83,6,0)</f>
        <v>left</v>
      </c>
      <c r="G87" s="107">
        <f>VLOOKUP(B87,'Tabula RefULG 2'!$K$5:$R$83,7,0)</f>
        <v>0.36462385321100915</v>
      </c>
      <c r="H87" s="108">
        <f>VLOOKUP(B87,'Tabula RefULG 2'!$K$5:$R$83,8,0)</f>
        <v>4.9470341284403672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5">
      <c r="A88" s="95"/>
      <c r="B88" s="106" t="s">
        <v>84</v>
      </c>
      <c r="C88" s="107">
        <f>VLOOKUP(B88,'Tabula RefULG 2'!$K$5:$R$83,3,0)</f>
        <v>2</v>
      </c>
      <c r="D88" s="107" t="str">
        <f>VLOOKUP(B88,'Tabula RefULG 2'!$K$5:$R$83,4,0)</f>
        <v>Window</v>
      </c>
      <c r="E88" s="107">
        <f>VLOOKUP(B88,'Tabula RefULG 2'!$K$5:$R$83,5,0)</f>
        <v>2.9700000000000006</v>
      </c>
      <c r="F88" s="107" t="str">
        <f>VLOOKUP(B88,'Tabula RefULG 2'!$K$5:$R$83,6,0)</f>
        <v>front</v>
      </c>
      <c r="G88" s="107">
        <f>VLOOKUP(B88,'Tabula RefULG 2'!$K$5:$R$83,7,0)</f>
        <v>2</v>
      </c>
      <c r="H88" s="108">
        <f>VLOOKUP(B88,'Tabula RefULG 2'!$K$5:$R$83,8,0)</f>
        <v>5.9400000000000013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5">
      <c r="A89" s="95"/>
      <c r="B89" s="106" t="s">
        <v>87</v>
      </c>
      <c r="C89" s="107">
        <f>VLOOKUP(B89,'Tabula RefULG 2'!$K$5:$R$83,3,0)</f>
        <v>2</v>
      </c>
      <c r="D89" s="107" t="str">
        <f>VLOOKUP(B89,'Tabula RefULG 2'!$K$5:$R$83,4,0)</f>
        <v>Window</v>
      </c>
      <c r="E89" s="107">
        <f>VLOOKUP(B89,'Tabula RefULG 2'!$K$5:$R$83,5,0)</f>
        <v>3.3300000000000005</v>
      </c>
      <c r="F89" s="107" t="str">
        <f>VLOOKUP(B89,'Tabula RefULG 2'!$K$5:$R$83,6,0)</f>
        <v>right</v>
      </c>
      <c r="G89" s="107">
        <f>VLOOKUP(B89,'Tabula RefULG 2'!$K$5:$R$83,7,0)</f>
        <v>2</v>
      </c>
      <c r="H89" s="108">
        <f>VLOOKUP(B89,'Tabula RefULG 2'!$K$5:$R$83,8,0)</f>
        <v>6.660000000000001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5">
      <c r="A90" s="95"/>
      <c r="B90" s="106" t="s">
        <v>89</v>
      </c>
      <c r="C90" s="107">
        <f>VLOOKUP(B90,'Tabula RefULG 2'!$K$5:$R$83,3,0)</f>
        <v>2</v>
      </c>
      <c r="D90" s="107" t="str">
        <f>VLOOKUP(B90,'Tabula RefULG 2'!$K$5:$R$83,4,0)</f>
        <v>Window</v>
      </c>
      <c r="E90" s="107">
        <f>VLOOKUP(B90,'Tabula RefULG 2'!$K$5:$R$83,5,0)</f>
        <v>3.9000000000000004</v>
      </c>
      <c r="F90" s="107" t="str">
        <f>VLOOKUP(B90,'Tabula RefULG 2'!$K$5:$R$83,6,0)</f>
        <v>back</v>
      </c>
      <c r="G90" s="107">
        <f>VLOOKUP(B90,'Tabula RefULG 2'!$K$5:$R$83,7,0)</f>
        <v>2</v>
      </c>
      <c r="H90" s="108">
        <f>VLOOKUP(B90,'Tabula RefULG 2'!$K$5:$R$83,8,0)</f>
        <v>7.8000000000000007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5">
      <c r="A91" s="95"/>
      <c r="B91" s="106" t="s">
        <v>92</v>
      </c>
      <c r="C91" s="107">
        <f>VLOOKUP(B91,'Tabula RefULG 2'!$K$5:$R$83,3,0)</f>
        <v>2</v>
      </c>
      <c r="D91" s="107" t="str">
        <f>VLOOKUP(B91,'Tabula RefULG 2'!$K$5:$R$83,4,0)</f>
        <v>Window</v>
      </c>
      <c r="E91" s="107">
        <f>VLOOKUP(B91,'Tabula RefULG 2'!$K$5:$R$83,5,0)</f>
        <v>3.4200000000000008</v>
      </c>
      <c r="F91" s="107" t="str">
        <f>VLOOKUP(B91,'Tabula RefULG 2'!$K$5:$R$83,6,0)</f>
        <v>left</v>
      </c>
      <c r="G91" s="107">
        <f>VLOOKUP(B91,'Tabula RefULG 2'!$K$5:$R$83,7,0)</f>
        <v>2</v>
      </c>
      <c r="H91" s="108">
        <f>VLOOKUP(B91,'Tabula RefULG 2'!$K$5:$R$83,8,0)</f>
        <v>6.8400000000000016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5">
      <c r="A92" s="95"/>
      <c r="B92" s="106" t="s">
        <v>96</v>
      </c>
      <c r="C92" s="107">
        <f>VLOOKUP(B92,'Tabula RefULG 2'!$K$5:$R$83,3,0)</f>
        <v>2</v>
      </c>
      <c r="D92" s="107" t="str">
        <f>VLOOKUP(B92,'Tabula RefULG 2'!$K$5:$R$83,4,0)</f>
        <v>Roof</v>
      </c>
      <c r="E92" s="107">
        <f>VLOOKUP(B92,'Tabula RefULG 2'!$K$5:$R$83,5,0)</f>
        <v>161.6</v>
      </c>
      <c r="F92" s="107" t="str">
        <f>VLOOKUP(B92,'Tabula RefULG 2'!$K$5:$R$83,6,0)</f>
        <v>front/back</v>
      </c>
      <c r="G92" s="107">
        <f>VLOOKUP(B92,'Tabula RefULG 2'!$K$5:$R$83,7,0)</f>
        <v>0.27062537995411134</v>
      </c>
      <c r="H92" s="108">
        <f>VLOOKUP(B92,'Tabula RefULG 2'!$K$5:$R$83,8,0)</f>
        <v>43.73306140058439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3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3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3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3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5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3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3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5">
      <c r="A108" s="95"/>
      <c r="B108" s="121" t="s">
        <v>98</v>
      </c>
      <c r="C108" s="122">
        <f>IF(VLOOKUP(B108,'Tabula RefULG 2'!$K$5:$R$83,2,0)=$B$78,VLOOKUP(B108,'Tabula RefULG 2'!$K$5:$R$83,2,0),VLOOKUP(B108,'Tabula RefULG 2'!$K$5:$R$83,3,0))</f>
        <v>2</v>
      </c>
      <c r="D108" s="122">
        <f>IF(VLOOKUP(B108,'Tabula RefULG 2'!$K$5:$R$83,2,0)=$B$78,VLOOKUP(B108,'Tabula RefULG 2'!$K$5:$R$83,3,0),VLOOKUP(B108,'Tabula RefULG 2'!$K$5:$R$83,2,0))</f>
        <v>1</v>
      </c>
      <c r="E108" s="122" t="str">
        <f>VLOOKUP(B108,'Tabula RefULG 2'!$K$5:$R$83,4,0)</f>
        <v>Floor internal</v>
      </c>
      <c r="F108" s="122">
        <f>VLOOKUP(B108,'Tabula RefULG 2'!$K$5:$R$83,5,0)</f>
        <v>119.59999999999997</v>
      </c>
      <c r="G108" s="122">
        <f>VLOOKUP('Verwarming Tabula 2zone RefULG2'!C108,'Tabula RefULG 2'!$A$34:$F$45,5,0)</f>
        <v>18</v>
      </c>
      <c r="H108" s="122">
        <f>VLOOKUP('Verwarming Tabula 2zone RefULG2'!D108,'Tabula RefULG 2'!$A$34:$F$45,5,0)</f>
        <v>21</v>
      </c>
      <c r="I108" s="122">
        <f>VLOOKUP(B108,'Tabula RefULG 2'!$K$5:$R$83,7,0)</f>
        <v>1.0482529118136439</v>
      </c>
      <c r="J108" s="118">
        <f>VLOOKUP(B108,'Tabula RefULG 2'!$K$5:$R$83,8,0)</f>
        <v>125.37104825291178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5">
      <c r="A109" s="95"/>
      <c r="B109" s="121" t="s">
        <v>102</v>
      </c>
      <c r="C109" s="122">
        <f>IF(VLOOKUP(B109,'Tabula RefULG 2'!$K$5:$R$83,2,0)=$B$78,VLOOKUP(B109,'Tabula RefULG 2'!$K$5:$R$83,2,0),VLOOKUP(B109,'Tabula RefULG 2'!$K$5:$R$83,3,0))</f>
        <v>2</v>
      </c>
      <c r="D109" s="122">
        <f>IF(VLOOKUP(B109,'Tabula RefULG 2'!$K$5:$R$83,2,0)=$B$78,VLOOKUP(B109,'Tabula RefULG 2'!$K$5:$R$83,3,0),VLOOKUP(B109,'Tabula RefULG 2'!$K$5:$R$83,2,0))</f>
        <v>2</v>
      </c>
      <c r="E109" s="122" t="str">
        <f>VLOOKUP(B109,'Tabula RefULG 2'!$K$5:$R$83,4,0)</f>
        <v>Wall internal</v>
      </c>
      <c r="F109" s="122">
        <f>VLOOKUP(B109,'Tabula RefULG 2'!$K$5:$R$83,5,0)</f>
        <v>28.240500000000004</v>
      </c>
      <c r="G109" s="122">
        <f>VLOOKUP('Verwarming Tabula 2zone RefULG2'!C109,'Tabula RefULG 2'!$A$34:$F$45,5,0)</f>
        <v>18</v>
      </c>
      <c r="H109" s="122">
        <f>VLOOKUP('Verwarming Tabula 2zone RefULG2'!D109,'Tabula RefULG 2'!$A$34:$F$45,5,0)</f>
        <v>18</v>
      </c>
      <c r="I109" s="122">
        <f>VLOOKUP(B109,'Tabula RefULG 2'!$K$5:$R$83,7,0)</f>
        <v>1.7363344051446945</v>
      </c>
      <c r="J109" s="118">
        <f>VLOOKUP(B109,'Tabula RefULG 2'!$K$5:$R$83,8,0)</f>
        <v>49.034951768488753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5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5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5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3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3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3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3">
      <c r="A121" s="124" t="s">
        <v>193</v>
      </c>
      <c r="B121" s="118">
        <f>SUMPRODUCT(H84:H95,I84:I95)+SUMPRODUCT(G100:G104,H100:H104)+SUMPRODUCT(J108:J117,K108:K117)</f>
        <v>66.804331144161623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3">
      <c r="A122" s="124" t="s">
        <v>167</v>
      </c>
      <c r="B122" s="118">
        <f>B121*(G109-$B$4)</f>
        <v>1736.9126097482022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3">
      <c r="A124" s="317" t="s">
        <v>194</v>
      </c>
      <c r="B124" s="317"/>
      <c r="C124" s="317"/>
      <c r="D124" s="125" t="s">
        <v>222</v>
      </c>
      <c r="E124" s="304"/>
      <c r="F124" s="304"/>
      <c r="G124" s="304"/>
      <c r="H124" s="304"/>
      <c r="I124" s="304"/>
      <c r="J124" s="304"/>
      <c r="K124" s="304"/>
      <c r="L124" s="304"/>
      <c r="M124" s="304"/>
      <c r="N124" s="304"/>
      <c r="O124" s="304"/>
      <c r="P124" s="94"/>
    </row>
    <row r="125" spans="1:16" ht="15" customHeight="1" x14ac:dyDescent="0.3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5">
      <c r="A127" s="127" t="s">
        <v>196</v>
      </c>
      <c r="B127" s="121">
        <f>'Tabula data'!E28</f>
        <v>4.7130190007037305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3">
      <c r="A130" s="124" t="s">
        <v>202</v>
      </c>
      <c r="B130" s="118">
        <f>VLOOKUP(B78,'Tabula RefULG 2'!$A$34:$F$45,2,0)*B127/20</f>
        <v>77.494690402476778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3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3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3">
      <c r="A133" s="95" t="s">
        <v>180</v>
      </c>
      <c r="B133" s="98">
        <f>'Tabula RefULG 2'!G35</f>
        <v>119.59999999999997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3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3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3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3">
      <c r="A137" s="124" t="s">
        <v>207</v>
      </c>
      <c r="B137" s="118">
        <f>SUM(B130,B134)</f>
        <v>77.494690402476778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0.48589668440557765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3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3">
      <c r="A139" s="124" t="s">
        <v>209</v>
      </c>
      <c r="B139" s="118">
        <f>0.34*(B137+B130)</f>
        <v>52.696389473684214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3">
      <c r="A140" s="124" t="s">
        <v>167</v>
      </c>
      <c r="B140" s="118">
        <f>B139*(G109-$B$4)</f>
        <v>1370.1061263157897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3">
      <c r="A142" s="317" t="s">
        <v>210</v>
      </c>
      <c r="B142" s="317"/>
      <c r="C142" s="317"/>
      <c r="D142" s="31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5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5">
      <c r="A145" s="127" t="s">
        <v>113</v>
      </c>
      <c r="B145" s="121">
        <f>B133</f>
        <v>119.59999999999997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3">
      <c r="A146" s="124" t="s">
        <v>213</v>
      </c>
      <c r="B146" s="118">
        <f>B147/('Gebouwgegevens Allacker'!E100-'Verwarming Tabula 2zone RefULG2'!$B$4)</f>
        <v>164.44999999999996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3">
      <c r="A147" s="124" t="s">
        <v>167</v>
      </c>
      <c r="B147" s="118">
        <f>B144*B145</f>
        <v>1315.5999999999997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3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3">
      <c r="A151" s="124" t="s">
        <v>215</v>
      </c>
      <c r="B151" s="118">
        <f>SUM(B121,B139,B146)</f>
        <v>283.95072061784583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3">
      <c r="A152" s="124" t="s">
        <v>167</v>
      </c>
      <c r="B152" s="118">
        <f>SUM(B122,B140,B147)</f>
        <v>4422.6187360639915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3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3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5">
      <c r="A157" s="93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04"/>
      <c r="O157" s="304"/>
      <c r="P157" s="94"/>
    </row>
    <row r="158" spans="1:16" ht="17.25" customHeight="1" thickTop="1" thickBot="1" x14ac:dyDescent="0.4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3">
      <c r="A159" s="317" t="s">
        <v>168</v>
      </c>
      <c r="B159" s="317"/>
      <c r="C159" s="317"/>
      <c r="D159" s="317"/>
      <c r="E159" s="304"/>
      <c r="F159" s="304"/>
      <c r="G159" s="304"/>
      <c r="H159" s="304"/>
      <c r="I159" s="304"/>
      <c r="J159" s="304"/>
      <c r="K159" s="304"/>
      <c r="L159" s="304"/>
      <c r="M159" s="304"/>
      <c r="N159" s="304"/>
      <c r="O159" s="304"/>
      <c r="P159" s="94"/>
    </row>
    <row r="160" spans="1:16" ht="15" customHeight="1" x14ac:dyDescent="0.3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3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3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3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3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3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3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3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3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RefULG2'!C188,'Gebouwgegevens Allacker'!$A$35:$F$46,5,0)</f>
        <v>#N/A</v>
      </c>
      <c r="H188" s="122" t="e">
        <f>VLOOKUP('Verwarming Tabula 2zone RefULG2'!D188,'Gebouwgegevens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RefULG2'!C189,'Gebouwgegevens Allacker'!$A$35:$F$46,5,0)</f>
        <v>#N/A</v>
      </c>
      <c r="H189" s="122" t="e">
        <f>VLOOKUP('Verwarming Tabula 2zone RefULG2'!D189,'Gebouwgegevens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RefULG2'!C190,'Gebouwgegevens Allacker'!$A$35:$F$46,5,0)</f>
        <v>#N/A</v>
      </c>
      <c r="H190" s="122" t="e">
        <f>VLOOKUP('Verwarming Tabula 2zone RefULG2'!D190,'Gebouwgegevens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3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3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3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3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3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3">
      <c r="A204" s="317" t="s">
        <v>194</v>
      </c>
      <c r="B204" s="317"/>
      <c r="C204" s="317"/>
      <c r="D204" s="125" t="s">
        <v>222</v>
      </c>
      <c r="E204" s="304"/>
      <c r="F204" s="304"/>
      <c r="G204" s="304"/>
      <c r="H204" s="304"/>
      <c r="I204" s="304"/>
      <c r="J204" s="304"/>
      <c r="K204" s="304"/>
      <c r="L204" s="304"/>
      <c r="M204" s="304"/>
      <c r="N204" s="304"/>
      <c r="O204" s="304"/>
      <c r="P204" s="94"/>
    </row>
    <row r="205" spans="1:16" ht="15" customHeight="1" x14ac:dyDescent="0.3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3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3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3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3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3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3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3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3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3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3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3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3">
      <c r="A222" s="317" t="s">
        <v>210</v>
      </c>
      <c r="B222" s="317"/>
      <c r="C222" s="317"/>
      <c r="D222" s="31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3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3">
      <c r="A226" s="124" t="s">
        <v>213</v>
      </c>
      <c r="B226" s="118">
        <f>B227/('Gebouwgegevens Allacker'!E180-'Verwarming Tabula 2zone RefULG2'!$B$4)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3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3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3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3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3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5">
      <c r="A236" s="93"/>
      <c r="B236" s="304"/>
      <c r="C236" s="304"/>
      <c r="D236" s="304"/>
      <c r="E236" s="304"/>
      <c r="F236" s="304"/>
      <c r="G236" s="304"/>
      <c r="H236" s="304"/>
      <c r="I236" s="304"/>
      <c r="J236" s="304"/>
      <c r="K236" s="304"/>
      <c r="L236" s="304"/>
      <c r="M236" s="304"/>
      <c r="N236" s="304"/>
      <c r="O236" s="304"/>
      <c r="P236" s="94"/>
    </row>
    <row r="237" spans="1:16" ht="17.25" customHeight="1" thickTop="1" thickBot="1" x14ac:dyDescent="0.4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3">
      <c r="A238" s="317" t="s">
        <v>168</v>
      </c>
      <c r="B238" s="317"/>
      <c r="C238" s="317"/>
      <c r="D238" s="317"/>
      <c r="E238" s="304"/>
      <c r="F238" s="304"/>
      <c r="G238" s="304"/>
      <c r="H238" s="304"/>
      <c r="I238" s="304"/>
      <c r="J238" s="304"/>
      <c r="K238" s="304"/>
      <c r="L238" s="304"/>
      <c r="M238" s="304"/>
      <c r="N238" s="304"/>
      <c r="O238" s="304"/>
      <c r="P238" s="94"/>
    </row>
    <row r="239" spans="1:16" ht="15" customHeight="1" x14ac:dyDescent="0.3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3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3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3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3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3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3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3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3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RefULG2'!C267,'Gebouwgegevens Allacker'!$A$35:$F$46,5,0)</f>
        <v>#N/A</v>
      </c>
      <c r="H267" s="122" t="e">
        <f>VLOOKUP('Verwarming Tabula 2zone RefULG2'!D267,'Gebouwgegevens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RefULG2'!C268,'Gebouwgegevens Allacker'!$A$35:$F$46,5,0)</f>
        <v>#N/A</v>
      </c>
      <c r="H268" s="122" t="e">
        <f>VLOOKUP('Verwarming Tabula 2zone RefULG2'!D268,'Gebouwgegevens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RefULG2'!C269,'Gebouwgegevens Allacker'!$A$35:$F$46,5,0)</f>
        <v>#N/A</v>
      </c>
      <c r="H269" s="122" t="e">
        <f>VLOOKUP('Verwarming Tabula 2zone RefULG2'!D269,'Gebouwgegevens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RefULG2'!C270,'Gebouwgegevens Allacker'!$A$35:$F$46,5,0)</f>
        <v>#N/A</v>
      </c>
      <c r="H270" s="122" t="e">
        <f>VLOOKUP('Verwarming Tabula 2zone RefULG2'!D270,'Gebouwgegevens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3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3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3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3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3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3">
      <c r="A283" s="317" t="s">
        <v>194</v>
      </c>
      <c r="B283" s="317"/>
      <c r="C283" s="317"/>
      <c r="D283" s="125" t="s">
        <v>222</v>
      </c>
      <c r="E283" s="304"/>
      <c r="F283" s="304"/>
      <c r="G283" s="304"/>
      <c r="H283" s="304"/>
      <c r="I283" s="304"/>
      <c r="J283" s="304"/>
      <c r="K283" s="304"/>
      <c r="L283" s="304"/>
      <c r="M283" s="304"/>
      <c r="N283" s="304"/>
      <c r="O283" s="304"/>
      <c r="P283" s="94"/>
    </row>
    <row r="284" spans="1:16" ht="15" customHeight="1" x14ac:dyDescent="0.3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3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3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3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3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3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3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3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3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3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3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3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3">
      <c r="A301" s="317" t="s">
        <v>210</v>
      </c>
      <c r="B301" s="317"/>
      <c r="C301" s="317"/>
      <c r="D301" s="31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3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3">
      <c r="A305" s="124" t="s">
        <v>213</v>
      </c>
      <c r="B305" s="118" t="e">
        <f>B306/('Gebouwgegevens Allacker'!E259-'Verwarming Tabula 2zone RefULG2'!$B$4)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3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3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3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3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5">
      <c r="A315" s="93"/>
      <c r="B315" s="304"/>
      <c r="C315" s="304"/>
      <c r="D315" s="304"/>
      <c r="E315" s="304"/>
      <c r="F315" s="304"/>
      <c r="G315" s="304"/>
      <c r="H315" s="304"/>
      <c r="I315" s="304"/>
      <c r="J315" s="304"/>
      <c r="K315" s="304"/>
      <c r="L315" s="304"/>
      <c r="M315" s="304"/>
      <c r="N315" s="304"/>
      <c r="O315" s="304"/>
      <c r="P315" s="94"/>
    </row>
    <row r="316" spans="1:16" ht="17.25" customHeight="1" thickTop="1" thickBot="1" x14ac:dyDescent="0.4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3">
      <c r="A317" s="317" t="s">
        <v>168</v>
      </c>
      <c r="B317" s="317"/>
      <c r="C317" s="317"/>
      <c r="D317" s="317"/>
      <c r="E317" s="304"/>
      <c r="F317" s="304"/>
      <c r="G317" s="304"/>
      <c r="H317" s="304"/>
      <c r="I317" s="304"/>
      <c r="J317" s="304"/>
      <c r="K317" s="304"/>
      <c r="L317" s="304"/>
      <c r="M317" s="304"/>
      <c r="N317" s="304"/>
      <c r="O317" s="304"/>
      <c r="P317" s="94"/>
    </row>
    <row r="318" spans="1:16" ht="15" customHeight="1" x14ac:dyDescent="0.3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3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3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3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3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3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3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3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3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RefULG2'!C346,'Gebouwgegevens Allacker'!$A$35:$F$46,5,0)</f>
        <v>#N/A</v>
      </c>
      <c r="H346" s="122" t="e">
        <f>VLOOKUP('Verwarming Tabula 2zone RefULG2'!D346,'Gebouwgegevens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RefULG2'!C347,'Gebouwgegevens Allacker'!$A$35:$F$46,5,0)</f>
        <v>#N/A</v>
      </c>
      <c r="H347" s="122" t="e">
        <f>VLOOKUP('Verwarming Tabula 2zone RefULG2'!D347,'Gebouwgegevens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RefULG2'!C348,'Gebouwgegevens Allacker'!$A$35:$F$46,5,0)</f>
        <v>#N/A</v>
      </c>
      <c r="H348" s="122" t="e">
        <f>VLOOKUP('Verwarming Tabula 2zone RefULG2'!D348,'Gebouwgegevens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RefULG2'!C349,'Gebouwgegevens Allacker'!$A$35:$F$46,5,0)</f>
        <v>#N/A</v>
      </c>
      <c r="H349" s="122" t="e">
        <f>VLOOKUP('Verwarming Tabula 2zone RefULG2'!D349,'Gebouwgegevens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RefULG2'!C350,'Gebouwgegevens Allacker'!$A$35:$F$46,5,0)</f>
        <v>#N/A</v>
      </c>
      <c r="H350" s="122" t="e">
        <f>VLOOKUP('Verwarming Tabula 2zone RefULG2'!D350,'Gebouwgegevens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3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3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3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3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3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3">
      <c r="A362" s="317" t="s">
        <v>194</v>
      </c>
      <c r="B362" s="317"/>
      <c r="C362" s="317"/>
      <c r="D362" s="125" t="s">
        <v>222</v>
      </c>
      <c r="E362" s="304"/>
      <c r="F362" s="304"/>
      <c r="G362" s="304"/>
      <c r="H362" s="304"/>
      <c r="I362" s="304"/>
      <c r="J362" s="304"/>
      <c r="K362" s="304"/>
      <c r="L362" s="304"/>
      <c r="M362" s="304"/>
      <c r="N362" s="304"/>
      <c r="O362" s="304"/>
      <c r="P362" s="94"/>
    </row>
    <row r="363" spans="1:16" ht="15" customHeight="1" x14ac:dyDescent="0.3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3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3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3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3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3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3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3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3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3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3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3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3">
      <c r="A380" s="317" t="s">
        <v>210</v>
      </c>
      <c r="B380" s="317"/>
      <c r="C380" s="317"/>
      <c r="D380" s="31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3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3">
      <c r="A384" s="124" t="s">
        <v>213</v>
      </c>
      <c r="B384" s="118" t="e">
        <f>B385/('Gebouwgegevens Allacker'!E338-'Verwarming Tabula 2zone RefULG2'!$B$4)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3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3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3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3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5">
      <c r="A393" s="93"/>
      <c r="B393" s="304"/>
      <c r="C393" s="304"/>
      <c r="D393" s="304"/>
      <c r="E393" s="304"/>
      <c r="F393" s="304"/>
      <c r="G393" s="304"/>
      <c r="H393" s="304"/>
      <c r="I393" s="304"/>
      <c r="J393" s="304"/>
      <c r="K393" s="304"/>
      <c r="L393" s="304"/>
      <c r="M393" s="304"/>
      <c r="N393" s="304"/>
      <c r="O393" s="304"/>
      <c r="P393" s="94"/>
    </row>
    <row r="394" spans="1:16" ht="17.25" customHeight="1" thickTop="1" thickBot="1" x14ac:dyDescent="0.4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3">
      <c r="A395" s="317" t="s">
        <v>168</v>
      </c>
      <c r="B395" s="317"/>
      <c r="C395" s="317"/>
      <c r="D395" s="317"/>
      <c r="E395" s="304"/>
      <c r="F395" s="304"/>
      <c r="G395" s="304"/>
      <c r="H395" s="304"/>
      <c r="I395" s="304"/>
      <c r="J395" s="304"/>
      <c r="K395" s="304"/>
      <c r="L395" s="304"/>
      <c r="M395" s="304"/>
      <c r="N395" s="304"/>
      <c r="O395" s="304"/>
      <c r="P395" s="94"/>
    </row>
    <row r="396" spans="1:16" ht="15" customHeight="1" x14ac:dyDescent="0.3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3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3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3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3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3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3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3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3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RefULG2'!C424,'Gebouwgegevens Allacker'!$A$35:$F$46,5,0)</f>
        <v>#N/A</v>
      </c>
      <c r="H424" s="122" t="e">
        <f>VLOOKUP('Verwarming Tabula 2zone RefULG2'!D424,'Gebouwgegevens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RefULG2'!C425,'Gebouwgegevens Allacker'!$A$35:$F$46,5,0)</f>
        <v>#N/A</v>
      </c>
      <c r="H425" s="122" t="e">
        <f>VLOOKUP('Verwarming Tabula 2zone RefULG2'!D425,'Gebouwgegevens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RefULG2'!C426,'Gebouwgegevens Allacker'!$A$35:$F$46,5,0)</f>
        <v>#N/A</v>
      </c>
      <c r="H426" s="122" t="e">
        <f>VLOOKUP('Verwarming Tabula 2zone RefULG2'!D426,'Gebouwgegevens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RefULG2'!C427,'Gebouwgegevens Allacker'!$A$35:$F$46,5,0)</f>
        <v>#N/A</v>
      </c>
      <c r="H427" s="122" t="e">
        <f>VLOOKUP('Verwarming Tabula 2zone RefULG2'!D427,'Gebouwgegevens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RefULG2'!C428,'Gebouwgegevens Allacker'!$A$35:$F$46,5,0)</f>
        <v>#N/A</v>
      </c>
      <c r="H428" s="122" t="e">
        <f>VLOOKUP('Verwarming Tabula 2zone RefULG2'!D428,'Gebouwgegevens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3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3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3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3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3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3">
      <c r="A440" s="317" t="s">
        <v>194</v>
      </c>
      <c r="B440" s="317"/>
      <c r="C440" s="317"/>
      <c r="D440" s="125" t="s">
        <v>222</v>
      </c>
      <c r="E440" s="304"/>
      <c r="F440" s="304"/>
      <c r="G440" s="304"/>
      <c r="H440" s="304"/>
      <c r="I440" s="304"/>
      <c r="J440" s="304"/>
      <c r="K440" s="304"/>
      <c r="L440" s="304"/>
      <c r="M440" s="304"/>
      <c r="N440" s="304"/>
      <c r="O440" s="304"/>
      <c r="P440" s="94"/>
    </row>
    <row r="441" spans="1:16" ht="15" customHeight="1" x14ac:dyDescent="0.3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3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3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3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3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3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3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3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3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3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3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3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3">
      <c r="A458" s="317" t="s">
        <v>210</v>
      </c>
      <c r="B458" s="317"/>
      <c r="C458" s="317"/>
      <c r="D458" s="31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3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3">
      <c r="A462" s="124" t="s">
        <v>213</v>
      </c>
      <c r="B462" s="118" t="e">
        <f>B463/('Gebouwgegevens Allacker'!E416-'Verwarming Tabula 2zone RefULG2'!$B$4)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3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3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3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3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5">
      <c r="A471" s="93"/>
      <c r="B471" s="304"/>
      <c r="C471" s="304"/>
      <c r="D471" s="304"/>
      <c r="E471" s="304"/>
      <c r="F471" s="304"/>
      <c r="G471" s="304"/>
      <c r="H471" s="304"/>
      <c r="I471" s="304"/>
      <c r="J471" s="304"/>
      <c r="K471" s="304"/>
      <c r="L471" s="304"/>
      <c r="M471" s="304"/>
      <c r="N471" s="304"/>
      <c r="O471" s="304"/>
      <c r="P471" s="94"/>
    </row>
    <row r="472" spans="1:16" ht="17.25" customHeight="1" thickTop="1" thickBot="1" x14ac:dyDescent="0.4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3">
      <c r="A473" s="317" t="s">
        <v>168</v>
      </c>
      <c r="B473" s="317"/>
      <c r="C473" s="317"/>
      <c r="D473" s="317"/>
      <c r="E473" s="304"/>
      <c r="F473" s="304"/>
      <c r="G473" s="304"/>
      <c r="H473" s="304"/>
      <c r="I473" s="304"/>
      <c r="J473" s="304"/>
      <c r="K473" s="304"/>
      <c r="L473" s="304"/>
      <c r="M473" s="304"/>
      <c r="N473" s="304"/>
      <c r="O473" s="304"/>
      <c r="P473" s="94"/>
    </row>
    <row r="474" spans="1:16" ht="15" customHeight="1" x14ac:dyDescent="0.3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3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3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3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3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3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3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3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3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RefULG2'!C502,'Gebouwgegevens Allacker'!$A$35:$F$46,5,0)</f>
        <v>#N/A</v>
      </c>
      <c r="H502" s="122" t="e">
        <f>VLOOKUP('Verwarming Tabula 2zone RefULG2'!D502,'Gebouwgegevens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RefULG2'!C503,'Gebouwgegevens Allacker'!$A$35:$F$46,5,0)</f>
        <v>#N/A</v>
      </c>
      <c r="H503" s="122" t="e">
        <f>VLOOKUP('Verwarming Tabula 2zone RefULG2'!D503,'Gebouwgegevens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RefULG2'!C504,'Gebouwgegevens Allacker'!$A$35:$F$46,5,0)</f>
        <v>#N/A</v>
      </c>
      <c r="H504" s="122" t="e">
        <f>VLOOKUP('Verwarming Tabula 2zone RefULG2'!D504,'Gebouwgegevens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3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3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3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3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3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3">
      <c r="A518" s="317" t="s">
        <v>194</v>
      </c>
      <c r="B518" s="317"/>
      <c r="C518" s="317"/>
      <c r="D518" s="125" t="s">
        <v>222</v>
      </c>
      <c r="E518" s="304"/>
      <c r="F518" s="304"/>
      <c r="G518" s="304"/>
      <c r="H518" s="304"/>
      <c r="I518" s="304"/>
      <c r="J518" s="304"/>
      <c r="K518" s="304"/>
      <c r="L518" s="304"/>
      <c r="M518" s="304"/>
      <c r="N518" s="304"/>
      <c r="O518" s="304"/>
      <c r="P518" s="94"/>
    </row>
    <row r="519" spans="1:16" ht="15" customHeight="1" x14ac:dyDescent="0.3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3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3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3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3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3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3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3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3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3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3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3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3">
      <c r="A536" s="317" t="s">
        <v>210</v>
      </c>
      <c r="B536" s="317"/>
      <c r="C536" s="317"/>
      <c r="D536" s="31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3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3">
      <c r="A540" s="124" t="s">
        <v>213</v>
      </c>
      <c r="B540" s="118" t="e">
        <f>B541/('Gebouwgegevens Allacker'!E494-'Verwarming Tabula 2zone RefULG2'!$B$4)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3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3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3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3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3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5">
      <c r="A550" s="93"/>
      <c r="B550" s="304"/>
      <c r="C550" s="304"/>
      <c r="D550" s="304"/>
      <c r="E550" s="304"/>
      <c r="F550" s="304"/>
      <c r="G550" s="304"/>
      <c r="H550" s="304"/>
      <c r="I550" s="304"/>
      <c r="J550" s="304"/>
      <c r="K550" s="304"/>
      <c r="L550" s="304"/>
      <c r="M550" s="304"/>
      <c r="N550" s="304"/>
      <c r="O550" s="304"/>
      <c r="P550" s="94"/>
    </row>
    <row r="551" spans="1:16" ht="17.25" customHeight="1" thickTop="1" thickBot="1" x14ac:dyDescent="0.4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3">
      <c r="A552" s="317" t="s">
        <v>168</v>
      </c>
      <c r="B552" s="317"/>
      <c r="C552" s="317"/>
      <c r="D552" s="317"/>
      <c r="E552" s="304"/>
      <c r="F552" s="304"/>
      <c r="G552" s="304"/>
      <c r="H552" s="304"/>
      <c r="I552" s="304"/>
      <c r="J552" s="304"/>
      <c r="K552" s="304"/>
      <c r="L552" s="304"/>
      <c r="M552" s="304"/>
      <c r="N552" s="304"/>
      <c r="O552" s="304"/>
      <c r="P552" s="94"/>
    </row>
    <row r="553" spans="1:16" ht="15" customHeight="1" x14ac:dyDescent="0.3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3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3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3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3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3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3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3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3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RefULG2'!C581,'Gebouwgegevens Allacker'!$A$35:$F$46,5,0)</f>
        <v>#N/A</v>
      </c>
      <c r="H581" s="122" t="e">
        <f>VLOOKUP('Verwarming Tabula 2zone RefULG2'!D581,'Gebouwgegevens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RefULG2'!C582,'Gebouwgegevens Allacker'!$A$35:$F$46,5,0)</f>
        <v>#N/A</v>
      </c>
      <c r="H582" s="122" t="e">
        <f>VLOOKUP('Verwarming Tabula 2zone RefULG2'!D582,'Gebouwgegevens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RefULG2'!C583,'Gebouwgegevens Allacker'!$A$35:$F$46,5,0)</f>
        <v>#N/A</v>
      </c>
      <c r="H583" s="122" t="e">
        <f>VLOOKUP('Verwarming Tabula 2zone RefULG2'!D583,'Gebouwgegevens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3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3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3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3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3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3">
      <c r="A597" s="317" t="s">
        <v>194</v>
      </c>
      <c r="B597" s="317"/>
      <c r="C597" s="317"/>
      <c r="D597" s="125" t="s">
        <v>222</v>
      </c>
      <c r="E597" s="304"/>
      <c r="F597" s="304"/>
      <c r="G597" s="304"/>
      <c r="H597" s="304"/>
      <c r="I597" s="304"/>
      <c r="J597" s="304"/>
      <c r="K597" s="304"/>
      <c r="L597" s="304"/>
      <c r="M597" s="304"/>
      <c r="N597" s="304"/>
      <c r="O597" s="304"/>
      <c r="P597" s="94"/>
    </row>
    <row r="598" spans="1:16" ht="15" customHeight="1" x14ac:dyDescent="0.3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3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3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3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3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3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3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3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3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3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3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3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3">
      <c r="A615" s="317" t="s">
        <v>210</v>
      </c>
      <c r="B615" s="317"/>
      <c r="C615" s="317"/>
      <c r="D615" s="31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3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3">
      <c r="A619" s="124" t="s">
        <v>213</v>
      </c>
      <c r="B619" s="118" t="e">
        <f>B620/('Gebouwgegevens Allacker'!E573-'Verwarming Tabula 2zone RefULG2'!$B$4)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3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3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3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3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3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5">
      <c r="A629" s="93"/>
      <c r="B629" s="304"/>
      <c r="C629" s="304"/>
      <c r="D629" s="304"/>
      <c r="E629" s="304"/>
      <c r="F629" s="304"/>
      <c r="G629" s="304"/>
      <c r="H629" s="304"/>
      <c r="I629" s="304"/>
      <c r="J629" s="304"/>
      <c r="K629" s="304"/>
      <c r="L629" s="304"/>
      <c r="M629" s="304"/>
      <c r="N629" s="304"/>
      <c r="O629" s="304"/>
      <c r="P629" s="94"/>
    </row>
    <row r="630" spans="1:16" ht="17.25" customHeight="1" thickTop="1" thickBot="1" x14ac:dyDescent="0.4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3">
      <c r="A631" s="317" t="s">
        <v>168</v>
      </c>
      <c r="B631" s="317"/>
      <c r="C631" s="317"/>
      <c r="D631" s="317"/>
      <c r="E631" s="304"/>
      <c r="F631" s="304"/>
      <c r="G631" s="304"/>
      <c r="H631" s="304"/>
      <c r="I631" s="304"/>
      <c r="J631" s="304"/>
      <c r="K631" s="304"/>
      <c r="L631" s="304"/>
      <c r="M631" s="304"/>
      <c r="N631" s="304"/>
      <c r="O631" s="304"/>
      <c r="P631" s="94"/>
    </row>
    <row r="632" spans="1:16" ht="15" customHeight="1" x14ac:dyDescent="0.3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3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3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3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3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3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3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3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3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RefULG2'!C660,'Gebouwgegevens Allacker'!$A$35:$F$46,5,0)</f>
        <v>#N/A</v>
      </c>
      <c r="H660" s="122" t="e">
        <f>VLOOKUP('Verwarming Tabula 2zone RefULG2'!D660,'Gebouwgegevens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RefULG2'!C661,'Gebouwgegevens Allacker'!$A$35:$F$46,5,0)</f>
        <v>#N/A</v>
      </c>
      <c r="H661" s="122" t="e">
        <f>VLOOKUP('Verwarming Tabula 2zone RefULG2'!D661,'Gebouwgegevens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3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3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3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3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3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3">
      <c r="A676" s="317" t="s">
        <v>194</v>
      </c>
      <c r="B676" s="317"/>
      <c r="C676" s="317"/>
      <c r="D676" s="125" t="s">
        <v>222</v>
      </c>
      <c r="E676" s="304"/>
      <c r="F676" s="304"/>
      <c r="G676" s="304"/>
      <c r="H676" s="304"/>
      <c r="I676" s="304"/>
      <c r="J676" s="304"/>
      <c r="K676" s="304"/>
      <c r="L676" s="304"/>
      <c r="M676" s="304"/>
      <c r="N676" s="304"/>
      <c r="O676" s="304"/>
      <c r="P676" s="94"/>
    </row>
    <row r="677" spans="1:16" ht="15" customHeight="1" x14ac:dyDescent="0.3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3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3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3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3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3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3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3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3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3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3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3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3">
      <c r="A694" s="317" t="s">
        <v>210</v>
      </c>
      <c r="B694" s="317"/>
      <c r="C694" s="317"/>
      <c r="D694" s="31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3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3">
      <c r="A698" s="124" t="s">
        <v>213</v>
      </c>
      <c r="B698" s="118" t="e">
        <f>B699/('Gebouwgegevens Allacker'!E652-'Verwarming Tabula 2zone RefULG2'!$B$4)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3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3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3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3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3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5">
      <c r="A708" s="93"/>
      <c r="B708" s="304"/>
      <c r="C708" s="304"/>
      <c r="D708" s="304"/>
      <c r="E708" s="304"/>
      <c r="F708" s="304"/>
      <c r="G708" s="304"/>
      <c r="H708" s="304"/>
      <c r="I708" s="304"/>
      <c r="J708" s="304"/>
      <c r="K708" s="304"/>
      <c r="L708" s="304"/>
      <c r="M708" s="304"/>
      <c r="N708" s="304"/>
      <c r="O708" s="304"/>
      <c r="P708" s="94"/>
    </row>
    <row r="709" spans="1:16" ht="17.25" customHeight="1" thickTop="1" thickBot="1" x14ac:dyDescent="0.4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3">
      <c r="A710" s="317" t="s">
        <v>168</v>
      </c>
      <c r="B710" s="317"/>
      <c r="C710" s="317"/>
      <c r="D710" s="317"/>
      <c r="E710" s="304"/>
      <c r="F710" s="304"/>
      <c r="G710" s="304"/>
      <c r="H710" s="304"/>
      <c r="I710" s="304"/>
      <c r="J710" s="304"/>
      <c r="K710" s="304"/>
      <c r="L710" s="304"/>
      <c r="M710" s="304"/>
      <c r="N710" s="304"/>
      <c r="O710" s="304"/>
      <c r="P710" s="94"/>
    </row>
    <row r="711" spans="1:16" ht="15" customHeight="1" x14ac:dyDescent="0.3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3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3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3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3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3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3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3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3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RefULG2'!C739,'Gebouwgegevens Allacker'!$A$35:$F$46,5,0)</f>
        <v>#N/A</v>
      </c>
      <c r="H739" s="122" t="e">
        <f>VLOOKUP('Verwarming Tabula 2zone RefULG2'!D739,'Gebouwgegevens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RefULG2'!C740,'Gebouwgegevens Allacker'!$A$35:$F$46,5,0)</f>
        <v>#N/A</v>
      </c>
      <c r="H740" s="122" t="e">
        <f>VLOOKUP('Verwarming Tabula 2zone RefULG2'!D740,'Gebouwgegevens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RefULG2'!C741,'Gebouwgegevens Allacker'!$A$35:$F$46,5,0)</f>
        <v>#N/A</v>
      </c>
      <c r="H741" s="122" t="e">
        <f>VLOOKUP('Verwarming Tabula 2zone RefULG2'!D741,'Gebouwgegevens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RefULG2'!C742,'Gebouwgegevens Allacker'!$A$35:$F$46,5,0)</f>
        <v>#N/A</v>
      </c>
      <c r="H742" s="122" t="e">
        <f>VLOOKUP('Verwarming Tabula 2zone RefULG2'!D742,'Gebouwgegevens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RefULG2'!C743,'Gebouwgegevens Allacker'!$A$35:$F$46,5,0)</f>
        <v>#N/A</v>
      </c>
      <c r="H743" s="122" t="e">
        <f>VLOOKUP('Verwarming Tabula 2zone RefULG2'!D743,'Gebouwgegevens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RefULG2'!C744,'Gebouwgegevens Allacker'!$A$35:$F$46,5,0)</f>
        <v>#N/A</v>
      </c>
      <c r="H744" s="122" t="e">
        <f>VLOOKUP('Verwarming Tabula 2zone RefULG2'!D744,'Gebouwgegevens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RefULG2'!C745,'Gebouwgegevens Allacker'!$A$35:$F$46,5,0)</f>
        <v>#N/A</v>
      </c>
      <c r="H745" s="122" t="e">
        <f>VLOOKUP('Verwarming Tabula 2zone RefULG2'!D745,'Gebouwgegevens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RefULG2'!C746,'Gebouwgegevens Allacker'!$A$35:$F$46,5,0)</f>
        <v>#N/A</v>
      </c>
      <c r="H746" s="122" t="e">
        <f>VLOOKUP('Verwarming Tabula 2zone RefULG2'!D746,'Gebouwgegevens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RefULG2'!C747,'Gebouwgegevens Allacker'!$A$35:$F$46,5,0)</f>
        <v>#N/A</v>
      </c>
      <c r="H747" s="122" t="e">
        <f>VLOOKUP('Verwarming Tabula 2zone RefULG2'!D747,'Gebouwgegevens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RefULG2'!C748,'Gebouwgegevens Allacker'!$A$35:$F$46,5,0)</f>
        <v>#N/A</v>
      </c>
      <c r="H748" s="122" t="e">
        <f>VLOOKUP('Verwarming Tabula 2zone RefULG2'!D748,'Gebouwgegevens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RefULG2'!C749,'Gebouwgegevens Allacker'!$A$35:$F$46,5,0)</f>
        <v>#N/A</v>
      </c>
      <c r="H749" s="122" t="e">
        <f>VLOOKUP('Verwarming Tabula 2zone RefULG2'!D749,'Gebouwgegevens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RefULG2'!C750,'Gebouwgegevens Allacker'!$A$35:$F$46,5,0)</f>
        <v>#N/A</v>
      </c>
      <c r="H750" s="122" t="e">
        <f>VLOOKUP('Verwarming Tabula 2zone RefULG2'!D750,'Gebouwgegevens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3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3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3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3">
      <c r="A755" s="317" t="s">
        <v>194</v>
      </c>
      <c r="B755" s="317"/>
      <c r="C755" s="317"/>
      <c r="D755" s="125" t="s">
        <v>222</v>
      </c>
      <c r="E755" s="304"/>
      <c r="F755" s="304"/>
      <c r="G755" s="304"/>
      <c r="H755" s="304"/>
      <c r="I755" s="304"/>
      <c r="J755" s="304"/>
      <c r="K755" s="304"/>
      <c r="L755" s="304"/>
      <c r="M755" s="304"/>
      <c r="N755" s="304"/>
      <c r="O755" s="304"/>
      <c r="P755" s="94"/>
    </row>
    <row r="756" spans="1:16" ht="15" customHeight="1" x14ac:dyDescent="0.3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3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3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3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3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3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3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3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3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3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3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3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3">
      <c r="A773" s="317" t="s">
        <v>210</v>
      </c>
      <c r="B773" s="317"/>
      <c r="C773" s="317"/>
      <c r="D773" s="31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3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3">
      <c r="A777" s="124" t="s">
        <v>213</v>
      </c>
      <c r="B777" s="118" t="e">
        <f>B778/('Gebouwgegevens Allacker'!E731-'Verwarming Tabula 2zone RefULG2'!$B$4)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3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3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3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3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J30" sqref="J30"/>
    </sheetView>
  </sheetViews>
  <sheetFormatPr defaultRowHeight="14.4" x14ac:dyDescent="0.3"/>
  <cols>
    <col min="2" max="2" width="11.5546875"/>
    <col min="4" max="4" width="19.5546875"/>
  </cols>
  <sheetData>
    <row r="1" spans="1:9" x14ac:dyDescent="0.3">
      <c r="A1" s="149" t="s">
        <v>279</v>
      </c>
    </row>
    <row r="3" spans="1:9" x14ac:dyDescent="0.3">
      <c r="A3" s="150" t="s">
        <v>280</v>
      </c>
    </row>
    <row r="4" spans="1:9" x14ac:dyDescent="0.3">
      <c r="A4" t="s">
        <v>281</v>
      </c>
      <c r="B4" s="3">
        <f>SUM('Gebouwgegevens Tabula 2zone'!R6:R9)</f>
        <v>103.2909382807573</v>
      </c>
      <c r="C4" t="s">
        <v>107</v>
      </c>
    </row>
    <row r="5" spans="1:9" x14ac:dyDescent="0.3">
      <c r="A5" t="s">
        <v>282</v>
      </c>
      <c r="B5" s="3">
        <f>F5+I5</f>
        <v>172.3860105263158</v>
      </c>
      <c r="C5" t="s">
        <v>107</v>
      </c>
      <c r="E5" s="14" t="s">
        <v>283</v>
      </c>
      <c r="F5" s="30">
        <f>'Verwarming Tabula 2zone'!B60</f>
        <v>61.156010526315811</v>
      </c>
      <c r="G5" s="14"/>
      <c r="H5" s="14" t="s">
        <v>284</v>
      </c>
      <c r="I5" s="30">
        <f>SUM('Gebouwgegevens Tabula 2zone'!R10:R13)</f>
        <v>111.22999999999999</v>
      </c>
    </row>
    <row r="6" spans="1:9" x14ac:dyDescent="0.3">
      <c r="A6" t="s">
        <v>285</v>
      </c>
      <c r="B6" s="3">
        <f>SUM('Gebouwgegevens Tabula 2zone'!O6:O9*'Gebouwgegevens Tabula 2zone'!AA21)</f>
        <v>95.016125401929258</v>
      </c>
      <c r="C6" t="s">
        <v>107</v>
      </c>
    </row>
    <row r="7" spans="1:9" x14ac:dyDescent="0.3">
      <c r="A7" t="s">
        <v>286</v>
      </c>
      <c r="B7" s="3">
        <f>'Gebouwgegevens Tabula 2zone'!R14</f>
        <v>92.435517970401705</v>
      </c>
      <c r="C7" t="s">
        <v>107</v>
      </c>
      <c r="D7" s="14" t="s">
        <v>287</v>
      </c>
    </row>
    <row r="8" spans="1:9" x14ac:dyDescent="0.3">
      <c r="A8" t="s">
        <v>288</v>
      </c>
      <c r="B8" s="3">
        <f>B4+B5+B7</f>
        <v>368.11246677747482</v>
      </c>
      <c r="D8" s="14"/>
    </row>
    <row r="9" spans="1:9" x14ac:dyDescent="0.3">
      <c r="B9" s="3"/>
      <c r="D9" s="14"/>
    </row>
    <row r="10" spans="1:9" x14ac:dyDescent="0.3">
      <c r="B10" t="s">
        <v>289</v>
      </c>
      <c r="D10" t="s">
        <v>290</v>
      </c>
    </row>
    <row r="11" spans="1:9" x14ac:dyDescent="0.3">
      <c r="A11" t="s">
        <v>291</v>
      </c>
      <c r="B11" s="151">
        <f>SUM('Gebouwgegevens Tabula 2zone'!S6:S9)</f>
        <v>43693935.393150002</v>
      </c>
      <c r="C11" s="151" t="s">
        <v>292</v>
      </c>
      <c r="D11" s="151">
        <f>SUM('Gebouwgegevens Tabula 2zone'!U6:U9)</f>
        <v>23146317.810000002</v>
      </c>
      <c r="E11" t="s">
        <v>292</v>
      </c>
    </row>
    <row r="12" spans="1:9" x14ac:dyDescent="0.3">
      <c r="A12" t="s">
        <v>122</v>
      </c>
      <c r="B12" s="151">
        <f>'Gebouwgegevens Tabula 2zone'!B34*5*1012*1.204</f>
        <v>2325080.7622910221</v>
      </c>
      <c r="C12" t="s">
        <v>292</v>
      </c>
      <c r="D12" s="151">
        <f>B12</f>
        <v>2325080.7622910221</v>
      </c>
      <c r="E12" t="s">
        <v>292</v>
      </c>
    </row>
    <row r="13" spans="1:9" x14ac:dyDescent="0.3">
      <c r="A13" t="s">
        <v>293</v>
      </c>
      <c r="B13" s="151">
        <f>SUM('Gebouwgegevens Tabula 2zone'!O6:O9)*'Gebouwgegevens Tabula 2zone'!AE21</f>
        <v>34102725.300000004</v>
      </c>
      <c r="C13" t="s">
        <v>292</v>
      </c>
      <c r="D13" s="151">
        <f>B13</f>
        <v>34102725.300000004</v>
      </c>
      <c r="E13" t="s">
        <v>292</v>
      </c>
    </row>
    <row r="14" spans="1:9" x14ac:dyDescent="0.3">
      <c r="A14" t="s">
        <v>294</v>
      </c>
      <c r="B14" s="151">
        <f>'Gebouwgegevens Tabula 2zone'!S14</f>
        <v>64582085.440000005</v>
      </c>
      <c r="C14" s="151" t="s">
        <v>292</v>
      </c>
      <c r="D14" s="151">
        <f>'Gebouwgegevens Tabula 2zone'!U14</f>
        <v>15401248.000000002</v>
      </c>
      <c r="E14" s="151" t="s">
        <v>292</v>
      </c>
      <c r="F14" s="151"/>
    </row>
    <row r="16" spans="1:9" x14ac:dyDescent="0.3">
      <c r="A16" t="s">
        <v>295</v>
      </c>
      <c r="B16">
        <f>B11+B13</f>
        <v>77796660.693150014</v>
      </c>
      <c r="D16">
        <f>D11+D13</f>
        <v>57249043.110000007</v>
      </c>
    </row>
    <row r="17" spans="1:9" x14ac:dyDescent="0.3">
      <c r="A17" t="s">
        <v>296</v>
      </c>
      <c r="B17" s="152">
        <f>SUM(B11:B14)</f>
        <v>144703826.89544103</v>
      </c>
      <c r="D17" s="152">
        <f>SUM(D11:D14)</f>
        <v>74975371.872291028</v>
      </c>
    </row>
    <row r="18" spans="1:9" x14ac:dyDescent="0.3">
      <c r="A18" s="150" t="s">
        <v>63</v>
      </c>
    </row>
    <row r="19" spans="1:9" x14ac:dyDescent="0.3">
      <c r="A19" t="s">
        <v>297</v>
      </c>
      <c r="B19" s="3">
        <f>'Gebouwgegevens Tabula 2zone'!R26</f>
        <v>174.01385681293297</v>
      </c>
      <c r="C19" t="s">
        <v>107</v>
      </c>
    </row>
    <row r="20" spans="1:9" x14ac:dyDescent="0.3">
      <c r="A20" t="s">
        <v>298</v>
      </c>
      <c r="B20" s="151">
        <f>'Gebouwgegevens Tabula 2zone'!S26</f>
        <v>55678583.999999985</v>
      </c>
      <c r="C20" s="151" t="s">
        <v>292</v>
      </c>
      <c r="D20" s="151">
        <f>'Gebouwgegevens Tabula 2zone'!U26</f>
        <v>55678583.999999985</v>
      </c>
      <c r="E20" t="s">
        <v>292</v>
      </c>
    </row>
    <row r="22" spans="1:9" x14ac:dyDescent="0.3">
      <c r="A22" s="150" t="s">
        <v>299</v>
      </c>
    </row>
    <row r="23" spans="1:9" x14ac:dyDescent="0.3">
      <c r="A23" t="s">
        <v>281</v>
      </c>
      <c r="B23" s="3">
        <f>SUM('Gebouwgegevens Tabula 2zone'!R17:R20)</f>
        <v>16.884673447872487</v>
      </c>
      <c r="C23" t="s">
        <v>107</v>
      </c>
    </row>
    <row r="24" spans="1:9" x14ac:dyDescent="0.3">
      <c r="A24" t="s">
        <v>282</v>
      </c>
      <c r="B24" s="3">
        <f>SUM(F24,I24)</f>
        <v>100.36638947368422</v>
      </c>
      <c r="C24" t="s">
        <v>107</v>
      </c>
      <c r="E24" s="14" t="s">
        <v>283</v>
      </c>
      <c r="F24" s="30">
        <f>'Verwarming Tabula 2zone'!B139</f>
        <v>52.696389473684214</v>
      </c>
      <c r="G24" s="14"/>
      <c r="H24" s="14" t="s">
        <v>284</v>
      </c>
      <c r="I24" s="30">
        <f>SUM('Gebouwgegevens Tabula 2zone'!R21:R24)</f>
        <v>47.67</v>
      </c>
    </row>
    <row r="25" spans="1:9" x14ac:dyDescent="0.3">
      <c r="A25" t="s">
        <v>285</v>
      </c>
      <c r="B25" s="3">
        <f>SUM('Gebouwgegevens Tabula 2zone'!O17:O20)*'Gebouwgegevens Tabula 2zone'!AA21</f>
        <v>49.034951768488753</v>
      </c>
      <c r="C25" t="s">
        <v>107</v>
      </c>
    </row>
    <row r="26" spans="1:9" x14ac:dyDescent="0.3">
      <c r="A26" t="s">
        <v>300</v>
      </c>
      <c r="B26" s="3">
        <f>'Gebouwgegevens Tabula 2zone'!R25</f>
        <v>96.919265815816516</v>
      </c>
      <c r="C26" t="s">
        <v>107</v>
      </c>
      <c r="D26" s="14" t="s">
        <v>287</v>
      </c>
    </row>
    <row r="27" spans="1:9" x14ac:dyDescent="0.3">
      <c r="A27" t="s">
        <v>288</v>
      </c>
      <c r="B27" s="3">
        <f>B23+B24+B26</f>
        <v>214.17032873737321</v>
      </c>
      <c r="D27" s="14"/>
    </row>
    <row r="28" spans="1:9" x14ac:dyDescent="0.3">
      <c r="B28" s="3"/>
      <c r="D28" s="14"/>
    </row>
    <row r="29" spans="1:9" x14ac:dyDescent="0.3">
      <c r="B29" t="s">
        <v>289</v>
      </c>
      <c r="D29" t="s">
        <v>290</v>
      </c>
    </row>
    <row r="30" spans="1:9" x14ac:dyDescent="0.3">
      <c r="A30" t="s">
        <v>291</v>
      </c>
      <c r="B30" s="151">
        <f>SUM('Gebouwgegevens Tabula 2zone'!S17:S20)</f>
        <v>7142522.3068500012</v>
      </c>
      <c r="C30" s="151" t="s">
        <v>292</v>
      </c>
      <c r="D30" s="151">
        <f>SUM('Gebouwgegevens Tabula 2zone'!U17:U20)</f>
        <v>3783662.1900000004</v>
      </c>
      <c r="E30" t="s">
        <v>292</v>
      </c>
    </row>
    <row r="31" spans="1:9" x14ac:dyDescent="0.3">
      <c r="A31" t="s">
        <v>122</v>
      </c>
      <c r="B31" s="151">
        <f>'Gebouwgegevens Tabula 2zone'!B35*5*1012*1.204</f>
        <v>2003455.7577089777</v>
      </c>
      <c r="C31" t="s">
        <v>292</v>
      </c>
      <c r="D31" s="151">
        <f>B31</f>
        <v>2003455.7577089777</v>
      </c>
      <c r="E31" t="s">
        <v>292</v>
      </c>
    </row>
    <row r="32" spans="1:9" x14ac:dyDescent="0.3">
      <c r="A32" t="s">
        <v>293</v>
      </c>
      <c r="B32" s="151">
        <f>SUM('Gebouwgegevens Tabula 2zone'!O17:O20)*'Gebouwgegevens Tabula 2zone'!AE21</f>
        <v>5574674.700000002</v>
      </c>
      <c r="C32" t="s">
        <v>292</v>
      </c>
      <c r="D32" s="151">
        <f>B32</f>
        <v>5574674.700000002</v>
      </c>
      <c r="E32" t="s">
        <v>292</v>
      </c>
    </row>
    <row r="33" spans="1:6" x14ac:dyDescent="0.3">
      <c r="A33" t="s">
        <v>301</v>
      </c>
      <c r="B33" s="151">
        <f>'Gebouwgegevens Tabula 2zone'!S25</f>
        <v>9309323.5199999996</v>
      </c>
      <c r="C33" s="151" t="s">
        <v>292</v>
      </c>
      <c r="D33" s="151">
        <f>'Gebouwgegevens Tabula 2zone'!U25</f>
        <v>3540203.52</v>
      </c>
      <c r="E33" s="151" t="s">
        <v>292</v>
      </c>
      <c r="F33" s="151"/>
    </row>
    <row r="35" spans="1:6" x14ac:dyDescent="0.3">
      <c r="A35" t="s">
        <v>295</v>
      </c>
      <c r="B35">
        <f>B30+B32</f>
        <v>12717197.006850004</v>
      </c>
      <c r="D35">
        <f>D30+D32</f>
        <v>9358336.8900000025</v>
      </c>
    </row>
    <row r="36" spans="1:6" x14ac:dyDescent="0.3">
      <c r="A36" t="s">
        <v>296</v>
      </c>
      <c r="B36">
        <f>B30+B31+B32+B33</f>
        <v>24029976.284558982</v>
      </c>
      <c r="D36" s="152">
        <f>SUM(D30:D33)</f>
        <v>14901996.16770898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16" zoomScale="90" zoomScaleNormal="90" workbookViewId="0">
      <selection activeCell="C37" sqref="C37"/>
    </sheetView>
  </sheetViews>
  <sheetFormatPr defaultColWidth="9.109375" defaultRowHeight="14.4" x14ac:dyDescent="0.3"/>
  <cols>
    <col min="1" max="1" width="15" style="154" bestFit="1" customWidth="1"/>
    <col min="2" max="10" width="9.109375" style="154"/>
    <col min="11" max="11" width="12" style="154" bestFit="1" customWidth="1"/>
    <col min="12" max="16384" width="9.109375" style="154"/>
  </cols>
  <sheetData>
    <row r="1" spans="1:19" ht="20.399999999999999" thickBot="1" x14ac:dyDescent="0.45">
      <c r="A1" s="327" t="s">
        <v>304</v>
      </c>
      <c r="B1" s="327"/>
      <c r="C1" s="327"/>
      <c r="D1" s="327"/>
      <c r="E1" s="327"/>
      <c r="G1" s="154" t="s">
        <v>305</v>
      </c>
    </row>
    <row r="2" spans="1:19" ht="15" thickTop="1" x14ac:dyDescent="0.3">
      <c r="G2" s="154" t="s">
        <v>306</v>
      </c>
    </row>
    <row r="3" spans="1:19" ht="15" thickBot="1" x14ac:dyDescent="0.35">
      <c r="A3" s="155" t="s">
        <v>307</v>
      </c>
      <c r="B3" s="155" t="s">
        <v>380</v>
      </c>
      <c r="C3" s="155" t="s">
        <v>381</v>
      </c>
      <c r="D3" s="155"/>
      <c r="E3" s="156"/>
      <c r="F3" s="155"/>
      <c r="G3" s="155"/>
      <c r="H3" s="155"/>
      <c r="I3" s="155"/>
      <c r="J3" s="155"/>
      <c r="K3" s="155"/>
      <c r="L3" s="155"/>
      <c r="M3" s="155"/>
    </row>
    <row r="4" spans="1:19" x14ac:dyDescent="0.3">
      <c r="A4" s="157" t="s">
        <v>308</v>
      </c>
      <c r="B4" s="158">
        <f>'Verwarming Tabula 2zone'!W7</f>
        <v>11854.740907973362</v>
      </c>
      <c r="C4" s="158">
        <f>'Verwarming Tabula 2zone'!W8</f>
        <v>6361.9869767329037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P4" s="159" t="s">
        <v>309</v>
      </c>
      <c r="Q4" s="159"/>
      <c r="R4" s="159"/>
      <c r="S4" s="159"/>
    </row>
    <row r="5" spans="1:19" x14ac:dyDescent="0.3">
      <c r="A5" s="160" t="s">
        <v>310</v>
      </c>
      <c r="B5" s="161">
        <f>B4-B6</f>
        <v>11854.740907973362</v>
      </c>
      <c r="C5" s="161">
        <f t="shared" ref="C5" si="0">C4-C6</f>
        <v>6361.9869767329037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P5" s="159"/>
      <c r="Q5" s="159"/>
      <c r="R5" s="159"/>
      <c r="S5" s="159"/>
    </row>
    <row r="6" spans="1:19" x14ac:dyDescent="0.3">
      <c r="A6" s="162" t="s">
        <v>311</v>
      </c>
      <c r="B6" s="163">
        <v>0</v>
      </c>
      <c r="C6" s="163">
        <v>0</v>
      </c>
      <c r="D6" s="163"/>
      <c r="E6" s="164"/>
      <c r="F6" s="163"/>
      <c r="G6" s="163"/>
      <c r="H6" s="163"/>
      <c r="I6" s="163"/>
      <c r="J6" s="163"/>
      <c r="K6" s="163"/>
      <c r="L6" s="163"/>
      <c r="M6" s="163"/>
      <c r="P6" s="159"/>
      <c r="Q6" s="159"/>
      <c r="R6" s="159"/>
      <c r="S6" s="159"/>
    </row>
    <row r="7" spans="1:19" x14ac:dyDescent="0.3">
      <c r="A7" s="157" t="s">
        <v>312</v>
      </c>
      <c r="B7" s="157">
        <f>'Gebouwgegevens Tabula 2zone'!B7</f>
        <v>138.80000000000001</v>
      </c>
      <c r="C7" s="157">
        <f>'Gebouwgegevens Tabula 2zone'!B8</f>
        <v>119.59999999999997</v>
      </c>
      <c r="D7" s="157"/>
      <c r="E7" s="165"/>
      <c r="F7" s="157"/>
      <c r="G7" s="157"/>
      <c r="H7" s="157"/>
      <c r="I7" s="157"/>
      <c r="J7" s="157"/>
      <c r="K7" s="157"/>
      <c r="L7" s="157"/>
      <c r="M7" s="157"/>
      <c r="P7" s="159" t="s">
        <v>313</v>
      </c>
      <c r="Q7" s="166" t="s">
        <v>314</v>
      </c>
      <c r="R7" s="166">
        <v>16.5</v>
      </c>
      <c r="S7" s="159"/>
    </row>
    <row r="8" spans="1:19" x14ac:dyDescent="0.3">
      <c r="A8" s="160" t="s">
        <v>315</v>
      </c>
      <c r="B8" s="160">
        <f>B5/B7</f>
        <v>85.408796166955057</v>
      </c>
      <c r="C8" s="160">
        <f t="shared" ref="C8" si="1">C5/C7</f>
        <v>53.193871042917273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P8" s="159"/>
      <c r="Q8" s="159"/>
      <c r="R8" s="159"/>
      <c r="S8" s="159"/>
    </row>
    <row r="9" spans="1:19" x14ac:dyDescent="0.3">
      <c r="A9" s="167" t="s">
        <v>316</v>
      </c>
      <c r="B9" s="167">
        <v>31</v>
      </c>
      <c r="C9" s="167">
        <v>29</v>
      </c>
      <c r="D9" s="167"/>
      <c r="E9" s="168"/>
      <c r="F9" s="167"/>
      <c r="G9" s="167"/>
      <c r="H9" s="167"/>
      <c r="I9" s="167"/>
      <c r="J9" s="167"/>
      <c r="K9" s="167"/>
      <c r="L9" s="167"/>
      <c r="M9" s="167"/>
    </row>
    <row r="10" spans="1:19" x14ac:dyDescent="0.3">
      <c r="A10" s="157" t="s">
        <v>317</v>
      </c>
      <c r="B10" s="158">
        <f>'Gebouwgegevens Tabula 2zone'!E34</f>
        <v>21</v>
      </c>
      <c r="C10" s="157">
        <f>'Gebouwgegevens Tabula 2zone'!E35</f>
        <v>18</v>
      </c>
      <c r="D10" s="157"/>
      <c r="E10" s="165"/>
      <c r="F10" s="157"/>
      <c r="G10" s="157"/>
      <c r="H10" s="157"/>
      <c r="I10" s="157"/>
      <c r="J10" s="157"/>
      <c r="K10" s="157"/>
      <c r="L10" s="157"/>
      <c r="M10" s="157"/>
    </row>
    <row r="11" spans="1:19" x14ac:dyDescent="0.3">
      <c r="A11" s="160" t="s">
        <v>318</v>
      </c>
      <c r="B11" s="160">
        <f>8.92*(B9-B10)^1.1</f>
        <v>112.29614673203979</v>
      </c>
      <c r="C11" s="160">
        <f>12*(C9-C10)</f>
        <v>132</v>
      </c>
      <c r="D11" s="160"/>
      <c r="E11" s="169"/>
      <c r="F11" s="160"/>
      <c r="G11" s="160"/>
      <c r="H11" s="160"/>
      <c r="I11" s="160"/>
      <c r="J11" s="160"/>
      <c r="K11" s="160"/>
      <c r="L11" s="160"/>
      <c r="M11" s="160"/>
      <c r="N11" s="170"/>
    </row>
    <row r="12" spans="1:19" x14ac:dyDescent="0.3">
      <c r="A12" s="171" t="s">
        <v>319</v>
      </c>
      <c r="B12" s="171" t="b">
        <f t="shared" ref="B12:C12" si="2">IF(B11&lt;B8,FALSE,TRUE)</f>
        <v>1</v>
      </c>
      <c r="C12" s="171" t="b">
        <f t="shared" si="2"/>
        <v>1</v>
      </c>
      <c r="D12" s="171"/>
      <c r="E12" s="171"/>
      <c r="F12" s="171"/>
      <c r="G12" s="171"/>
      <c r="H12" s="171"/>
      <c r="I12" s="171"/>
      <c r="J12" s="171"/>
      <c r="K12" s="171"/>
      <c r="L12" s="171"/>
      <c r="M12" s="171"/>
    </row>
    <row r="13" spans="1:19" ht="15" thickBot="1" x14ac:dyDescent="0.35">
      <c r="A13" s="160" t="s">
        <v>320</v>
      </c>
      <c r="B13" s="160">
        <f t="shared" ref="B13:C13" si="3">IF(B12=TRUE,B8,B11)</f>
        <v>85.408796166955057</v>
      </c>
      <c r="C13" s="172">
        <f t="shared" si="3"/>
        <v>53.193871042917273</v>
      </c>
      <c r="D13" s="160"/>
      <c r="E13" s="160"/>
      <c r="F13" s="160"/>
      <c r="G13" s="160"/>
      <c r="H13" s="160"/>
      <c r="I13" s="160"/>
      <c r="J13" s="160"/>
      <c r="K13" s="160"/>
      <c r="L13" s="160"/>
      <c r="M13" s="160"/>
    </row>
    <row r="14" spans="1:19" ht="15.6" thickTop="1" thickBot="1" x14ac:dyDescent="0.35">
      <c r="A14" s="160" t="s">
        <v>321</v>
      </c>
      <c r="B14" s="160">
        <f>B13/12+B10</f>
        <v>28.117399680579588</v>
      </c>
      <c r="C14" s="160">
        <f t="shared" ref="C14" si="4">C13/12+C10</f>
        <v>22.432822586909772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P14" s="173" t="s">
        <v>322</v>
      </c>
      <c r="Q14" s="173"/>
    </row>
    <row r="15" spans="1:19" ht="15.6" thickTop="1" thickBot="1" x14ac:dyDescent="0.35">
      <c r="A15" s="160" t="s">
        <v>323</v>
      </c>
      <c r="B15" s="160">
        <f>$Q$16</f>
        <v>50</v>
      </c>
      <c r="C15" s="160">
        <f t="shared" ref="C15" si="5">$Q$16</f>
        <v>50</v>
      </c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P15" s="173" t="s">
        <v>324</v>
      </c>
      <c r="Q15" s="173">
        <f>SUM(B4:K4)/SUM(B7:K7)</f>
        <v>70.498172928429824</v>
      </c>
    </row>
    <row r="16" spans="1:19" ht="15.6" thickTop="1" thickBot="1" x14ac:dyDescent="0.35">
      <c r="A16" s="157" t="s">
        <v>325</v>
      </c>
      <c r="B16" s="157">
        <v>40</v>
      </c>
      <c r="C16" s="157">
        <f>B16</f>
        <v>40</v>
      </c>
      <c r="D16" s="157"/>
      <c r="E16" s="165"/>
      <c r="F16" s="157"/>
      <c r="G16" s="157"/>
      <c r="H16" s="157"/>
      <c r="I16" s="157"/>
      <c r="J16" s="157"/>
      <c r="K16" s="157"/>
      <c r="L16" s="157"/>
      <c r="M16" s="157"/>
      <c r="N16" s="174" t="s">
        <v>326</v>
      </c>
      <c r="P16" s="173" t="s">
        <v>323</v>
      </c>
      <c r="Q16" s="196">
        <v>50</v>
      </c>
    </row>
    <row r="17" spans="1:20" ht="15" thickTop="1" x14ac:dyDescent="0.3">
      <c r="A17" s="157" t="s">
        <v>327</v>
      </c>
      <c r="B17" s="157">
        <v>45</v>
      </c>
      <c r="C17" s="157">
        <v>45</v>
      </c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74" t="s">
        <v>328</v>
      </c>
    </row>
    <row r="18" spans="1:20" x14ac:dyDescent="0.3">
      <c r="A18" s="157" t="s">
        <v>329</v>
      </c>
      <c r="B18" s="157">
        <v>0.35</v>
      </c>
      <c r="C18" s="157">
        <v>0.35</v>
      </c>
      <c r="D18" s="157"/>
      <c r="E18" s="165"/>
      <c r="F18" s="157"/>
      <c r="G18" s="157"/>
      <c r="H18" s="157"/>
      <c r="I18" s="157"/>
      <c r="J18" s="157"/>
      <c r="K18" s="157"/>
      <c r="L18" s="157"/>
      <c r="M18" s="157"/>
      <c r="N18" s="174" t="s">
        <v>330</v>
      </c>
    </row>
    <row r="19" spans="1:20" x14ac:dyDescent="0.3">
      <c r="A19" s="157" t="s">
        <v>331</v>
      </c>
      <c r="B19" s="157">
        <f>SUM('Gebouwgegevens Tabula 2zone'!Z42:Z43)</f>
        <v>0.1</v>
      </c>
      <c r="C19" s="157">
        <f>SUM('Gebouwgegevens Tabula 2zone'!Z29:Z30)</f>
        <v>0.1</v>
      </c>
      <c r="D19" s="157"/>
      <c r="E19" s="165"/>
      <c r="F19" s="175"/>
      <c r="G19" s="175"/>
      <c r="H19" s="175"/>
      <c r="I19" s="157"/>
      <c r="J19" s="157"/>
      <c r="K19" s="157"/>
      <c r="L19" s="157"/>
      <c r="M19" s="157"/>
    </row>
    <row r="20" spans="1:20" x14ac:dyDescent="0.3">
      <c r="A20" s="157" t="s">
        <v>332</v>
      </c>
      <c r="B20" s="157">
        <f>SUM('Gebouwgegevens Tabula 2zone'!AD42:AD43)</f>
        <v>0.14761904761904762</v>
      </c>
      <c r="C20" s="157">
        <f>SUM('Gebouwgegevens Tabula 2zone'!AD29:AD30)</f>
        <v>0.24444444444444446</v>
      </c>
      <c r="D20" s="157"/>
      <c r="E20" s="165"/>
      <c r="F20" s="175"/>
      <c r="G20" s="175"/>
      <c r="H20" s="175"/>
      <c r="I20" s="157"/>
      <c r="J20" s="157"/>
      <c r="K20" s="157"/>
      <c r="L20" s="157"/>
      <c r="M20" s="157"/>
    </row>
    <row r="21" spans="1:20" x14ac:dyDescent="0.3">
      <c r="A21" s="160" t="s">
        <v>333</v>
      </c>
      <c r="B21" s="160">
        <f>B19/B20</f>
        <v>0.67741935483870974</v>
      </c>
      <c r="C21" s="160">
        <f t="shared" ref="C21" si="6">C19/C20</f>
        <v>0.40909090909090906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</row>
    <row r="22" spans="1:20" x14ac:dyDescent="0.3">
      <c r="A22" s="176" t="s">
        <v>334</v>
      </c>
      <c r="B22" s="176" t="b">
        <f>IF(B20&lt;0.2,TRUE,FALSE)</f>
        <v>1</v>
      </c>
      <c r="C22" s="176" t="b">
        <f t="shared" ref="C22" si="7">IF(C20&lt;0.2,TRUE,FALSE)</f>
        <v>0</v>
      </c>
      <c r="D22" s="176"/>
      <c r="E22" s="177"/>
      <c r="F22" s="176"/>
      <c r="G22" s="176"/>
      <c r="H22" s="176"/>
      <c r="I22" s="176"/>
      <c r="J22" s="176"/>
      <c r="K22" s="176"/>
      <c r="L22" s="176"/>
      <c r="M22" s="176"/>
    </row>
    <row r="23" spans="1:20" x14ac:dyDescent="0.3">
      <c r="A23" s="160" t="s">
        <v>335</v>
      </c>
      <c r="B23" s="160">
        <f>B17-B10</f>
        <v>24</v>
      </c>
      <c r="C23" s="160">
        <f t="shared" ref="C23" si="8">C17-C10</f>
        <v>27</v>
      </c>
      <c r="D23" s="160"/>
      <c r="E23" s="160"/>
      <c r="F23" s="160"/>
      <c r="G23" s="160"/>
      <c r="H23" s="160"/>
      <c r="I23" s="160"/>
      <c r="J23" s="160"/>
      <c r="K23" s="160"/>
      <c r="L23" s="160"/>
      <c r="M23" s="160"/>
    </row>
    <row r="24" spans="1:20" x14ac:dyDescent="0.3">
      <c r="A24" s="160" t="s">
        <v>336</v>
      </c>
      <c r="B24" s="160">
        <f t="shared" ref="B24:C24" si="9">B8/B23</f>
        <v>3.558699840289794</v>
      </c>
      <c r="C24" s="160">
        <f t="shared" si="9"/>
        <v>1.9701433719598991</v>
      </c>
      <c r="D24" s="160"/>
      <c r="E24" s="160"/>
      <c r="F24" s="160"/>
      <c r="G24" s="160"/>
      <c r="H24" s="160"/>
      <c r="I24" s="160"/>
      <c r="J24" s="160"/>
      <c r="K24" s="160"/>
      <c r="L24" s="160"/>
      <c r="M24" s="160"/>
    </row>
    <row r="25" spans="1:20" x14ac:dyDescent="0.3">
      <c r="A25" s="162" t="s">
        <v>337</v>
      </c>
      <c r="B25" s="197">
        <v>4.3</v>
      </c>
      <c r="C25" s="162">
        <v>2.09</v>
      </c>
      <c r="D25" s="162"/>
      <c r="E25" s="178"/>
      <c r="F25" s="162"/>
      <c r="G25" s="162"/>
      <c r="H25" s="162"/>
      <c r="I25" s="162"/>
      <c r="J25" s="162"/>
      <c r="K25" s="162"/>
      <c r="L25" s="162"/>
      <c r="M25" s="162"/>
      <c r="N25" s="174" t="s">
        <v>338</v>
      </c>
      <c r="T25" s="198" t="s">
        <v>383</v>
      </c>
    </row>
    <row r="26" spans="1:20" s="181" customFormat="1" x14ac:dyDescent="0.3">
      <c r="A26" s="179" t="s">
        <v>339</v>
      </c>
      <c r="B26" s="179">
        <v>0.15</v>
      </c>
      <c r="C26" s="179">
        <v>0.3</v>
      </c>
      <c r="D26" s="179"/>
      <c r="E26" s="178"/>
      <c r="F26" s="179"/>
      <c r="G26" s="179"/>
      <c r="H26" s="179"/>
      <c r="I26" s="179"/>
      <c r="J26" s="179"/>
      <c r="K26" s="179"/>
      <c r="L26" s="179"/>
      <c r="M26" s="179"/>
      <c r="N26" s="180" t="s">
        <v>340</v>
      </c>
    </row>
    <row r="27" spans="1:20" x14ac:dyDescent="0.3">
      <c r="A27" s="162" t="s">
        <v>341</v>
      </c>
      <c r="B27" s="162">
        <v>0.02</v>
      </c>
      <c r="C27" s="162">
        <v>1.6E-2</v>
      </c>
      <c r="D27" s="162"/>
      <c r="E27" s="178"/>
      <c r="F27" s="162"/>
      <c r="G27" s="162"/>
      <c r="H27" s="162"/>
      <c r="I27" s="162"/>
      <c r="J27" s="162"/>
      <c r="K27" s="162"/>
      <c r="L27" s="162"/>
      <c r="M27" s="162"/>
      <c r="N27" s="174" t="s">
        <v>342</v>
      </c>
      <c r="P27" s="154" t="s">
        <v>382</v>
      </c>
    </row>
    <row r="28" spans="1:20" x14ac:dyDescent="0.3">
      <c r="A28" s="162" t="s">
        <v>343</v>
      </c>
      <c r="B28" s="162">
        <v>2E-3</v>
      </c>
      <c r="C28" s="162">
        <f>B28</f>
        <v>2E-3</v>
      </c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74" t="s">
        <v>344</v>
      </c>
    </row>
    <row r="29" spans="1:20" x14ac:dyDescent="0.3">
      <c r="A29" s="182" t="s">
        <v>345</v>
      </c>
      <c r="B29" s="183" t="b">
        <f>IF(B26*0.3&gt;B19,FALSE,TRUE)</f>
        <v>1</v>
      </c>
      <c r="C29" s="182" t="b">
        <f t="shared" ref="C29" si="10">IF(C26*0.3&gt;C19,FALSE,TRUE)</f>
        <v>1</v>
      </c>
      <c r="D29" s="182"/>
      <c r="E29" s="177"/>
      <c r="F29" s="183"/>
      <c r="G29" s="183"/>
      <c r="H29" s="183"/>
      <c r="I29" s="182"/>
      <c r="J29" s="184"/>
      <c r="K29" s="184"/>
      <c r="L29" s="182"/>
      <c r="M29" s="182"/>
      <c r="N29" s="174"/>
      <c r="R29" s="154">
        <v>4</v>
      </c>
    </row>
    <row r="30" spans="1:20" x14ac:dyDescent="0.3">
      <c r="A30" s="160" t="s">
        <v>346</v>
      </c>
      <c r="B30" s="160">
        <f>B25*B23</f>
        <v>103.19999999999999</v>
      </c>
      <c r="C30" s="160">
        <f t="shared" ref="C30" si="11">C25*C23</f>
        <v>56.429999999999993</v>
      </c>
      <c r="D30" s="160"/>
      <c r="E30" s="169"/>
      <c r="F30" s="160"/>
      <c r="G30" s="160"/>
      <c r="H30" s="160"/>
      <c r="I30" s="160"/>
      <c r="J30" s="160"/>
      <c r="K30" s="160"/>
      <c r="L30" s="160"/>
      <c r="M30" s="160"/>
    </row>
    <row r="31" spans="1:20" x14ac:dyDescent="0.3">
      <c r="A31" s="176" t="s">
        <v>347</v>
      </c>
      <c r="B31" s="176" t="b">
        <f t="shared" ref="B31:C31" si="12">IF(B30&gt;B8,TRUE,FALSE)</f>
        <v>1</v>
      </c>
      <c r="C31" s="176" t="b">
        <f t="shared" si="12"/>
        <v>1</v>
      </c>
      <c r="D31" s="176"/>
      <c r="E31" s="177"/>
      <c r="F31" s="176"/>
      <c r="G31" s="176"/>
      <c r="H31" s="176"/>
      <c r="I31" s="176"/>
      <c r="J31" s="176"/>
      <c r="K31" s="176"/>
      <c r="L31" s="176"/>
      <c r="M31" s="176"/>
    </row>
    <row r="32" spans="1:20" x14ac:dyDescent="0.3">
      <c r="A32" s="157" t="s">
        <v>331</v>
      </c>
      <c r="B32" s="157">
        <f>SUM('Gebouwgegevens Tabula 2zone'!Z44:Z46)</f>
        <v>0.24000000000000002</v>
      </c>
      <c r="C32" s="157">
        <f>SUM('Gebouwgegevens Tabula 2zone'!Z31:Z32)</f>
        <v>0.22</v>
      </c>
      <c r="D32" s="157"/>
      <c r="E32" s="165"/>
      <c r="F32" s="157"/>
      <c r="G32" s="157"/>
      <c r="H32" s="157"/>
      <c r="I32" s="157"/>
      <c r="J32" s="157"/>
      <c r="K32" s="157"/>
      <c r="L32" s="157"/>
      <c r="M32" s="157"/>
    </row>
    <row r="33" spans="1:14" x14ac:dyDescent="0.3">
      <c r="A33" s="157" t="s">
        <v>332</v>
      </c>
      <c r="B33" s="157">
        <f>SUM('Gebouwgegevens Tabula 2zone'!AD44:AD46)</f>
        <v>1.253968253968254</v>
      </c>
      <c r="C33" s="157">
        <f>SUM('Gebouwgegevens Tabula 2zone'!AD31:AD32)</f>
        <v>0.1761904761904762</v>
      </c>
      <c r="D33" s="157"/>
      <c r="E33" s="185"/>
      <c r="F33" s="185"/>
      <c r="G33" s="185"/>
      <c r="H33" s="157"/>
      <c r="I33" s="157"/>
      <c r="J33" s="157"/>
      <c r="K33" s="157"/>
      <c r="L33" s="157"/>
      <c r="M33" s="157"/>
    </row>
    <row r="34" spans="1:14" x14ac:dyDescent="0.3">
      <c r="A34" s="186" t="s">
        <v>348</v>
      </c>
      <c r="B34" s="154">
        <v>12</v>
      </c>
      <c r="C34" s="154">
        <v>22</v>
      </c>
      <c r="E34" s="187"/>
    </row>
    <row r="35" spans="1:14" x14ac:dyDescent="0.3">
      <c r="A35" s="186" t="s">
        <v>349</v>
      </c>
      <c r="B35" s="154">
        <f>B17-B34</f>
        <v>33</v>
      </c>
      <c r="C35" s="154">
        <f t="shared" ref="C35" si="13">C17-C34</f>
        <v>23</v>
      </c>
      <c r="E35" s="187"/>
    </row>
    <row r="36" spans="1:14" x14ac:dyDescent="0.3">
      <c r="A36" s="188" t="s">
        <v>350</v>
      </c>
      <c r="B36" s="189">
        <v>0.01</v>
      </c>
      <c r="C36" s="189">
        <v>0.1</v>
      </c>
      <c r="D36" s="189"/>
      <c r="E36" s="190"/>
      <c r="F36" s="189"/>
      <c r="G36" s="189"/>
      <c r="H36" s="189"/>
      <c r="I36" s="189"/>
      <c r="J36" s="189"/>
      <c r="K36" s="189"/>
      <c r="L36" s="189"/>
      <c r="M36" s="189"/>
      <c r="N36" s="154" t="s">
        <v>351</v>
      </c>
    </row>
    <row r="37" spans="1:14" x14ac:dyDescent="0.3">
      <c r="A37" s="186" t="s">
        <v>352</v>
      </c>
      <c r="B37" s="154">
        <f>B36*B35</f>
        <v>0.33</v>
      </c>
      <c r="C37" s="154">
        <f t="shared" ref="C37" si="14">C36*C35</f>
        <v>2.3000000000000003</v>
      </c>
      <c r="E37" s="187"/>
    </row>
    <row r="38" spans="1:14" x14ac:dyDescent="0.3">
      <c r="A38" s="160" t="s">
        <v>353</v>
      </c>
      <c r="B38" s="160">
        <f>B7/B26</f>
        <v>925.33333333333348</v>
      </c>
      <c r="C38" s="160">
        <f t="shared" ref="C38" si="15">C7/C26</f>
        <v>398.66666666666657</v>
      </c>
      <c r="D38" s="160"/>
      <c r="E38" s="169"/>
      <c r="F38" s="160"/>
      <c r="G38" s="160"/>
      <c r="H38" s="160"/>
      <c r="I38" s="160"/>
      <c r="J38" s="160"/>
      <c r="K38" s="160"/>
      <c r="L38" s="160"/>
      <c r="M38" s="160"/>
    </row>
    <row r="39" spans="1:14" x14ac:dyDescent="0.3">
      <c r="A39" s="160" t="s">
        <v>354</v>
      </c>
      <c r="B39" s="160">
        <f>(B8+B37)*B38*B26</f>
        <v>11900.544907973364</v>
      </c>
      <c r="C39" s="160">
        <f t="shared" ref="C39" si="16">(C8+C37)*C38*C26</f>
        <v>6637.0669767329045</v>
      </c>
      <c r="D39" s="160"/>
      <c r="E39" s="169"/>
      <c r="F39" s="160"/>
      <c r="G39" s="160"/>
      <c r="H39" s="160"/>
      <c r="I39" s="160"/>
      <c r="J39" s="160"/>
      <c r="K39" s="160"/>
      <c r="L39" s="160"/>
      <c r="M39" s="160"/>
    </row>
    <row r="40" spans="1:14" x14ac:dyDescent="0.3">
      <c r="A40" s="186" t="s">
        <v>355</v>
      </c>
      <c r="B40" s="154">
        <f>B39/4181/(B15-B16)</f>
        <v>0.28463393704791595</v>
      </c>
      <c r="C40" s="154">
        <f t="shared" ref="C40" si="17">C39/4181/(C15-C16)</f>
        <v>0.15874352969942368</v>
      </c>
      <c r="E40" s="187"/>
    </row>
    <row r="41" spans="1:14" x14ac:dyDescent="0.3">
      <c r="A41" s="186" t="s">
        <v>356</v>
      </c>
      <c r="B41" s="154">
        <f>B40/1000/(PI()*(B27-2*B28)^2/4)</f>
        <v>1.4156530641525995</v>
      </c>
      <c r="C41" s="154">
        <f t="shared" ref="C41" si="18">C40/1000/(PI()*(C27-2*C28)^2/4)</f>
        <v>1.4036009686399098</v>
      </c>
    </row>
    <row r="42" spans="1:14" x14ac:dyDescent="0.3">
      <c r="E42" s="187"/>
    </row>
    <row r="44" spans="1:14" ht="20.399999999999999" thickBot="1" x14ac:dyDescent="0.45">
      <c r="A44" s="191" t="s">
        <v>357</v>
      </c>
    </row>
    <row r="45" spans="1:14" ht="21" thickTop="1" thickBot="1" x14ac:dyDescent="0.45">
      <c r="A45" s="191" t="s">
        <v>358</v>
      </c>
      <c r="B45" s="192" t="s">
        <v>359</v>
      </c>
      <c r="C45" s="192" t="s">
        <v>360</v>
      </c>
      <c r="D45" s="192" t="s">
        <v>370</v>
      </c>
      <c r="E45" s="192" t="s">
        <v>371</v>
      </c>
      <c r="F45" s="192" t="s">
        <v>372</v>
      </c>
      <c r="G45" s="192" t="s">
        <v>373</v>
      </c>
      <c r="H45" s="192" t="s">
        <v>374</v>
      </c>
      <c r="I45" s="192" t="s">
        <v>375</v>
      </c>
      <c r="J45" s="192" t="s">
        <v>376</v>
      </c>
      <c r="K45" s="192" t="s">
        <v>377</v>
      </c>
      <c r="L45" s="192" t="s">
        <v>378</v>
      </c>
      <c r="M45" s="192" t="s">
        <v>379</v>
      </c>
    </row>
    <row r="46" spans="1:14" ht="15" thickTop="1" x14ac:dyDescent="0.3">
      <c r="A46" s="192" t="s">
        <v>361</v>
      </c>
      <c r="B46" s="192">
        <f>B26</f>
        <v>0.15</v>
      </c>
      <c r="C46" s="192">
        <f t="shared" ref="C46:C48" si="19">C26</f>
        <v>0.3</v>
      </c>
      <c r="D46" s="192"/>
      <c r="E46" s="192"/>
      <c r="F46" s="192"/>
      <c r="G46" s="192"/>
      <c r="H46" s="192"/>
      <c r="I46" s="192"/>
      <c r="J46" s="192"/>
      <c r="K46" s="192"/>
      <c r="L46" s="192"/>
      <c r="M46" s="192"/>
    </row>
    <row r="47" spans="1:14" x14ac:dyDescent="0.3">
      <c r="A47" s="192" t="s">
        <v>362</v>
      </c>
      <c r="B47" s="192">
        <f>B27</f>
        <v>0.02</v>
      </c>
      <c r="C47" s="192">
        <f t="shared" si="19"/>
        <v>1.6E-2</v>
      </c>
      <c r="D47" s="192"/>
      <c r="E47" s="192"/>
      <c r="F47" s="192"/>
      <c r="G47" s="192"/>
      <c r="H47" s="192"/>
      <c r="I47" s="192"/>
      <c r="J47" s="192"/>
      <c r="K47" s="192"/>
      <c r="L47" s="192"/>
      <c r="M47" s="192"/>
    </row>
    <row r="48" spans="1:14" x14ac:dyDescent="0.3">
      <c r="A48" s="192" t="s">
        <v>343</v>
      </c>
      <c r="B48" s="192">
        <f>B28</f>
        <v>2E-3</v>
      </c>
      <c r="C48" s="192">
        <f t="shared" si="19"/>
        <v>2E-3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</row>
    <row r="49" spans="1:13" x14ac:dyDescent="0.3">
      <c r="A49" s="192" t="s">
        <v>363</v>
      </c>
      <c r="B49" s="193">
        <f>B19</f>
        <v>0.1</v>
      </c>
      <c r="C49" s="192">
        <f t="shared" ref="C49" si="20">C19</f>
        <v>0.1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</row>
    <row r="50" spans="1:13" x14ac:dyDescent="0.3">
      <c r="A50" s="192" t="s">
        <v>364</v>
      </c>
      <c r="B50" s="192">
        <f>B32</f>
        <v>0.24000000000000002</v>
      </c>
      <c r="C50" s="192">
        <f t="shared" ref="C50" si="21">C32</f>
        <v>0.22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</row>
    <row r="51" spans="1:13" x14ac:dyDescent="0.3">
      <c r="A51" s="192" t="s">
        <v>365</v>
      </c>
      <c r="B51" s="192">
        <f>B7</f>
        <v>138.80000000000001</v>
      </c>
      <c r="C51" s="192">
        <f t="shared" ref="C51" si="22">C7</f>
        <v>119.59999999999997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</row>
    <row r="52" spans="1:13" x14ac:dyDescent="0.3">
      <c r="A52" s="192" t="s">
        <v>366</v>
      </c>
      <c r="B52" s="192">
        <f>B21</f>
        <v>0.67741935483870974</v>
      </c>
      <c r="C52" s="192">
        <f t="shared" ref="C52" si="23">C21</f>
        <v>0.40909090909090906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</row>
    <row r="53" spans="1:13" x14ac:dyDescent="0.3">
      <c r="A53" s="192" t="s">
        <v>367</v>
      </c>
      <c r="B53" s="192">
        <v>840</v>
      </c>
      <c r="C53" s="192">
        <v>840</v>
      </c>
      <c r="D53" s="192"/>
      <c r="E53" s="192"/>
      <c r="F53" s="192"/>
      <c r="G53" s="192"/>
      <c r="H53" s="192"/>
      <c r="I53" s="192"/>
      <c r="J53" s="192"/>
      <c r="K53" s="192"/>
      <c r="L53" s="192"/>
      <c r="M53" s="192"/>
    </row>
    <row r="54" spans="1:13" x14ac:dyDescent="0.3">
      <c r="A54" s="192" t="s">
        <v>368</v>
      </c>
      <c r="B54" s="192">
        <v>2100</v>
      </c>
      <c r="C54" s="192">
        <v>2100</v>
      </c>
      <c r="D54" s="192"/>
      <c r="E54" s="192"/>
      <c r="F54" s="192"/>
      <c r="G54" s="192"/>
      <c r="H54" s="192"/>
      <c r="I54" s="192"/>
      <c r="J54" s="192"/>
      <c r="K54" s="192"/>
      <c r="L54" s="192"/>
      <c r="M54" s="192"/>
    </row>
    <row r="55" spans="1:13" x14ac:dyDescent="0.3">
      <c r="A55" s="192" t="s">
        <v>266</v>
      </c>
      <c r="B55" s="192">
        <f>B39</f>
        <v>11900.544907973364</v>
      </c>
      <c r="C55" s="192">
        <f t="shared" ref="C55" si="24">C39</f>
        <v>6637.0669767329045</v>
      </c>
      <c r="D55" s="192"/>
      <c r="E55" s="192"/>
      <c r="F55" s="192"/>
      <c r="G55" s="192"/>
      <c r="H55" s="192"/>
      <c r="I55" s="192"/>
      <c r="J55" s="192"/>
      <c r="K55" s="192"/>
      <c r="L55" s="192"/>
      <c r="M55" s="192"/>
    </row>
    <row r="56" spans="1:13" x14ac:dyDescent="0.3">
      <c r="A56" s="194" t="s">
        <v>369</v>
      </c>
      <c r="B56" s="194">
        <f t="shared" ref="B56:C56" si="25">B55/8/4141/1000/(PI()*(B47-2*B48)^2/4)</f>
        <v>1.7866594606441737</v>
      </c>
      <c r="C56" s="194">
        <f t="shared" si="25"/>
        <v>1.7714488196943563</v>
      </c>
      <c r="D56" s="194"/>
      <c r="E56" s="194"/>
      <c r="F56" s="194"/>
      <c r="G56" s="194"/>
      <c r="H56" s="194"/>
      <c r="I56" s="194"/>
      <c r="J56" s="194"/>
      <c r="K56" s="194"/>
      <c r="L56" s="194"/>
      <c r="M56" s="194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8</vt:i4>
      </vt:variant>
    </vt:vector>
  </HeadingPairs>
  <TitlesOfParts>
    <vt:vector size="25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2zone Ref 1</vt:lpstr>
      <vt:lpstr>Tabula 2zone Ref 2</vt:lpstr>
      <vt:lpstr>Tabula RefULG 1</vt:lpstr>
      <vt:lpstr>Tabula RefULG 2</vt:lpstr>
      <vt:lpstr>Verwarming Tabula 2zone</vt:lpstr>
      <vt:lpstr>Verwarming Tabula 2zone Ref 1</vt:lpstr>
      <vt:lpstr>Verwarming Tabula 2zone Ref 2</vt:lpstr>
      <vt:lpstr>Verwarming Tabula 2zone RefULG1</vt:lpstr>
      <vt:lpstr>Verwarming Tabula 2zone RefULG2</vt:lpstr>
      <vt:lpstr>PropertiesGB_Theoretical</vt:lpstr>
      <vt:lpstr>Vloerverwarming zonder QRH</vt:lpstr>
      <vt:lpstr>'Gebouwgegevens Allacker'!Print_Area</vt:lpstr>
      <vt:lpstr>'Gebouwgegevens Tabula'!Print_Area</vt:lpstr>
      <vt:lpstr>'Gebouwgegevens Tabula 2zone'!Print_Area</vt:lpstr>
      <vt:lpstr>'Tabula 2zone Ref 1'!Print_Area</vt:lpstr>
      <vt:lpstr>'Tabula 2zone Ref 2'!Print_Area</vt:lpstr>
      <vt:lpstr>'Tabula data'!Print_Area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2015-04-27T19:11:40Z</dcterms:modified>
</cp:coreProperties>
</file>